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ckoffice\AppData\Local\Microsoft\Windows\INetCache\Content.Outlook\CBXUG792\"/>
    </mc:Choice>
  </mc:AlternateContent>
  <xr:revisionPtr revIDLastSave="0" documentId="13_ncr:1_{618125FF-A049-4067-897F-A036148FA9DF}" xr6:coauthVersionLast="47" xr6:coauthVersionMax="47" xr10:uidLastSave="{00000000-0000-0000-0000-000000000000}"/>
  <bookViews>
    <workbookView xWindow="1950" yWindow="510" windowWidth="24000" windowHeight="14970" firstSheet="9" activeTab="11" xr2:uid="{451773EF-80AA-4BF4-81C4-BDBDCD68E835}"/>
  </bookViews>
  <sheets>
    <sheet name="постоянни разходи" sheetId="25" r:id="rId1"/>
    <sheet name="приходи" sheetId="2" r:id="rId2"/>
    <sheet name="разходи" sheetId="3" r:id="rId3"/>
    <sheet name="ПП Януари" sheetId="15" r:id="rId4"/>
    <sheet name="ПП Февруари" sheetId="14" r:id="rId5"/>
    <sheet name="ПП Март" sheetId="1" r:id="rId6"/>
    <sheet name="ПП Април" sheetId="13" r:id="rId7"/>
    <sheet name="ПП Май" sheetId="16" r:id="rId8"/>
    <sheet name="ПП Юни" sheetId="18" r:id="rId9"/>
    <sheet name="ПП Юли" sheetId="19" r:id="rId10"/>
    <sheet name="ПП Август" sheetId="20" r:id="rId11"/>
    <sheet name="ПП Септември" sheetId="21" r:id="rId12"/>
    <sheet name="ПП Октомври" sheetId="22" r:id="rId13"/>
    <sheet name="ПП Ноември" sheetId="23" r:id="rId14"/>
    <sheet name="ПП Декември" sheetId="24" r:id="rId15"/>
    <sheet name="ПП 2024" sheetId="27" r:id="rId16"/>
    <sheet name="депозити и банкови гаранции" sheetId="26" r:id="rId17"/>
  </sheets>
  <externalReferences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9" i="3" l="1"/>
  <c r="K1349" i="3"/>
  <c r="N1349" i="3" s="1"/>
  <c r="J1348" i="3"/>
  <c r="K1348" i="3" s="1"/>
  <c r="N1348" i="3" s="1"/>
  <c r="I1347" i="3"/>
  <c r="J1347" i="3" s="1"/>
  <c r="N1347" i="3"/>
  <c r="J1345" i="3"/>
  <c r="K1345" i="3" s="1"/>
  <c r="N1345" i="3" s="1"/>
  <c r="J1346" i="3"/>
  <c r="K1346" i="3" s="1"/>
  <c r="N1346" i="3" s="1"/>
  <c r="J1342" i="3"/>
  <c r="K1342" i="3" s="1"/>
  <c r="N1342" i="3" s="1"/>
  <c r="J1343" i="3"/>
  <c r="K1343" i="3" s="1"/>
  <c r="N1343" i="3" s="1"/>
  <c r="J1344" i="3"/>
  <c r="K1344" i="3"/>
  <c r="N1344" i="3"/>
  <c r="J1341" i="3"/>
  <c r="K1341" i="3" s="1"/>
  <c r="N1341" i="3" s="1"/>
  <c r="J1340" i="3"/>
  <c r="K1340" i="3" s="1"/>
  <c r="N1340" i="3" s="1"/>
  <c r="J1339" i="3"/>
  <c r="K1339" i="3" s="1"/>
  <c r="N1339" i="3" s="1"/>
  <c r="I1338" i="3"/>
  <c r="J1338" i="3" s="1"/>
  <c r="K1338" i="3" s="1"/>
  <c r="N1338" i="3" s="1"/>
  <c r="J1337" i="3"/>
  <c r="K1337" i="3" s="1"/>
  <c r="N1337" i="3" s="1"/>
  <c r="J1336" i="3"/>
  <c r="K1336" i="3" s="1"/>
  <c r="N1336" i="3" s="1"/>
  <c r="J1197" i="2"/>
  <c r="K1197" i="2" s="1"/>
  <c r="N1197" i="2" s="1"/>
  <c r="J1196" i="2"/>
  <c r="K1196" i="2" s="1"/>
  <c r="N1196" i="2" s="1"/>
  <c r="J1335" i="3"/>
  <c r="K1335" i="3" s="1"/>
  <c r="N1335" i="3" s="1"/>
  <c r="J1334" i="3"/>
  <c r="K1334" i="3" s="1"/>
  <c r="N1334" i="3" s="1"/>
  <c r="J1333" i="3"/>
  <c r="N1333" i="3" s="1"/>
  <c r="J1332" i="3"/>
  <c r="N1332" i="3"/>
  <c r="N1331" i="3" l="1"/>
  <c r="I1330" i="3"/>
  <c r="N1330" i="3" s="1"/>
  <c r="J1329" i="3"/>
  <c r="K1329" i="3" s="1"/>
  <c r="N1329" i="3" s="1"/>
  <c r="J1328" i="3"/>
  <c r="K1328" i="3" s="1"/>
  <c r="N1328" i="3" s="1"/>
  <c r="J1327" i="3"/>
  <c r="K1327" i="3"/>
  <c r="N1327" i="3" s="1"/>
  <c r="J1326" i="3"/>
  <c r="K1326" i="3" s="1"/>
  <c r="N1326" i="3" s="1"/>
  <c r="J1325" i="3"/>
  <c r="K1325" i="3" s="1"/>
  <c r="N1325" i="3" s="1"/>
  <c r="I1324" i="3"/>
  <c r="J1324" i="3" s="1"/>
  <c r="N1324" i="3" s="1"/>
  <c r="J1323" i="3"/>
  <c r="K1323" i="3" s="1"/>
  <c r="N1323" i="3" s="1"/>
  <c r="J1322" i="3"/>
  <c r="K1322" i="3" s="1"/>
  <c r="N1322" i="3" s="1"/>
  <c r="I1321" i="3"/>
  <c r="J1321" i="3" s="1"/>
  <c r="N1321" i="3" s="1"/>
  <c r="I1320" i="3"/>
  <c r="J1320" i="3" s="1"/>
  <c r="N1320" i="3" s="1"/>
  <c r="J1318" i="3"/>
  <c r="K1318" i="3" s="1"/>
  <c r="N1318" i="3" s="1"/>
  <c r="J1319" i="3"/>
  <c r="K1319" i="3" s="1"/>
  <c r="N1319" i="3" s="1"/>
  <c r="J1317" i="3"/>
  <c r="K1317" i="3" s="1"/>
  <c r="N1317" i="3" s="1"/>
  <c r="J1316" i="3"/>
  <c r="K1316" i="3" s="1"/>
  <c r="N1316" i="3" s="1"/>
  <c r="J1315" i="3"/>
  <c r="K1315" i="3" s="1"/>
  <c r="N1315" i="3" s="1"/>
  <c r="J1314" i="3"/>
  <c r="K1314" i="3" s="1"/>
  <c r="N1314" i="3" s="1"/>
  <c r="J1313" i="3"/>
  <c r="K1313" i="3" s="1"/>
  <c r="N1313" i="3" s="1"/>
  <c r="I1312" i="3" l="1"/>
  <c r="J1312" i="3"/>
  <c r="N1312" i="3"/>
  <c r="J1311" i="3"/>
  <c r="N1311" i="3" s="1"/>
  <c r="J1309" i="3"/>
  <c r="J1310" i="3"/>
  <c r="N1310" i="3" s="1"/>
  <c r="N1309" i="3"/>
  <c r="I1308" i="3"/>
  <c r="J1308" i="3" s="1"/>
  <c r="N1308" i="3" s="1"/>
  <c r="J1307" i="3"/>
  <c r="K1307" i="3" s="1"/>
  <c r="N1307" i="3" s="1"/>
  <c r="J1306" i="3"/>
  <c r="K1306" i="3" s="1"/>
  <c r="N1306" i="3" s="1"/>
  <c r="J1305" i="3"/>
  <c r="K1305" i="3" s="1"/>
  <c r="N1305" i="3" s="1"/>
  <c r="J1304" i="3"/>
  <c r="K1304" i="3" s="1"/>
  <c r="N1304" i="3" s="1"/>
  <c r="J1303" i="3" l="1"/>
  <c r="K1303" i="3" s="1"/>
  <c r="N1303" i="3" s="1"/>
  <c r="J1302" i="3"/>
  <c r="K1302" i="3" s="1"/>
  <c r="N1302" i="3" s="1"/>
  <c r="J1300" i="3"/>
  <c r="K1300" i="3" s="1"/>
  <c r="N1300" i="3" s="1"/>
  <c r="J1301" i="3"/>
  <c r="K1301" i="3" s="1"/>
  <c r="N1301" i="3" s="1"/>
  <c r="J1299" i="3"/>
  <c r="K1299" i="3" s="1"/>
  <c r="N1299" i="3" s="1"/>
  <c r="J1298" i="3"/>
  <c r="K1298" i="3" s="1"/>
  <c r="N1298" i="3" s="1"/>
  <c r="N1297" i="3"/>
  <c r="J1296" i="3"/>
  <c r="N1296" i="3" s="1"/>
  <c r="I1278" i="3"/>
  <c r="I1277" i="3"/>
  <c r="I1276" i="3"/>
  <c r="I1264" i="3"/>
  <c r="I1263" i="3"/>
  <c r="J1295" i="3"/>
  <c r="K1295" i="3" s="1"/>
  <c r="N1295" i="3" s="1"/>
  <c r="J1294" i="3"/>
  <c r="K1294" i="3" s="1"/>
  <c r="N1294" i="3" s="1"/>
  <c r="J1293" i="3"/>
  <c r="N1293" i="3" s="1"/>
  <c r="J1292" i="3"/>
  <c r="K1292" i="3" s="1"/>
  <c r="N1292" i="3" s="1"/>
  <c r="J1291" i="3"/>
  <c r="K1291" i="3" s="1"/>
  <c r="N1291" i="3" s="1"/>
  <c r="J1290" i="3"/>
  <c r="N1290" i="3" s="1"/>
  <c r="J1289" i="3"/>
  <c r="K1289" i="3" s="1"/>
  <c r="N1289" i="3" s="1"/>
  <c r="J1288" i="3"/>
  <c r="K1288" i="3"/>
  <c r="N1288" i="3" s="1"/>
  <c r="J1287" i="3"/>
  <c r="K1287" i="3" s="1"/>
  <c r="N1287" i="3" s="1"/>
  <c r="J1286" i="3"/>
  <c r="K1286" i="3" s="1"/>
  <c r="N1286" i="3" s="1"/>
  <c r="J1285" i="3"/>
  <c r="K1285" i="3" s="1"/>
  <c r="N1285" i="3" s="1"/>
  <c r="J1284" i="3"/>
  <c r="K1284" i="3" s="1"/>
  <c r="N1284" i="3" s="1"/>
  <c r="J1283" i="3"/>
  <c r="K1283" i="3" s="1"/>
  <c r="N1283" i="3" s="1"/>
  <c r="J1282" i="3"/>
  <c r="K1282" i="3" s="1"/>
  <c r="N1282" i="3" s="1"/>
  <c r="N1281" i="3"/>
  <c r="J1280" i="3"/>
  <c r="K1280" i="3" s="1"/>
  <c r="N1280" i="3" s="1"/>
  <c r="J1279" i="3"/>
  <c r="K1279" i="3" s="1"/>
  <c r="N1279" i="3" s="1"/>
  <c r="J1194" i="2" l="1"/>
  <c r="N1194" i="2" s="1"/>
  <c r="J1193" i="2"/>
  <c r="N1193" i="2" s="1"/>
  <c r="J1195" i="2"/>
  <c r="K1195" i="2" s="1"/>
  <c r="N1195" i="2" s="1"/>
  <c r="J1192" i="2"/>
  <c r="N1192" i="2" s="1"/>
  <c r="J1277" i="3"/>
  <c r="N1277" i="3" s="1"/>
  <c r="J1278" i="3"/>
  <c r="N1278" i="3" s="1"/>
  <c r="J1276" i="3"/>
  <c r="N1276" i="3" s="1"/>
  <c r="J1274" i="3"/>
  <c r="K1274" i="3" s="1"/>
  <c r="N1274" i="3" s="1"/>
  <c r="J1275" i="3"/>
  <c r="K1275" i="3" s="1"/>
  <c r="N1275" i="3" s="1"/>
  <c r="J1273" i="3"/>
  <c r="K1273" i="3" s="1"/>
  <c r="N1273" i="3" s="1"/>
  <c r="J1270" i="3"/>
  <c r="K1270" i="3" s="1"/>
  <c r="N1270" i="3" s="1"/>
  <c r="J1271" i="3"/>
  <c r="K1271" i="3" s="1"/>
  <c r="N1271" i="3" s="1"/>
  <c r="J1272" i="3"/>
  <c r="K1272" i="3" s="1"/>
  <c r="N1272" i="3" s="1"/>
  <c r="J1269" i="3"/>
  <c r="K1269" i="3" s="1"/>
  <c r="N1269" i="3" s="1"/>
  <c r="J1268" i="3"/>
  <c r="K1268" i="3" s="1"/>
  <c r="N1268" i="3" s="1"/>
  <c r="J1267" i="3"/>
  <c r="K1267" i="3" s="1"/>
  <c r="N1267" i="3" s="1"/>
  <c r="J1266" i="3"/>
  <c r="K1266" i="3" s="1"/>
  <c r="N1266" i="3" s="1"/>
  <c r="J1265" i="3"/>
  <c r="K1265" i="3" s="1"/>
  <c r="N1265" i="3" s="1"/>
  <c r="J1264" i="3"/>
  <c r="N1264" i="3" s="1"/>
  <c r="J1263" i="3"/>
  <c r="N1263" i="3" s="1"/>
  <c r="J1250" i="3"/>
  <c r="K1250" i="3" s="1"/>
  <c r="N1250" i="3" s="1"/>
  <c r="I1262" i="3"/>
  <c r="J1262" i="3" s="1"/>
  <c r="N1262" i="3" s="1"/>
  <c r="J1261" i="3"/>
  <c r="K1261" i="3" s="1"/>
  <c r="N1261" i="3" s="1"/>
  <c r="J1260" i="3"/>
  <c r="N1260" i="3" s="1"/>
  <c r="J1259" i="3"/>
  <c r="K1259" i="3" s="1"/>
  <c r="N1259" i="3" s="1"/>
  <c r="J1258" i="3"/>
  <c r="N1258" i="3" s="1"/>
  <c r="K40" i="21"/>
  <c r="J1256" i="3"/>
  <c r="K1256" i="3" s="1"/>
  <c r="N1256" i="3" s="1"/>
  <c r="J1255" i="3"/>
  <c r="K1255" i="3" s="1"/>
  <c r="N1255" i="3" s="1"/>
  <c r="J1254" i="3"/>
  <c r="K1254" i="3" s="1"/>
  <c r="N1254" i="3" s="1"/>
  <c r="J1253" i="3"/>
  <c r="K1253" i="3" s="1"/>
  <c r="N1253" i="3" s="1"/>
  <c r="K1252" i="3"/>
  <c r="N1252" i="3" s="1"/>
  <c r="N1251" i="3"/>
  <c r="J1191" i="2"/>
  <c r="K1191" i="2" s="1"/>
  <c r="N1191" i="2" s="1"/>
  <c r="J1190" i="2"/>
  <c r="K1190" i="2" s="1"/>
  <c r="N1190" i="2" s="1"/>
  <c r="J1189" i="2"/>
  <c r="K1189" i="2"/>
  <c r="N1189" i="2" s="1"/>
  <c r="J1188" i="2"/>
  <c r="K1188" i="2" s="1"/>
  <c r="N1188" i="2" s="1"/>
  <c r="J1187" i="2"/>
  <c r="K1187" i="2" s="1"/>
  <c r="N1187" i="2" s="1"/>
  <c r="J1186" i="2"/>
  <c r="K1186" i="2" s="1"/>
  <c r="N1186" i="2" s="1"/>
  <c r="J1185" i="2"/>
  <c r="J1184" i="2"/>
  <c r="J1183" i="2"/>
  <c r="K1183" i="2" s="1"/>
  <c r="N1183" i="2" s="1"/>
  <c r="J1182" i="2"/>
  <c r="K1182" i="2" s="1"/>
  <c r="N1182" i="2" s="1"/>
  <c r="J1180" i="2"/>
  <c r="K1180" i="2" s="1"/>
  <c r="N1180" i="2" s="1"/>
  <c r="J1181" i="2"/>
  <c r="K1181" i="2" s="1"/>
  <c r="N1181" i="2" s="1"/>
  <c r="J1179" i="2"/>
  <c r="K1179" i="2" s="1"/>
  <c r="N1179" i="2" s="1"/>
  <c r="J1178" i="2"/>
  <c r="K1178" i="2" s="1"/>
  <c r="N1178" i="2" s="1"/>
  <c r="J1177" i="2"/>
  <c r="K1177" i="2" s="1"/>
  <c r="N1177" i="2" s="1"/>
  <c r="J1176" i="2"/>
  <c r="K1176" i="2" s="1"/>
  <c r="N1176" i="2" s="1"/>
  <c r="J1175" i="2"/>
  <c r="K1175" i="2" s="1"/>
  <c r="N1175" i="2" s="1"/>
  <c r="J1249" i="3"/>
  <c r="K1249" i="3" s="1"/>
  <c r="N1249" i="3" s="1"/>
  <c r="J1248" i="3"/>
  <c r="K1248" i="3" s="1"/>
  <c r="N1248" i="3" s="1"/>
  <c r="J1247" i="3"/>
  <c r="K1247" i="3" s="1"/>
  <c r="N1247" i="3" s="1"/>
  <c r="I1246" i="3"/>
  <c r="J1246" i="3" s="1"/>
  <c r="N1246" i="3" s="1"/>
  <c r="I1245" i="3"/>
  <c r="J1245" i="3" s="1"/>
  <c r="N1245" i="3"/>
  <c r="I1244" i="3"/>
  <c r="J1244" i="3" s="1"/>
  <c r="N1244" i="3" s="1"/>
  <c r="J1174" i="2"/>
  <c r="K1174" i="2" s="1"/>
  <c r="N1174" i="2" s="1"/>
  <c r="J1173" i="2"/>
  <c r="K1173" i="2" s="1"/>
  <c r="N1173" i="2" s="1"/>
  <c r="J1172" i="2"/>
  <c r="K1172" i="2" s="1"/>
  <c r="N1172" i="2" s="1"/>
  <c r="J1171" i="2"/>
  <c r="K1171" i="2" s="1"/>
  <c r="N1171" i="2" s="1"/>
  <c r="J1170" i="2"/>
  <c r="K1170" i="2" s="1"/>
  <c r="N1170" i="2" s="1"/>
  <c r="J1169" i="2"/>
  <c r="K1169" i="2" s="1"/>
  <c r="N1169" i="2" s="1"/>
  <c r="J1168" i="2"/>
  <c r="K1168" i="2" s="1"/>
  <c r="N1168" i="2" s="1"/>
  <c r="J1166" i="2"/>
  <c r="K1166" i="2" s="1"/>
  <c r="N1166" i="2" s="1"/>
  <c r="J1167" i="2"/>
  <c r="K1167" i="2" s="1"/>
  <c r="N1167" i="2" s="1"/>
  <c r="J1165" i="2"/>
  <c r="K1165" i="2" s="1"/>
  <c r="N1165" i="2" s="1"/>
  <c r="J1164" i="2"/>
  <c r="K1164" i="2" s="1"/>
  <c r="N1164" i="2" s="1"/>
  <c r="J1163" i="2"/>
  <c r="K1163" i="2" s="1"/>
  <c r="N1163" i="2" s="1"/>
  <c r="J1162" i="2"/>
  <c r="K1162" i="2" s="1"/>
  <c r="N1162" i="2" s="1"/>
  <c r="J1161" i="2"/>
  <c r="K1161" i="2" s="1"/>
  <c r="N1161" i="2" s="1"/>
  <c r="J1160" i="2"/>
  <c r="K1160" i="2" s="1"/>
  <c r="N1160" i="2" s="1"/>
  <c r="J1159" i="2"/>
  <c r="K1159" i="2" s="1"/>
  <c r="N1159" i="2" s="1"/>
  <c r="J1158" i="2"/>
  <c r="K1158" i="2" s="1"/>
  <c r="N1158" i="2" s="1"/>
  <c r="J1157" i="2"/>
  <c r="K1157" i="2" s="1"/>
  <c r="N1157" i="2" s="1"/>
  <c r="J1156" i="2"/>
  <c r="K1156" i="2" s="1"/>
  <c r="N1156" i="2" s="1"/>
  <c r="J1155" i="2"/>
  <c r="K1155" i="2" s="1"/>
  <c r="N1155" i="2" s="1"/>
  <c r="J1153" i="2"/>
  <c r="K1153" i="2" s="1"/>
  <c r="N1153" i="2" s="1"/>
  <c r="J1154" i="2"/>
  <c r="K1154" i="2" s="1"/>
  <c r="N1154" i="2" s="1"/>
  <c r="J1152" i="2"/>
  <c r="K1152" i="2" s="1"/>
  <c r="N1152" i="2" s="1"/>
  <c r="J1151" i="2"/>
  <c r="K1151" i="2" s="1"/>
  <c r="N1151" i="2" s="1"/>
  <c r="J1150" i="2"/>
  <c r="K1150" i="2" s="1"/>
  <c r="N1150" i="2" s="1"/>
  <c r="J1149" i="2"/>
  <c r="K1149" i="2" s="1"/>
  <c r="N1149" i="2" s="1"/>
  <c r="J1148" i="2"/>
  <c r="K1148" i="2" s="1"/>
  <c r="N1148" i="2" s="1"/>
  <c r="J1147" i="2"/>
  <c r="K1147" i="2" s="1"/>
  <c r="N1147" i="2" s="1"/>
  <c r="K1146" i="2"/>
  <c r="N1146" i="2" s="1"/>
  <c r="J1145" i="2"/>
  <c r="K1145" i="2" s="1"/>
  <c r="N1145" i="2" s="1"/>
  <c r="J1144" i="2"/>
  <c r="K1144" i="2" s="1"/>
  <c r="N1144" i="2" s="1"/>
  <c r="J1143" i="2"/>
  <c r="K1143" i="2" s="1"/>
  <c r="N1143" i="2" s="1"/>
  <c r="J1142" i="2"/>
  <c r="K1142" i="2" s="1"/>
  <c r="N1142" i="2" s="1"/>
  <c r="J1141" i="2"/>
  <c r="K1141" i="2" s="1"/>
  <c r="N1141" i="2" s="1"/>
  <c r="J1140" i="2"/>
  <c r="K1140" i="2" s="1"/>
  <c r="N1140" i="2" s="1"/>
  <c r="J1139" i="2"/>
  <c r="K1139" i="2" s="1"/>
  <c r="N1139" i="2" s="1"/>
  <c r="J1138" i="2"/>
  <c r="K1138" i="2" s="1"/>
  <c r="N1138" i="2" s="1"/>
  <c r="J1137" i="2"/>
  <c r="K1137" i="2" s="1"/>
  <c r="N1137" i="2" s="1"/>
  <c r="J1136" i="2"/>
  <c r="K1136" i="2" s="1"/>
  <c r="N1136" i="2" s="1"/>
  <c r="J1135" i="2"/>
  <c r="K1135" i="2" s="1"/>
  <c r="N1135" i="2" s="1"/>
  <c r="J1134" i="2"/>
  <c r="K1134" i="2" s="1"/>
  <c r="N1134" i="2" s="1"/>
  <c r="J1133" i="2"/>
  <c r="K1133" i="2" s="1"/>
  <c r="N1133" i="2" s="1"/>
  <c r="J1132" i="2"/>
  <c r="K1132" i="2" s="1"/>
  <c r="N1132" i="2" s="1"/>
  <c r="J1131" i="2"/>
  <c r="K1131" i="2" s="1"/>
  <c r="N1131" i="2" s="1"/>
  <c r="J1130" i="2"/>
  <c r="K1130" i="2" s="1"/>
  <c r="N1130" i="2" s="1"/>
  <c r="J1129" i="2"/>
  <c r="K1129" i="2" s="1"/>
  <c r="N1129" i="2" s="1"/>
  <c r="J1128" i="2"/>
  <c r="K1128" i="2" s="1"/>
  <c r="N1128" i="2" s="1"/>
  <c r="J1126" i="2"/>
  <c r="K1126" i="2" s="1"/>
  <c r="N1126" i="2" s="1"/>
  <c r="J1127" i="2"/>
  <c r="K1127" i="2" s="1"/>
  <c r="N1127" i="2" s="1"/>
  <c r="J1125" i="2"/>
  <c r="K1125" i="2" s="1"/>
  <c r="N1125" i="2" s="1"/>
  <c r="J1124" i="2"/>
  <c r="K1124" i="2" s="1"/>
  <c r="N1124" i="2" s="1"/>
  <c r="J1123" i="2"/>
  <c r="K1123" i="2" s="1"/>
  <c r="N1123" i="2" s="1"/>
  <c r="J1122" i="2"/>
  <c r="K1122" i="2" s="1"/>
  <c r="N1122" i="2" s="1"/>
  <c r="J1121" i="2"/>
  <c r="K1121" i="2" s="1"/>
  <c r="N1121" i="2" s="1"/>
  <c r="J1120" i="2"/>
  <c r="K1120" i="2" s="1"/>
  <c r="N1120" i="2" s="1"/>
  <c r="J1119" i="2"/>
  <c r="K1119" i="2" s="1"/>
  <c r="N1119" i="2" s="1"/>
  <c r="J1117" i="2"/>
  <c r="K1117" i="2" s="1"/>
  <c r="N1117" i="2" s="1"/>
  <c r="J1118" i="2"/>
  <c r="K1118" i="2" s="1"/>
  <c r="N1118" i="2" s="1"/>
  <c r="J1116" i="2"/>
  <c r="K1116" i="2" s="1"/>
  <c r="N1116" i="2" s="1"/>
  <c r="J1115" i="2"/>
  <c r="K1115" i="2" s="1"/>
  <c r="N1115" i="2" s="1"/>
  <c r="J1114" i="2"/>
  <c r="K1114" i="2" s="1"/>
  <c r="N1114" i="2" s="1"/>
  <c r="J1113" i="2"/>
  <c r="K1113" i="2" s="1"/>
  <c r="N1113" i="2" s="1"/>
  <c r="J1112" i="2"/>
  <c r="K1112" i="2" s="1"/>
  <c r="N1112" i="2" s="1"/>
  <c r="J1111" i="2"/>
  <c r="K1111" i="2" s="1"/>
  <c r="N1111" i="2" s="1"/>
  <c r="J1110" i="2"/>
  <c r="J1105" i="2"/>
  <c r="K1105" i="2" s="1"/>
  <c r="N1105" i="2" s="1"/>
  <c r="J1106" i="2"/>
  <c r="K1106" i="2" s="1"/>
  <c r="N1106" i="2" s="1"/>
  <c r="J1107" i="2"/>
  <c r="K1107" i="2" s="1"/>
  <c r="N1107" i="2" s="1"/>
  <c r="J1108" i="2"/>
  <c r="K1108" i="2" s="1"/>
  <c r="N1108" i="2" s="1"/>
  <c r="J1109" i="2"/>
  <c r="J1104" i="2"/>
  <c r="K1104" i="2" s="1"/>
  <c r="N1104" i="2" s="1"/>
  <c r="J1103" i="2"/>
  <c r="K1103" i="2" s="1"/>
  <c r="N1103" i="2" s="1"/>
  <c r="J1102" i="2"/>
  <c r="K1102" i="2" s="1"/>
  <c r="N1102" i="2" s="1"/>
  <c r="J1101" i="2"/>
  <c r="K1101" i="2" s="1"/>
  <c r="N1101" i="2" s="1"/>
  <c r="J1100" i="2"/>
  <c r="K1100" i="2" s="1"/>
  <c r="N1100" i="2" s="1"/>
  <c r="J1096" i="2"/>
  <c r="K1096" i="2" s="1"/>
  <c r="N1096" i="2" s="1"/>
  <c r="J1097" i="2"/>
  <c r="K1097" i="2" s="1"/>
  <c r="N1097" i="2" s="1"/>
  <c r="J1098" i="2"/>
  <c r="K1098" i="2" s="1"/>
  <c r="N1098" i="2" s="1"/>
  <c r="J1099" i="2"/>
  <c r="K1099" i="2" s="1"/>
  <c r="N1099" i="2" s="1"/>
  <c r="N1243" i="3"/>
  <c r="N1239" i="3"/>
  <c r="N1240" i="3"/>
  <c r="N1241" i="3"/>
  <c r="N1242" i="3"/>
  <c r="N1238" i="3"/>
  <c r="J1235" i="3"/>
  <c r="K1235" i="3" s="1"/>
  <c r="N1235" i="3" s="1"/>
  <c r="J1236" i="3"/>
  <c r="K1236" i="3" s="1"/>
  <c r="N1236" i="3" s="1"/>
  <c r="J1237" i="3"/>
  <c r="K1237" i="3" s="1"/>
  <c r="N1237" i="3" s="1"/>
  <c r="J1234" i="3"/>
  <c r="K1234" i="3" s="1"/>
  <c r="N1234" i="3" s="1"/>
  <c r="J1233" i="3"/>
  <c r="K1233" i="3" s="1"/>
  <c r="N1233" i="3" s="1"/>
  <c r="J1232" i="3"/>
  <c r="K1232" i="3" s="1"/>
  <c r="N1232" i="3" s="1"/>
  <c r="J1231" i="3"/>
  <c r="K1231" i="3" s="1"/>
  <c r="N1231" i="3" s="1"/>
  <c r="J1229" i="3"/>
  <c r="K1229" i="3" s="1"/>
  <c r="N1229" i="3" s="1"/>
  <c r="J1230" i="3"/>
  <c r="K1230" i="3" s="1"/>
  <c r="N1230" i="3" s="1"/>
  <c r="J1228" i="3"/>
  <c r="K1228" i="3" s="1"/>
  <c r="N1228" i="3" s="1"/>
  <c r="J1227" i="3"/>
  <c r="K1227" i="3" s="1"/>
  <c r="N1227" i="3" s="1"/>
  <c r="J1226" i="3"/>
  <c r="K1226" i="3" s="1"/>
  <c r="N1226" i="3" s="1"/>
  <c r="J1225" i="3"/>
  <c r="K1225" i="3" s="1"/>
  <c r="N1225" i="3" s="1"/>
  <c r="K1224" i="3"/>
  <c r="N1224" i="3" s="1"/>
  <c r="K1217" i="3"/>
  <c r="N1217" i="3" s="1"/>
  <c r="K1218" i="3"/>
  <c r="N1218" i="3" s="1"/>
  <c r="K1219" i="3"/>
  <c r="N1219" i="3" s="1"/>
  <c r="K1220" i="3"/>
  <c r="N1220" i="3" s="1"/>
  <c r="K1221" i="3"/>
  <c r="N1221" i="3" s="1"/>
  <c r="K1222" i="3"/>
  <c r="N1222" i="3" s="1"/>
  <c r="K1223" i="3"/>
  <c r="N1223" i="3" s="1"/>
  <c r="K1216" i="3"/>
  <c r="N1216" i="3" s="1"/>
  <c r="K1215" i="3"/>
  <c r="N1215" i="3" s="1"/>
  <c r="J1214" i="3"/>
  <c r="K1214" i="3" s="1"/>
  <c r="N1214" i="3" s="1"/>
  <c r="J1213" i="3"/>
  <c r="K1213" i="3" s="1"/>
  <c r="N1213" i="3" s="1"/>
  <c r="J1212" i="3"/>
  <c r="K1212" i="3" s="1"/>
  <c r="N1212" i="3" s="1"/>
  <c r="J1211" i="3"/>
  <c r="K1211" i="3" s="1"/>
  <c r="N1211" i="3" s="1"/>
  <c r="J1210" i="3"/>
  <c r="K1210" i="3" s="1"/>
  <c r="N1210" i="3" s="1"/>
  <c r="J1209" i="3"/>
  <c r="K1209" i="3" s="1"/>
  <c r="N1209" i="3" s="1"/>
  <c r="J1208" i="3"/>
  <c r="K1208" i="3" s="1"/>
  <c r="N1208" i="3" s="1"/>
  <c r="J1207" i="3"/>
  <c r="K1207" i="3" s="1"/>
  <c r="N1207" i="3" s="1"/>
  <c r="N1206" i="3"/>
  <c r="J1205" i="3"/>
  <c r="K1205" i="3" s="1"/>
  <c r="N1205" i="3" s="1"/>
  <c r="J1204" i="3"/>
  <c r="K1204" i="3" s="1"/>
  <c r="N1204" i="3" s="1"/>
  <c r="J1203" i="3"/>
  <c r="K1203" i="3" s="1"/>
  <c r="N1203" i="3" s="1"/>
  <c r="J1202" i="3"/>
  <c r="K1202" i="3" s="1"/>
  <c r="N1202" i="3" s="1"/>
  <c r="J1201" i="3"/>
  <c r="K1201" i="3" s="1"/>
  <c r="N1201" i="3" s="1"/>
  <c r="J1200" i="3"/>
  <c r="K1200" i="3" s="1"/>
  <c r="N1200" i="3" s="1"/>
  <c r="K1110" i="2" l="1"/>
  <c r="N1110" i="2" s="1"/>
  <c r="K1109" i="2"/>
  <c r="N1109" i="2" s="1"/>
  <c r="K1184" i="2"/>
  <c r="N1184" i="2" s="1"/>
  <c r="K1185" i="2"/>
  <c r="N1185" i="2" s="1"/>
  <c r="I1199" i="3"/>
  <c r="J1199" i="3" s="1"/>
  <c r="N1199" i="3" s="1"/>
  <c r="I1198" i="3"/>
  <c r="J1198" i="3" s="1"/>
  <c r="N1198" i="3" s="1"/>
  <c r="I1197" i="3"/>
  <c r="J1197" i="3" s="1"/>
  <c r="N1197" i="3" s="1"/>
  <c r="J1195" i="3"/>
  <c r="K1195" i="3" s="1"/>
  <c r="N1195" i="3" s="1"/>
  <c r="J1196" i="3"/>
  <c r="K1196" i="3" s="1"/>
  <c r="N1196" i="3" s="1"/>
  <c r="J1194" i="3"/>
  <c r="K1194" i="3" s="1"/>
  <c r="N1194" i="3" s="1"/>
  <c r="J1193" i="3"/>
  <c r="K1193" i="3" s="1"/>
  <c r="L1193" i="3" l="1"/>
  <c r="N1193" i="3" s="1"/>
  <c r="I1192" i="3"/>
  <c r="J1192" i="3" s="1"/>
  <c r="N1192" i="3" s="1"/>
  <c r="J1190" i="3"/>
  <c r="K1190" i="3" s="1"/>
  <c r="N1190" i="3" s="1"/>
  <c r="J1191" i="3"/>
  <c r="K1191" i="3" s="1"/>
  <c r="N1191" i="3" s="1"/>
  <c r="J1189" i="3"/>
  <c r="K1189" i="3" s="1"/>
  <c r="N1189" i="3" s="1"/>
  <c r="J1188" i="3"/>
  <c r="K1188" i="3" s="1"/>
  <c r="N1188" i="3" s="1"/>
  <c r="J1187" i="3"/>
  <c r="K1187" i="3" s="1"/>
  <c r="N1187" i="3" s="1"/>
  <c r="J1186" i="3"/>
  <c r="K1186" i="3" s="1"/>
  <c r="N1186" i="3" s="1"/>
  <c r="J1185" i="3"/>
  <c r="K1185" i="3" s="1"/>
  <c r="N1185" i="3" s="1"/>
  <c r="J1184" i="3"/>
  <c r="K1184" i="3" s="1"/>
  <c r="N1184" i="3" s="1"/>
  <c r="J1183" i="3"/>
  <c r="K1183" i="3" s="1"/>
  <c r="N1183" i="3" s="1"/>
  <c r="J1182" i="3"/>
  <c r="K1182" i="3" s="1"/>
  <c r="N1182" i="3" s="1"/>
  <c r="J1181" i="3"/>
  <c r="K1181" i="3" s="1"/>
  <c r="N1181" i="3" s="1"/>
  <c r="N1175" i="3"/>
  <c r="N1176" i="3"/>
  <c r="N1177" i="3"/>
  <c r="N1178" i="3"/>
  <c r="J1178" i="3"/>
  <c r="J1177" i="3"/>
  <c r="J1176" i="3"/>
  <c r="J1175" i="3"/>
  <c r="J1095" i="2"/>
  <c r="K1095" i="2" s="1"/>
  <c r="N1095" i="2" s="1"/>
  <c r="J931" i="3"/>
  <c r="J1173" i="3"/>
  <c r="D107" i="21"/>
  <c r="D133" i="21"/>
  <c r="D129" i="21"/>
  <c r="D127" i="21" s="1"/>
  <c r="D126" i="21"/>
  <c r="D124" i="21" s="1"/>
  <c r="D120" i="21"/>
  <c r="D119" i="21" s="1"/>
  <c r="D115" i="21"/>
  <c r="D114" i="21" s="1"/>
  <c r="D97" i="21"/>
  <c r="D98" i="21"/>
  <c r="D100" i="21"/>
  <c r="D26" i="21"/>
  <c r="D27" i="21"/>
  <c r="D58" i="21"/>
  <c r="D56" i="21" s="1"/>
  <c r="D55" i="21"/>
  <c r="D53" i="21" s="1"/>
  <c r="D49" i="21"/>
  <c r="D48" i="21" s="1"/>
  <c r="D44" i="21"/>
  <c r="D43" i="21" s="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M82" i="21"/>
  <c r="N82" i="21"/>
  <c r="O82" i="21"/>
  <c r="P82" i="21"/>
  <c r="V82" i="21"/>
  <c r="W82" i="21"/>
  <c r="AC82" i="21"/>
  <c r="AD82" i="21"/>
  <c r="AE82" i="21"/>
  <c r="F84" i="21"/>
  <c r="F82" i="21" s="1"/>
  <c r="G84" i="21"/>
  <c r="G82" i="21" s="1"/>
  <c r="H84" i="21"/>
  <c r="H82" i="21" s="1"/>
  <c r="I84" i="21"/>
  <c r="I82" i="21" s="1"/>
  <c r="J84" i="21"/>
  <c r="J82" i="21" s="1"/>
  <c r="K84" i="21"/>
  <c r="K82" i="21" s="1"/>
  <c r="L84" i="21"/>
  <c r="L82" i="21" s="1"/>
  <c r="M84" i="21"/>
  <c r="N84" i="21"/>
  <c r="O84" i="21"/>
  <c r="P84" i="21"/>
  <c r="Q84" i="21"/>
  <c r="Q82" i="21" s="1"/>
  <c r="Q74" i="21" s="1"/>
  <c r="R84" i="21"/>
  <c r="R82" i="21" s="1"/>
  <c r="R74" i="21" s="1"/>
  <c r="S84" i="21"/>
  <c r="S82" i="21" s="1"/>
  <c r="T84" i="21"/>
  <c r="T82" i="21" s="1"/>
  <c r="U84" i="21"/>
  <c r="U82" i="21" s="1"/>
  <c r="V84" i="21"/>
  <c r="W84" i="21"/>
  <c r="X84" i="21"/>
  <c r="X82" i="21" s="1"/>
  <c r="Y84" i="21"/>
  <c r="Y82" i="21" s="1"/>
  <c r="Z84" i="21"/>
  <c r="Z82" i="21" s="1"/>
  <c r="AA84" i="21"/>
  <c r="AA82" i="21" s="1"/>
  <c r="AB84" i="21"/>
  <c r="AB82" i="21" s="1"/>
  <c r="AC84" i="21"/>
  <c r="AD84" i="21"/>
  <c r="AE84" i="21"/>
  <c r="AF84" i="21"/>
  <c r="AF82" i="21" s="1"/>
  <c r="AG84" i="21"/>
  <c r="AG82" i="21" s="1"/>
  <c r="AH84" i="21"/>
  <c r="AH82" i="21" s="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F75" i="21"/>
  <c r="M75" i="21"/>
  <c r="U75" i="21"/>
  <c r="V75" i="21"/>
  <c r="AC75" i="21"/>
  <c r="F76" i="21"/>
  <c r="G76" i="21"/>
  <c r="G75" i="21" s="1"/>
  <c r="H76" i="21"/>
  <c r="H75" i="21" s="1"/>
  <c r="I76" i="21"/>
  <c r="I75" i="21" s="1"/>
  <c r="I74" i="21" s="1"/>
  <c r="J76" i="21"/>
  <c r="J75" i="21" s="1"/>
  <c r="J74" i="21" s="1"/>
  <c r="K76" i="21"/>
  <c r="K75" i="21" s="1"/>
  <c r="L76" i="21"/>
  <c r="L75" i="21" s="1"/>
  <c r="M76" i="21"/>
  <c r="N76" i="21"/>
  <c r="N75" i="21" s="1"/>
  <c r="O76" i="21"/>
  <c r="O75" i="21" s="1"/>
  <c r="P76" i="21"/>
  <c r="P75" i="21" s="1"/>
  <c r="Q76" i="21"/>
  <c r="Q75" i="21" s="1"/>
  <c r="R76" i="21"/>
  <c r="R75" i="21" s="1"/>
  <c r="S76" i="21"/>
  <c r="S75" i="21" s="1"/>
  <c r="S74" i="21" s="1"/>
  <c r="T76" i="21"/>
  <c r="T75" i="21" s="1"/>
  <c r="U76" i="21"/>
  <c r="V76" i="21"/>
  <c r="W76" i="21"/>
  <c r="W75" i="21" s="1"/>
  <c r="W74" i="21" s="1"/>
  <c r="X76" i="21"/>
  <c r="X75" i="21" s="1"/>
  <c r="Y76" i="21"/>
  <c r="Y75" i="21" s="1"/>
  <c r="Y74" i="21" s="1"/>
  <c r="Z76" i="21"/>
  <c r="Z75" i="21" s="1"/>
  <c r="Z74" i="21" s="1"/>
  <c r="AA76" i="21"/>
  <c r="AA75" i="21" s="1"/>
  <c r="AB76" i="21"/>
  <c r="AB75" i="21" s="1"/>
  <c r="AC76" i="21"/>
  <c r="AD76" i="21"/>
  <c r="AD75" i="21" s="1"/>
  <c r="AE76" i="21"/>
  <c r="AE75" i="21" s="1"/>
  <c r="AF76" i="21"/>
  <c r="AF75" i="21" s="1"/>
  <c r="AG76" i="21"/>
  <c r="AG75" i="21" s="1"/>
  <c r="AG74" i="21" s="1"/>
  <c r="AH76" i="21"/>
  <c r="AH75" i="21" s="1"/>
  <c r="AH74" i="21" s="1"/>
  <c r="E100" i="21"/>
  <c r="E107" i="21"/>
  <c r="E114" i="21"/>
  <c r="E119" i="21"/>
  <c r="E124" i="21"/>
  <c r="E127" i="21"/>
  <c r="E133" i="21"/>
  <c r="E95" i="21"/>
  <c r="E84" i="21"/>
  <c r="E82" i="21" s="1"/>
  <c r="E76" i="21"/>
  <c r="E75" i="21" s="1"/>
  <c r="F73" i="21"/>
  <c r="G73" i="21"/>
  <c r="H73" i="21"/>
  <c r="I73" i="21"/>
  <c r="J73" i="21"/>
  <c r="K73" i="21"/>
  <c r="L73" i="21"/>
  <c r="M73" i="21"/>
  <c r="D76" i="21"/>
  <c r="D75" i="21" s="1"/>
  <c r="AI77" i="21"/>
  <c r="AJ77" i="21"/>
  <c r="D84" i="21"/>
  <c r="D82" i="21" s="1"/>
  <c r="AI96" i="21"/>
  <c r="AJ96" i="21"/>
  <c r="AE74" i="21" l="1"/>
  <c r="O74" i="21"/>
  <c r="G74" i="21"/>
  <c r="E74" i="21"/>
  <c r="AB74" i="21"/>
  <c r="T74" i="21"/>
  <c r="L74" i="21"/>
  <c r="V74" i="21"/>
  <c r="AH113" i="21"/>
  <c r="AH94" i="21" s="1"/>
  <c r="AH137" i="21" s="1"/>
  <c r="AF113" i="21"/>
  <c r="AF94" i="21" s="1"/>
  <c r="X113" i="21"/>
  <c r="P113" i="21"/>
  <c r="P94" i="21" s="1"/>
  <c r="H113" i="21"/>
  <c r="H94" i="21" s="1"/>
  <c r="E113" i="21"/>
  <c r="E94" i="21" s="1"/>
  <c r="E137" i="21" s="1"/>
  <c r="AG113" i="21"/>
  <c r="AG94" i="21" s="1"/>
  <c r="AG137" i="21" s="1"/>
  <c r="Q113" i="21"/>
  <c r="Q94" i="21" s="1"/>
  <c r="Q137" i="21" s="1"/>
  <c r="Z113" i="21"/>
  <c r="Z94" i="21" s="1"/>
  <c r="Z137" i="21" s="1"/>
  <c r="R113" i="21"/>
  <c r="R94" i="21" s="1"/>
  <c r="R137" i="21" s="1"/>
  <c r="J113" i="21"/>
  <c r="Y113" i="21"/>
  <c r="Y94" i="21" s="1"/>
  <c r="Y137" i="21" s="1"/>
  <c r="I113" i="21"/>
  <c r="I94" i="21" s="1"/>
  <c r="I137" i="21" s="1"/>
  <c r="AC113" i="21"/>
  <c r="AC94" i="21" s="1"/>
  <c r="U113" i="21"/>
  <c r="U94" i="21" s="1"/>
  <c r="AB113" i="21"/>
  <c r="AB94" i="21" s="1"/>
  <c r="AB137" i="21" s="1"/>
  <c r="T113" i="21"/>
  <c r="T94" i="21" s="1"/>
  <c r="T137" i="21" s="1"/>
  <c r="L113" i="21"/>
  <c r="L94" i="21" s="1"/>
  <c r="L137" i="21" s="1"/>
  <c r="AA113" i="21"/>
  <c r="AA94" i="21" s="1"/>
  <c r="S113" i="21"/>
  <c r="S94" i="21" s="1"/>
  <c r="S137" i="21" s="1"/>
  <c r="K113" i="21"/>
  <c r="K94" i="21" s="1"/>
  <c r="AE113" i="21"/>
  <c r="AE94" i="21" s="1"/>
  <c r="G113" i="21"/>
  <c r="G94" i="21" s="1"/>
  <c r="G137" i="21" s="1"/>
  <c r="W113" i="21"/>
  <c r="W94" i="21" s="1"/>
  <c r="W137" i="21" s="1"/>
  <c r="O113" i="21"/>
  <c r="O94" i="21" s="1"/>
  <c r="AA74" i="21"/>
  <c r="K74" i="21"/>
  <c r="D42" i="21"/>
  <c r="D95" i="21"/>
  <c r="D113" i="21"/>
  <c r="M113" i="21"/>
  <c r="M94" i="21" s="1"/>
  <c r="U74" i="21"/>
  <c r="F74" i="21"/>
  <c r="AD74" i="21"/>
  <c r="X94" i="21"/>
  <c r="J94" i="21"/>
  <c r="J137" i="21" s="1"/>
  <c r="AC74" i="21"/>
  <c r="N74" i="21"/>
  <c r="M74" i="21"/>
  <c r="AF74" i="21"/>
  <c r="X74" i="21"/>
  <c r="P74" i="21"/>
  <c r="H74" i="21"/>
  <c r="AD113" i="21"/>
  <c r="AD94" i="21" s="1"/>
  <c r="V113" i="21"/>
  <c r="V94" i="21" s="1"/>
  <c r="N113" i="21"/>
  <c r="N94" i="21" s="1"/>
  <c r="F113" i="21"/>
  <c r="F94" i="21" s="1"/>
  <c r="N73" i="21"/>
  <c r="D74" i="21"/>
  <c r="J1093" i="2"/>
  <c r="K1093" i="2" s="1"/>
  <c r="N1093" i="2" s="1"/>
  <c r="J1094" i="2"/>
  <c r="K1094" i="2" s="1"/>
  <c r="N1094" i="2" s="1"/>
  <c r="J1090" i="2"/>
  <c r="N1090" i="2" s="1"/>
  <c r="J1091" i="2"/>
  <c r="K1091" i="2" s="1"/>
  <c r="N1091" i="2" s="1"/>
  <c r="J1092" i="2"/>
  <c r="K1092" i="2" s="1"/>
  <c r="N1092" i="2" s="1"/>
  <c r="J1089" i="2"/>
  <c r="K1089" i="2" s="1"/>
  <c r="N1089" i="2" s="1"/>
  <c r="J1088" i="2"/>
  <c r="K1088" i="2" s="1"/>
  <c r="N1088" i="2" s="1"/>
  <c r="J1087" i="2"/>
  <c r="K1087" i="2" s="1"/>
  <c r="N1087" i="2" s="1"/>
  <c r="J1086" i="2"/>
  <c r="N1086" i="2" s="1"/>
  <c r="J1084" i="2"/>
  <c r="N1084" i="2" s="1"/>
  <c r="J1085" i="2"/>
  <c r="N1085" i="2" s="1"/>
  <c r="J1083" i="2"/>
  <c r="K1083" i="2" s="1"/>
  <c r="N1083" i="2" s="1"/>
  <c r="J1082" i="2"/>
  <c r="K1082" i="2" s="1"/>
  <c r="N1082" i="2" s="1"/>
  <c r="J1081" i="2"/>
  <c r="K1081" i="2" s="1"/>
  <c r="N1081" i="2" s="1"/>
  <c r="J1080" i="2"/>
  <c r="K1080" i="2" s="1"/>
  <c r="N1080" i="2" s="1"/>
  <c r="J1079" i="2"/>
  <c r="K1079" i="2" s="1"/>
  <c r="N1079" i="2" s="1"/>
  <c r="J1078" i="2"/>
  <c r="K1078" i="2" s="1"/>
  <c r="N1078" i="2" s="1"/>
  <c r="J1077" i="2"/>
  <c r="K1077" i="2" s="1"/>
  <c r="N1077" i="2" s="1"/>
  <c r="J1076" i="2"/>
  <c r="K1076" i="2" s="1"/>
  <c r="N1076" i="2" s="1"/>
  <c r="J1075" i="2"/>
  <c r="K1075" i="2" s="1"/>
  <c r="N1075" i="2" s="1"/>
  <c r="J1074" i="2"/>
  <c r="K1074" i="2" s="1"/>
  <c r="N1074" i="2" s="1"/>
  <c r="J1073" i="2"/>
  <c r="K1073" i="2" s="1"/>
  <c r="N1073" i="2" s="1"/>
  <c r="J1072" i="2"/>
  <c r="K1072" i="2" s="1"/>
  <c r="N1072" i="2" s="1"/>
  <c r="J1071" i="2"/>
  <c r="K1071" i="2" s="1"/>
  <c r="N1071" i="2" s="1"/>
  <c r="J1070" i="2"/>
  <c r="K1070" i="2" s="1"/>
  <c r="N1070" i="2" s="1"/>
  <c r="J1069" i="2"/>
  <c r="K1069" i="2" s="1"/>
  <c r="N1069" i="2" s="1"/>
  <c r="J1068" i="2"/>
  <c r="K1068" i="2" s="1"/>
  <c r="N1068" i="2" s="1"/>
  <c r="J1067" i="2"/>
  <c r="K1067" i="2" s="1"/>
  <c r="N1067" i="2" s="1"/>
  <c r="J1066" i="2"/>
  <c r="K1066" i="2" s="1"/>
  <c r="N1066" i="2" s="1"/>
  <c r="J1179" i="3"/>
  <c r="N1179" i="3" s="1"/>
  <c r="J1180" i="3"/>
  <c r="K1180" i="3" s="1"/>
  <c r="N1180" i="3" s="1"/>
  <c r="J1161" i="3"/>
  <c r="K1161" i="3" s="1"/>
  <c r="N1161" i="3" s="1"/>
  <c r="J1160" i="3"/>
  <c r="K1160" i="3" s="1"/>
  <c r="N1160" i="3" s="1"/>
  <c r="J1137" i="3"/>
  <c r="K1137" i="3" s="1"/>
  <c r="N1137" i="3" s="1"/>
  <c r="J1158" i="3"/>
  <c r="K1158" i="3" s="1"/>
  <c r="N1158" i="3" s="1"/>
  <c r="J1155" i="3"/>
  <c r="K1155" i="3" s="1"/>
  <c r="N1155" i="3" s="1"/>
  <c r="J1157" i="3"/>
  <c r="K1157" i="3" s="1"/>
  <c r="N1157" i="3" s="1"/>
  <c r="J1154" i="3"/>
  <c r="K1154" i="3" s="1"/>
  <c r="N1154" i="3" s="1"/>
  <c r="J1153" i="3"/>
  <c r="K1153" i="3" s="1"/>
  <c r="N1153" i="3" s="1"/>
  <c r="J1152" i="3"/>
  <c r="K1152" i="3" s="1"/>
  <c r="N1152" i="3" s="1"/>
  <c r="J1151" i="3"/>
  <c r="K1151" i="3" s="1"/>
  <c r="N1151" i="3" s="1"/>
  <c r="J1150" i="3"/>
  <c r="K1150" i="3" s="1"/>
  <c r="N1150" i="3" s="1"/>
  <c r="J1144" i="3"/>
  <c r="K1144" i="3" s="1"/>
  <c r="N1144" i="3" s="1"/>
  <c r="J1145" i="3"/>
  <c r="K1145" i="3" s="1"/>
  <c r="N1145" i="3" s="1"/>
  <c r="J1146" i="3"/>
  <c r="K1146" i="3" s="1"/>
  <c r="N1146" i="3" s="1"/>
  <c r="J1147" i="3"/>
  <c r="K1147" i="3" s="1"/>
  <c r="N1147" i="3" s="1"/>
  <c r="J1148" i="3"/>
  <c r="K1148" i="3" s="1"/>
  <c r="N1148" i="3" s="1"/>
  <c r="J1149" i="3"/>
  <c r="K1149" i="3" s="1"/>
  <c r="N1149" i="3" s="1"/>
  <c r="J1159" i="3"/>
  <c r="K1159" i="3" s="1"/>
  <c r="N1159" i="3" s="1"/>
  <c r="J1156" i="3"/>
  <c r="K1156" i="3" s="1"/>
  <c r="N1156" i="3" s="1"/>
  <c r="J1162" i="3"/>
  <c r="K1162" i="3" s="1"/>
  <c r="N1162" i="3" s="1"/>
  <c r="J1163" i="3"/>
  <c r="K1163" i="3" s="1"/>
  <c r="N1163" i="3" s="1"/>
  <c r="J1164" i="3"/>
  <c r="K1164" i="3" s="1"/>
  <c r="N1164" i="3" s="1"/>
  <c r="J1165" i="3"/>
  <c r="K1165" i="3" s="1"/>
  <c r="N1165" i="3" s="1"/>
  <c r="J1166" i="3"/>
  <c r="K1166" i="3" s="1"/>
  <c r="N1166" i="3" s="1"/>
  <c r="J1167" i="3"/>
  <c r="K1167" i="3" s="1"/>
  <c r="N1167" i="3" s="1"/>
  <c r="J1168" i="3"/>
  <c r="K1168" i="3" s="1"/>
  <c r="N1168" i="3" s="1"/>
  <c r="J1169" i="3"/>
  <c r="K1169" i="3" s="1"/>
  <c r="N1169" i="3" s="1"/>
  <c r="J1170" i="3"/>
  <c r="K1170" i="3" s="1"/>
  <c r="N1170" i="3" s="1"/>
  <c r="J1171" i="3"/>
  <c r="K1171" i="3" s="1"/>
  <c r="N1171" i="3" s="1"/>
  <c r="J1172" i="3"/>
  <c r="K1172" i="3" s="1"/>
  <c r="N1172" i="3" s="1"/>
  <c r="N1173" i="3"/>
  <c r="N1174" i="3"/>
  <c r="O137" i="21" l="1"/>
  <c r="AE137" i="21"/>
  <c r="V137" i="21"/>
  <c r="U137" i="21"/>
  <c r="AC137" i="21"/>
  <c r="K137" i="21"/>
  <c r="AA137" i="21"/>
  <c r="AF137" i="21"/>
  <c r="M137" i="21"/>
  <c r="H137" i="21"/>
  <c r="F137" i="21"/>
  <c r="P137" i="21"/>
  <c r="X137" i="21"/>
  <c r="N137" i="21"/>
  <c r="AD137" i="21"/>
  <c r="D94" i="21"/>
  <c r="D137" i="21" s="1"/>
  <c r="O73" i="21"/>
  <c r="I1023" i="2"/>
  <c r="I1022" i="2"/>
  <c r="I1021" i="2"/>
  <c r="I1020" i="2"/>
  <c r="J1065" i="2"/>
  <c r="K1065" i="2" s="1"/>
  <c r="N1065" i="2" s="1"/>
  <c r="N1143" i="3"/>
  <c r="J1142" i="3"/>
  <c r="N1142" i="3"/>
  <c r="K1141" i="3"/>
  <c r="N1141" i="3" s="1"/>
  <c r="P73" i="21" l="1"/>
  <c r="J1062" i="2"/>
  <c r="J1063" i="2"/>
  <c r="J1064" i="2"/>
  <c r="N1064" i="2"/>
  <c r="N1062" i="2"/>
  <c r="N1063" i="2"/>
  <c r="J1061" i="2"/>
  <c r="N1061" i="2" s="1"/>
  <c r="J1060" i="2"/>
  <c r="K1060" i="2" s="1"/>
  <c r="N1060" i="2" s="1"/>
  <c r="J1059" i="2"/>
  <c r="K1059" i="2" s="1"/>
  <c r="N1059" i="2" s="1"/>
  <c r="J1058" i="2"/>
  <c r="K1058" i="2" s="1"/>
  <c r="N1058" i="2" s="1"/>
  <c r="J1057" i="2"/>
  <c r="N1057" i="2" s="1"/>
  <c r="J1139" i="3"/>
  <c r="N1139" i="3" s="1"/>
  <c r="J1140" i="3"/>
  <c r="N1140" i="3"/>
  <c r="J1056" i="2"/>
  <c r="K1056" i="2" s="1"/>
  <c r="N1056" i="2" s="1"/>
  <c r="J1055" i="2"/>
  <c r="K1055" i="2" s="1"/>
  <c r="N1055" i="2" s="1"/>
  <c r="J1054" i="2"/>
  <c r="K1054" i="2" s="1"/>
  <c r="N1054" i="2" s="1"/>
  <c r="J1044" i="2"/>
  <c r="K1044" i="2" s="1"/>
  <c r="N1044" i="2" s="1"/>
  <c r="J1045" i="2"/>
  <c r="K1045" i="2" s="1"/>
  <c r="N1045" i="2" s="1"/>
  <c r="J1046" i="2"/>
  <c r="J1047" i="2"/>
  <c r="J1048" i="2"/>
  <c r="N1048" i="2" s="1"/>
  <c r="J1049" i="2"/>
  <c r="K1049" i="2" s="1"/>
  <c r="N1049" i="2" s="1"/>
  <c r="J1050" i="2"/>
  <c r="K1050" i="2" s="1"/>
  <c r="N1050" i="2" s="1"/>
  <c r="J1051" i="2"/>
  <c r="K1051" i="2" s="1"/>
  <c r="N1051" i="2" s="1"/>
  <c r="J1052" i="2"/>
  <c r="K1052" i="2" s="1"/>
  <c r="N1052" i="2" s="1"/>
  <c r="J1053" i="2"/>
  <c r="K1053" i="2" s="1"/>
  <c r="N1053" i="2" s="1"/>
  <c r="I1138" i="3"/>
  <c r="J1138" i="3" s="1"/>
  <c r="N1138" i="3" s="1"/>
  <c r="J1035" i="2"/>
  <c r="J1024" i="2"/>
  <c r="K1024" i="2" s="1"/>
  <c r="N1024" i="2" s="1"/>
  <c r="J1025" i="2"/>
  <c r="K1025" i="2" s="1"/>
  <c r="N1025" i="2" s="1"/>
  <c r="J1020" i="2"/>
  <c r="N1020" i="2" s="1"/>
  <c r="J1021" i="2"/>
  <c r="N1021" i="2" s="1"/>
  <c r="J1022" i="2"/>
  <c r="N1022" i="2"/>
  <c r="J1023" i="2"/>
  <c r="N1023" i="2" s="1"/>
  <c r="J1014" i="2"/>
  <c r="K1014" i="2" s="1"/>
  <c r="N1014" i="2" s="1"/>
  <c r="J1015" i="2"/>
  <c r="K1015" i="2" s="1"/>
  <c r="N1015" i="2" s="1"/>
  <c r="J1016" i="2"/>
  <c r="K1016" i="2" s="1"/>
  <c r="N1016" i="2" s="1"/>
  <c r="J1017" i="2"/>
  <c r="K1017" i="2" s="1"/>
  <c r="N1017" i="2" s="1"/>
  <c r="J1018" i="2"/>
  <c r="K1018" i="2" s="1"/>
  <c r="N1018" i="2" s="1"/>
  <c r="J1019" i="2"/>
  <c r="K1019" i="2" s="1"/>
  <c r="N1019" i="2" s="1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J1013" i="2"/>
  <c r="K1013" i="2" s="1"/>
  <c r="N1013" i="2" s="1"/>
  <c r="N1010" i="2"/>
  <c r="N1011" i="2"/>
  <c r="N1012" i="2"/>
  <c r="J1034" i="2"/>
  <c r="K1034" i="2" s="1"/>
  <c r="N1034" i="2" s="1"/>
  <c r="J1033" i="2"/>
  <c r="K1033" i="2" s="1"/>
  <c r="N1033" i="2" s="1"/>
  <c r="J1032" i="2"/>
  <c r="K1032" i="2" s="1"/>
  <c r="N1032" i="2" s="1"/>
  <c r="J1031" i="2"/>
  <c r="K1031" i="2" s="1"/>
  <c r="N1031" i="2" s="1"/>
  <c r="J1030" i="2"/>
  <c r="N1030" i="2" s="1"/>
  <c r="J1029" i="2"/>
  <c r="N1029" i="2" s="1"/>
  <c r="J1028" i="2"/>
  <c r="N1028" i="2" s="1"/>
  <c r="J1027" i="2"/>
  <c r="N1027" i="2" s="1"/>
  <c r="J1026" i="2"/>
  <c r="N1026" i="2" s="1"/>
  <c r="J1043" i="2"/>
  <c r="K1043" i="2" s="1"/>
  <c r="N1043" i="2" s="1"/>
  <c r="J1042" i="2"/>
  <c r="K1042" i="2" s="1"/>
  <c r="N1042" i="2" s="1"/>
  <c r="J1041" i="2"/>
  <c r="K1041" i="2" s="1"/>
  <c r="N1041" i="2" s="1"/>
  <c r="J1040" i="2"/>
  <c r="K1040" i="2" s="1"/>
  <c r="N1040" i="2" s="1"/>
  <c r="J1039" i="2"/>
  <c r="K1039" i="2" s="1"/>
  <c r="N1039" i="2" s="1"/>
  <c r="J1038" i="2"/>
  <c r="K1038" i="2" s="1"/>
  <c r="N1038" i="2" s="1"/>
  <c r="J1037" i="2"/>
  <c r="K1037" i="2" s="1"/>
  <c r="N1037" i="2" s="1"/>
  <c r="J1036" i="2"/>
  <c r="K1036" i="2" s="1"/>
  <c r="N1036" i="2" s="1"/>
  <c r="J1132" i="3"/>
  <c r="K1132" i="3" s="1"/>
  <c r="N1132" i="3" s="1"/>
  <c r="J1133" i="3"/>
  <c r="K1133" i="3" s="1"/>
  <c r="N1133" i="3" s="1"/>
  <c r="J1134" i="3"/>
  <c r="K1134" i="3" s="1"/>
  <c r="N1134" i="3" s="1"/>
  <c r="J1135" i="3"/>
  <c r="K1135" i="3" s="1"/>
  <c r="N1135" i="3" s="1"/>
  <c r="J1136" i="3"/>
  <c r="K1136" i="3" s="1"/>
  <c r="N1136" i="3" s="1"/>
  <c r="J1131" i="3"/>
  <c r="K1131" i="3" s="1"/>
  <c r="N1131" i="3" s="1"/>
  <c r="J1130" i="3"/>
  <c r="K1130" i="3" s="1"/>
  <c r="N1130" i="3" s="1"/>
  <c r="J1129" i="3"/>
  <c r="K1129" i="3" s="1"/>
  <c r="N1129" i="3" s="1"/>
  <c r="I1128" i="3"/>
  <c r="J1128" i="3" s="1"/>
  <c r="K1128" i="3" s="1"/>
  <c r="N1128" i="3" s="1"/>
  <c r="I1127" i="3"/>
  <c r="J1127" i="3" s="1"/>
  <c r="K1127" i="3" s="1"/>
  <c r="N1127" i="3" s="1"/>
  <c r="I1126" i="3"/>
  <c r="J1126" i="3" s="1"/>
  <c r="K1126" i="3" s="1"/>
  <c r="N1126" i="3" s="1"/>
  <c r="I1125" i="3"/>
  <c r="J1125" i="3" s="1"/>
  <c r="K1125" i="3" s="1"/>
  <c r="N1125" i="3" s="1"/>
  <c r="I1124" i="3"/>
  <c r="D140" i="20"/>
  <c r="D129" i="20" s="1"/>
  <c r="D124" i="20"/>
  <c r="J111" i="20"/>
  <c r="K111" i="20"/>
  <c r="L111" i="20"/>
  <c r="M111" i="20"/>
  <c r="P111" i="20"/>
  <c r="Q111" i="20"/>
  <c r="I111" i="20"/>
  <c r="J1124" i="3"/>
  <c r="N1124" i="3"/>
  <c r="I1123" i="3"/>
  <c r="J1123" i="3" s="1"/>
  <c r="N1123" i="3" s="1"/>
  <c r="I1122" i="3"/>
  <c r="J1122" i="3" s="1"/>
  <c r="N1122" i="3" s="1"/>
  <c r="I1121" i="3"/>
  <c r="J1121" i="3" s="1"/>
  <c r="N1121" i="3" s="1"/>
  <c r="I1120" i="3"/>
  <c r="J1120" i="3" s="1"/>
  <c r="N1120" i="3" s="1"/>
  <c r="I1119" i="3"/>
  <c r="J1119" i="3"/>
  <c r="N1119" i="3" s="1"/>
  <c r="J1118" i="3"/>
  <c r="N1118" i="3"/>
  <c r="J1011" i="2"/>
  <c r="J1012" i="2"/>
  <c r="J1010" i="2"/>
  <c r="J1008" i="2"/>
  <c r="K1008" i="2" s="1"/>
  <c r="N1008" i="2" s="1"/>
  <c r="J1009" i="2"/>
  <c r="K1009" i="2" s="1"/>
  <c r="N1009" i="2" s="1"/>
  <c r="J1007" i="2"/>
  <c r="K1007" i="2" s="1"/>
  <c r="N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J998" i="2"/>
  <c r="N998" i="2" s="1"/>
  <c r="J996" i="2"/>
  <c r="N996" i="2" s="1"/>
  <c r="J997" i="2"/>
  <c r="J995" i="2"/>
  <c r="J993" i="2"/>
  <c r="K993" i="2" s="1"/>
  <c r="N993" i="2" s="1"/>
  <c r="J994" i="2"/>
  <c r="K994" i="2" s="1"/>
  <c r="N994" i="2" s="1"/>
  <c r="J992" i="2"/>
  <c r="K992" i="2" s="1"/>
  <c r="N992" i="2" s="1"/>
  <c r="J991" i="2"/>
  <c r="K991" i="2" s="1"/>
  <c r="N991" i="2" s="1"/>
  <c r="J990" i="2"/>
  <c r="K990" i="2" s="1"/>
  <c r="N990" i="2" s="1"/>
  <c r="J983" i="2"/>
  <c r="K983" i="2" s="1"/>
  <c r="N983" i="2" s="1"/>
  <c r="J984" i="2"/>
  <c r="K984" i="2" s="1"/>
  <c r="N984" i="2" s="1"/>
  <c r="J985" i="2"/>
  <c r="K985" i="2" s="1"/>
  <c r="N985" i="2" s="1"/>
  <c r="J986" i="2"/>
  <c r="K986" i="2" s="1"/>
  <c r="N986" i="2" s="1"/>
  <c r="J987" i="2"/>
  <c r="K987" i="2" s="1"/>
  <c r="N987" i="2" s="1"/>
  <c r="J988" i="2"/>
  <c r="K988" i="2" s="1"/>
  <c r="N988" i="2" s="1"/>
  <c r="J989" i="2"/>
  <c r="K989" i="2" s="1"/>
  <c r="N989" i="2" s="1"/>
  <c r="J982" i="2"/>
  <c r="K982" i="2" s="1"/>
  <c r="N982" i="2" s="1"/>
  <c r="J981" i="2"/>
  <c r="N981" i="2" s="1"/>
  <c r="I980" i="2"/>
  <c r="J980" i="2" s="1"/>
  <c r="K980" i="2" s="1"/>
  <c r="N980" i="2" s="1"/>
  <c r="J979" i="2"/>
  <c r="K979" i="2" s="1"/>
  <c r="N979" i="2" s="1"/>
  <c r="J978" i="2"/>
  <c r="K978" i="2" s="1"/>
  <c r="N978" i="2" s="1"/>
  <c r="J977" i="2"/>
  <c r="K977" i="2" s="1"/>
  <c r="N977" i="2" s="1"/>
  <c r="J976" i="2"/>
  <c r="K976" i="2" s="1"/>
  <c r="N976" i="2" s="1"/>
  <c r="J975" i="2"/>
  <c r="K975" i="2" s="1"/>
  <c r="N975" i="2" s="1"/>
  <c r="J974" i="2"/>
  <c r="K974" i="2" s="1"/>
  <c r="N974" i="2" s="1"/>
  <c r="J972" i="2"/>
  <c r="K972" i="2" s="1"/>
  <c r="N972" i="2" s="1"/>
  <c r="J973" i="2"/>
  <c r="K973" i="2" s="1"/>
  <c r="N973" i="2" s="1"/>
  <c r="J971" i="2"/>
  <c r="K971" i="2" s="1"/>
  <c r="N971" i="2" s="1"/>
  <c r="J968" i="2"/>
  <c r="K968" i="2" s="1"/>
  <c r="N968" i="2" s="1"/>
  <c r="J970" i="2"/>
  <c r="K970" i="2" s="1"/>
  <c r="N970" i="2" s="1"/>
  <c r="J969" i="2"/>
  <c r="K969" i="2" s="1"/>
  <c r="N969" i="2" s="1"/>
  <c r="J967" i="2"/>
  <c r="K967" i="2" s="1"/>
  <c r="N967" i="2" s="1"/>
  <c r="J966" i="2"/>
  <c r="K966" i="2" s="1"/>
  <c r="N966" i="2" s="1"/>
  <c r="J965" i="2"/>
  <c r="K965" i="2" s="1"/>
  <c r="N965" i="2" s="1"/>
  <c r="J964" i="2"/>
  <c r="K964" i="2" s="1"/>
  <c r="N964" i="2" s="1"/>
  <c r="J963" i="2"/>
  <c r="K963" i="2" s="1"/>
  <c r="N963" i="2" s="1"/>
  <c r="J962" i="2"/>
  <c r="K962" i="2" s="1"/>
  <c r="N962" i="2" s="1"/>
  <c r="J961" i="2"/>
  <c r="K961" i="2" s="1"/>
  <c r="N961" i="2" s="1"/>
  <c r="J960" i="2"/>
  <c r="N960" i="2" s="1"/>
  <c r="Q73" i="21" l="1"/>
  <c r="N1047" i="2"/>
  <c r="N1046" i="2"/>
  <c r="N1001" i="2"/>
  <c r="N1000" i="2"/>
  <c r="N1005" i="2"/>
  <c r="N1003" i="2"/>
  <c r="N999" i="2"/>
  <c r="N1004" i="2"/>
  <c r="N995" i="2"/>
  <c r="N997" i="2"/>
  <c r="N1002" i="2"/>
  <c r="N1006" i="2"/>
  <c r="I959" i="2"/>
  <c r="J959" i="2" s="1"/>
  <c r="N959" i="2" s="1"/>
  <c r="J958" i="2"/>
  <c r="K958" i="2" s="1"/>
  <c r="N958" i="2" s="1"/>
  <c r="K1116" i="3"/>
  <c r="N1116" i="3" s="1"/>
  <c r="K1117" i="3"/>
  <c r="N1117" i="3" s="1"/>
  <c r="J1115" i="3"/>
  <c r="K1115" i="3" s="1"/>
  <c r="N1115" i="3" s="1"/>
  <c r="J956" i="2"/>
  <c r="K956" i="2" s="1"/>
  <c r="N956" i="2" s="1"/>
  <c r="J957" i="2"/>
  <c r="K957" i="2" s="1"/>
  <c r="N957" i="2" s="1"/>
  <c r="J955" i="2"/>
  <c r="K955" i="2" s="1"/>
  <c r="N955" i="2" s="1"/>
  <c r="J953" i="2"/>
  <c r="K953" i="2" s="1"/>
  <c r="N953" i="2" s="1"/>
  <c r="J954" i="2"/>
  <c r="K954" i="2" s="1"/>
  <c r="N954" i="2" s="1"/>
  <c r="J952" i="2"/>
  <c r="K952" i="2" s="1"/>
  <c r="N952" i="2" s="1"/>
  <c r="J951" i="2"/>
  <c r="K951" i="2" s="1"/>
  <c r="N951" i="2" s="1"/>
  <c r="J945" i="2"/>
  <c r="K945" i="2" s="1"/>
  <c r="N945" i="2" s="1"/>
  <c r="J946" i="2"/>
  <c r="K946" i="2" s="1"/>
  <c r="N946" i="2" s="1"/>
  <c r="J947" i="2"/>
  <c r="K947" i="2" s="1"/>
  <c r="N947" i="2" s="1"/>
  <c r="J948" i="2"/>
  <c r="K948" i="2" s="1"/>
  <c r="N948" i="2" s="1"/>
  <c r="J949" i="2"/>
  <c r="K949" i="2" s="1"/>
  <c r="N949" i="2" s="1"/>
  <c r="J950" i="2"/>
  <c r="K950" i="2" s="1"/>
  <c r="N950" i="2" s="1"/>
  <c r="J944" i="2"/>
  <c r="K944" i="2" s="1"/>
  <c r="N944" i="2" s="1"/>
  <c r="J943" i="2"/>
  <c r="K943" i="2" s="1"/>
  <c r="N943" i="2" s="1"/>
  <c r="J937" i="2"/>
  <c r="K937" i="2" s="1"/>
  <c r="N937" i="2" s="1"/>
  <c r="J938" i="2"/>
  <c r="K938" i="2" s="1"/>
  <c r="N938" i="2" s="1"/>
  <c r="J939" i="2"/>
  <c r="K939" i="2" s="1"/>
  <c r="N939" i="2" s="1"/>
  <c r="J940" i="2"/>
  <c r="K940" i="2" s="1"/>
  <c r="N940" i="2" s="1"/>
  <c r="J941" i="2"/>
  <c r="K941" i="2" s="1"/>
  <c r="N941" i="2" s="1"/>
  <c r="J942" i="2"/>
  <c r="K942" i="2" s="1"/>
  <c r="N942" i="2" s="1"/>
  <c r="J936" i="2"/>
  <c r="K936" i="2" s="1"/>
  <c r="N936" i="2" s="1"/>
  <c r="J935" i="2"/>
  <c r="K935" i="2" s="1"/>
  <c r="N935" i="2" s="1"/>
  <c r="J933" i="2"/>
  <c r="K933" i="2" s="1"/>
  <c r="N933" i="2" s="1"/>
  <c r="J934" i="2"/>
  <c r="K934" i="2" s="1"/>
  <c r="N934" i="2" s="1"/>
  <c r="J932" i="2"/>
  <c r="K932" i="2" s="1"/>
  <c r="N932" i="2" s="1"/>
  <c r="J931" i="2"/>
  <c r="K931" i="2" s="1"/>
  <c r="N931" i="2" s="1"/>
  <c r="J930" i="2"/>
  <c r="K930" i="2" s="1"/>
  <c r="N930" i="2" s="1"/>
  <c r="J929" i="2"/>
  <c r="K929" i="2" s="1"/>
  <c r="N929" i="2" s="1"/>
  <c r="J927" i="2"/>
  <c r="K927" i="2" s="1"/>
  <c r="N927" i="2" s="1"/>
  <c r="J928" i="2"/>
  <c r="K928" i="2" s="1"/>
  <c r="N928" i="2" s="1"/>
  <c r="J926" i="2"/>
  <c r="K926" i="2" s="1"/>
  <c r="N926" i="2" s="1"/>
  <c r="J925" i="2"/>
  <c r="K925" i="2" s="1"/>
  <c r="N925" i="2" s="1"/>
  <c r="J924" i="2"/>
  <c r="K924" i="2" s="1"/>
  <c r="N924" i="2" s="1"/>
  <c r="J922" i="2"/>
  <c r="K922" i="2" s="1"/>
  <c r="N922" i="2" s="1"/>
  <c r="J923" i="2"/>
  <c r="K923" i="2" s="1"/>
  <c r="N923" i="2" s="1"/>
  <c r="J921" i="2"/>
  <c r="K921" i="2" s="1"/>
  <c r="N921" i="2" s="1"/>
  <c r="J920" i="2"/>
  <c r="K920" i="2" s="1"/>
  <c r="N920" i="2" s="1"/>
  <c r="J919" i="2"/>
  <c r="K919" i="2" s="1"/>
  <c r="N919" i="2" s="1"/>
  <c r="J918" i="2"/>
  <c r="K918" i="2" s="1"/>
  <c r="N918" i="2" s="1"/>
  <c r="J917" i="2"/>
  <c r="K917" i="2" s="1"/>
  <c r="N917" i="2" s="1"/>
  <c r="J916" i="2"/>
  <c r="K916" i="2" s="1"/>
  <c r="N916" i="2" s="1"/>
  <c r="J913" i="2"/>
  <c r="K913" i="2" s="1"/>
  <c r="N913" i="2" s="1"/>
  <c r="J914" i="2"/>
  <c r="K914" i="2" s="1"/>
  <c r="N914" i="2" s="1"/>
  <c r="J915" i="2"/>
  <c r="K915" i="2" s="1"/>
  <c r="N915" i="2" s="1"/>
  <c r="J912" i="2"/>
  <c r="K912" i="2" s="1"/>
  <c r="N912" i="2" s="1"/>
  <c r="J907" i="2"/>
  <c r="K907" i="2" s="1"/>
  <c r="N907" i="2" s="1"/>
  <c r="J908" i="2"/>
  <c r="K908" i="2" s="1"/>
  <c r="N908" i="2" s="1"/>
  <c r="J909" i="2"/>
  <c r="K909" i="2" s="1"/>
  <c r="N909" i="2" s="1"/>
  <c r="J910" i="2"/>
  <c r="K910" i="2" s="1"/>
  <c r="N910" i="2" s="1"/>
  <c r="J911" i="2"/>
  <c r="K911" i="2" s="1"/>
  <c r="N911" i="2" s="1"/>
  <c r="J906" i="2"/>
  <c r="K906" i="2" s="1"/>
  <c r="N906" i="2" s="1"/>
  <c r="J900" i="2"/>
  <c r="K900" i="2" s="1"/>
  <c r="N900" i="2" s="1"/>
  <c r="J901" i="2"/>
  <c r="K901" i="2" s="1"/>
  <c r="N901" i="2" s="1"/>
  <c r="J902" i="2"/>
  <c r="K902" i="2" s="1"/>
  <c r="N902" i="2" s="1"/>
  <c r="J903" i="2"/>
  <c r="K903" i="2" s="1"/>
  <c r="N903" i="2" s="1"/>
  <c r="J904" i="2"/>
  <c r="K904" i="2" s="1"/>
  <c r="N904" i="2" s="1"/>
  <c r="J905" i="2"/>
  <c r="K905" i="2" s="1"/>
  <c r="N905" i="2" s="1"/>
  <c r="J899" i="2"/>
  <c r="K899" i="2" s="1"/>
  <c r="N899" i="2" s="1"/>
  <c r="J893" i="2"/>
  <c r="K893" i="2" s="1"/>
  <c r="N893" i="2" s="1"/>
  <c r="J894" i="2"/>
  <c r="K894" i="2" s="1"/>
  <c r="N894" i="2" s="1"/>
  <c r="J895" i="2"/>
  <c r="K895" i="2" s="1"/>
  <c r="N895" i="2" s="1"/>
  <c r="J896" i="2"/>
  <c r="K896" i="2" s="1"/>
  <c r="N896" i="2" s="1"/>
  <c r="J897" i="2"/>
  <c r="K897" i="2" s="1"/>
  <c r="N897" i="2" s="1"/>
  <c r="J898" i="2"/>
  <c r="K898" i="2" s="1"/>
  <c r="N898" i="2" s="1"/>
  <c r="J892" i="2"/>
  <c r="K892" i="2" s="1"/>
  <c r="N892" i="2" s="1"/>
  <c r="J886" i="2"/>
  <c r="K886" i="2" s="1"/>
  <c r="N886" i="2" s="1"/>
  <c r="J887" i="2"/>
  <c r="K887" i="2" s="1"/>
  <c r="N887" i="2" s="1"/>
  <c r="J888" i="2"/>
  <c r="K888" i="2" s="1"/>
  <c r="N888" i="2" s="1"/>
  <c r="J889" i="2"/>
  <c r="K889" i="2" s="1"/>
  <c r="N889" i="2" s="1"/>
  <c r="J890" i="2"/>
  <c r="K890" i="2" s="1"/>
  <c r="N890" i="2" s="1"/>
  <c r="J891" i="2"/>
  <c r="K891" i="2" s="1"/>
  <c r="N891" i="2" s="1"/>
  <c r="J882" i="2"/>
  <c r="K882" i="2" s="1"/>
  <c r="N882" i="2" s="1"/>
  <c r="J883" i="2"/>
  <c r="K883" i="2" s="1"/>
  <c r="N883" i="2" s="1"/>
  <c r="J884" i="2"/>
  <c r="K884" i="2" s="1"/>
  <c r="N884" i="2" s="1"/>
  <c r="J885" i="2"/>
  <c r="K885" i="2" s="1"/>
  <c r="N885" i="2" s="1"/>
  <c r="J881" i="2"/>
  <c r="K881" i="2" s="1"/>
  <c r="N881" i="2" s="1"/>
  <c r="J880" i="2"/>
  <c r="K880" i="2" s="1"/>
  <c r="N880" i="2" s="1"/>
  <c r="I1113" i="3"/>
  <c r="J1113" i="3" s="1"/>
  <c r="N1113" i="3" s="1"/>
  <c r="J1114" i="3"/>
  <c r="K1114" i="3" s="1"/>
  <c r="N1114" i="3" s="1"/>
  <c r="J1112" i="3"/>
  <c r="K1112" i="3" s="1"/>
  <c r="N1112" i="3" s="1"/>
  <c r="J1111" i="3"/>
  <c r="N1111" i="3" s="1"/>
  <c r="J1110" i="3"/>
  <c r="K1110" i="3" s="1"/>
  <c r="N1110" i="3" s="1"/>
  <c r="J1109" i="3"/>
  <c r="N1109" i="3" s="1"/>
  <c r="I1108" i="3"/>
  <c r="J1108" i="3" s="1"/>
  <c r="K1108" i="3" s="1"/>
  <c r="N1108" i="3" s="1"/>
  <c r="J1107" i="3"/>
  <c r="K1107" i="3" s="1"/>
  <c r="N1107" i="3" s="1"/>
  <c r="J879" i="2"/>
  <c r="N879" i="2" s="1"/>
  <c r="J878" i="2"/>
  <c r="K878" i="2" s="1"/>
  <c r="N878" i="2" s="1"/>
  <c r="K1105" i="3"/>
  <c r="N1105" i="3" s="1"/>
  <c r="K1106" i="3"/>
  <c r="N1106" i="3" s="1"/>
  <c r="K1101" i="3"/>
  <c r="N1101" i="3" s="1"/>
  <c r="K1102" i="3"/>
  <c r="N1102" i="3" s="1"/>
  <c r="K1103" i="3"/>
  <c r="N1103" i="3" s="1"/>
  <c r="K1104" i="3"/>
  <c r="N1104" i="3" s="1"/>
  <c r="K1099" i="3"/>
  <c r="N1099" i="3" s="1"/>
  <c r="K1100" i="3"/>
  <c r="N1100" i="3" s="1"/>
  <c r="K1098" i="3"/>
  <c r="N1098" i="3" s="1"/>
  <c r="J1097" i="3"/>
  <c r="I1096" i="3"/>
  <c r="J1096" i="3" s="1"/>
  <c r="K1096" i="3" s="1"/>
  <c r="N1096" i="3" s="1"/>
  <c r="I1095" i="3"/>
  <c r="J1095" i="3" s="1"/>
  <c r="I1094" i="3"/>
  <c r="J1094" i="3" s="1"/>
  <c r="N1094" i="3" s="1"/>
  <c r="I1093" i="3"/>
  <c r="J1093" i="3" s="1"/>
  <c r="N1093" i="3" s="1"/>
  <c r="I1092" i="3"/>
  <c r="J1092" i="3" s="1"/>
  <c r="I1091" i="3"/>
  <c r="J1091" i="3" s="1"/>
  <c r="N1092" i="3"/>
  <c r="N1095" i="3"/>
  <c r="N1091" i="3"/>
  <c r="J1090" i="3"/>
  <c r="K1090" i="3" s="1"/>
  <c r="N1090" i="3" s="1"/>
  <c r="J1089" i="3"/>
  <c r="K1089" i="3" s="1"/>
  <c r="N1089" i="3" s="1"/>
  <c r="J1088" i="3"/>
  <c r="N1088" i="3" s="1"/>
  <c r="J1087" i="3"/>
  <c r="N1087" i="3" s="1"/>
  <c r="J1086" i="3"/>
  <c r="K1086" i="3" s="1"/>
  <c r="N1086" i="3" s="1"/>
  <c r="J1085" i="3"/>
  <c r="K1085" i="3" s="1"/>
  <c r="N1085" i="3" s="1"/>
  <c r="J1083" i="3"/>
  <c r="K1083" i="3" s="1"/>
  <c r="N1083" i="3" s="1"/>
  <c r="J1084" i="3"/>
  <c r="K1084" i="3" s="1"/>
  <c r="N1084" i="3" s="1"/>
  <c r="J1082" i="3"/>
  <c r="K1082" i="3" s="1"/>
  <c r="N1082" i="3" s="1"/>
  <c r="F89" i="20"/>
  <c r="G89" i="20" s="1"/>
  <c r="H89" i="20" s="1"/>
  <c r="I89" i="20" s="1"/>
  <c r="J89" i="20" s="1"/>
  <c r="K89" i="20" s="1"/>
  <c r="L89" i="20" s="1"/>
  <c r="M89" i="20" s="1"/>
  <c r="N89" i="20" s="1"/>
  <c r="O89" i="20" s="1"/>
  <c r="P89" i="20" s="1"/>
  <c r="Q89" i="20" s="1"/>
  <c r="R89" i="20" s="1"/>
  <c r="S89" i="20" s="1"/>
  <c r="T89" i="20" s="1"/>
  <c r="U89" i="20" s="1"/>
  <c r="V89" i="20" s="1"/>
  <c r="W89" i="20" s="1"/>
  <c r="X89" i="20" s="1"/>
  <c r="Y89" i="20" s="1"/>
  <c r="Z89" i="20" s="1"/>
  <c r="AA89" i="20" s="1"/>
  <c r="AB89" i="20" s="1"/>
  <c r="AC89" i="20" s="1"/>
  <c r="AD89" i="20" s="1"/>
  <c r="AE89" i="20" s="1"/>
  <c r="AF89" i="20" s="1"/>
  <c r="AG89" i="20" s="1"/>
  <c r="AH89" i="20" s="1"/>
  <c r="AI89" i="20" s="1"/>
  <c r="D92" i="20"/>
  <c r="D91" i="20" s="1"/>
  <c r="E92" i="20"/>
  <c r="F92" i="20"/>
  <c r="F91" i="20" s="1"/>
  <c r="G92" i="20"/>
  <c r="G91" i="20" s="1"/>
  <c r="H92" i="20"/>
  <c r="H91" i="20" s="1"/>
  <c r="I92" i="20"/>
  <c r="I91" i="20" s="1"/>
  <c r="J92" i="20"/>
  <c r="J91" i="20" s="1"/>
  <c r="K92" i="20"/>
  <c r="K91" i="20" s="1"/>
  <c r="L92" i="20"/>
  <c r="L91" i="20" s="1"/>
  <c r="M92" i="20"/>
  <c r="M91" i="20" s="1"/>
  <c r="N92" i="20"/>
  <c r="N91" i="20" s="1"/>
  <c r="O92" i="20"/>
  <c r="O91" i="20" s="1"/>
  <c r="P92" i="20"/>
  <c r="P91" i="20" s="1"/>
  <c r="Q92" i="20"/>
  <c r="Q91" i="20" s="1"/>
  <c r="R92" i="20"/>
  <c r="R91" i="20" s="1"/>
  <c r="S92" i="20"/>
  <c r="S91" i="20" s="1"/>
  <c r="T92" i="20"/>
  <c r="T91" i="20" s="1"/>
  <c r="U92" i="20"/>
  <c r="U91" i="20" s="1"/>
  <c r="V92" i="20"/>
  <c r="V91" i="20" s="1"/>
  <c r="W92" i="20"/>
  <c r="W91" i="20" s="1"/>
  <c r="X92" i="20"/>
  <c r="X91" i="20" s="1"/>
  <c r="Y92" i="20"/>
  <c r="Y91" i="20" s="1"/>
  <c r="Z92" i="20"/>
  <c r="Z91" i="20" s="1"/>
  <c r="AA92" i="20"/>
  <c r="AA91" i="20" s="1"/>
  <c r="AB92" i="20"/>
  <c r="AB91" i="20" s="1"/>
  <c r="AC92" i="20"/>
  <c r="AC91" i="20" s="1"/>
  <c r="AD92" i="20"/>
  <c r="AD91" i="20" s="1"/>
  <c r="AE92" i="20"/>
  <c r="AE91" i="20" s="1"/>
  <c r="AF92" i="20"/>
  <c r="AF91" i="20" s="1"/>
  <c r="AG92" i="20"/>
  <c r="AG91" i="20" s="1"/>
  <c r="AH92" i="20"/>
  <c r="AH91" i="20" s="1"/>
  <c r="AI92" i="20"/>
  <c r="AI91" i="20" s="1"/>
  <c r="AJ93" i="20"/>
  <c r="AK93" i="20" s="1"/>
  <c r="AJ94" i="20"/>
  <c r="AK94" i="20" s="1"/>
  <c r="AJ95" i="20"/>
  <c r="AK95" i="20" s="1"/>
  <c r="AJ96" i="20"/>
  <c r="AK96" i="20" s="1"/>
  <c r="AJ97" i="20"/>
  <c r="AK97" i="20" s="1"/>
  <c r="AJ99" i="20"/>
  <c r="AK99" i="20" s="1"/>
  <c r="D100" i="20"/>
  <c r="D98" i="20" s="1"/>
  <c r="E100" i="20"/>
  <c r="F100" i="20"/>
  <c r="F98" i="20" s="1"/>
  <c r="G100" i="20"/>
  <c r="G98" i="20" s="1"/>
  <c r="H100" i="20"/>
  <c r="H98" i="20" s="1"/>
  <c r="I100" i="20"/>
  <c r="I98" i="20" s="1"/>
  <c r="J100" i="20"/>
  <c r="J98" i="20" s="1"/>
  <c r="K100" i="20"/>
  <c r="K98" i="20" s="1"/>
  <c r="L100" i="20"/>
  <c r="L98" i="20" s="1"/>
  <c r="M100" i="20"/>
  <c r="M98" i="20" s="1"/>
  <c r="N100" i="20"/>
  <c r="N98" i="20" s="1"/>
  <c r="O100" i="20"/>
  <c r="O98" i="20" s="1"/>
  <c r="P100" i="20"/>
  <c r="P98" i="20" s="1"/>
  <c r="Q100" i="20"/>
  <c r="Q98" i="20" s="1"/>
  <c r="R100" i="20"/>
  <c r="R98" i="20" s="1"/>
  <c r="S100" i="20"/>
  <c r="S98" i="20" s="1"/>
  <c r="T100" i="20"/>
  <c r="T98" i="20" s="1"/>
  <c r="U100" i="20"/>
  <c r="U98" i="20" s="1"/>
  <c r="V100" i="20"/>
  <c r="V98" i="20" s="1"/>
  <c r="W100" i="20"/>
  <c r="W98" i="20" s="1"/>
  <c r="X100" i="20"/>
  <c r="X98" i="20" s="1"/>
  <c r="Y100" i="20"/>
  <c r="Y98" i="20" s="1"/>
  <c r="Z100" i="20"/>
  <c r="Z98" i="20" s="1"/>
  <c r="AA100" i="20"/>
  <c r="AA98" i="20" s="1"/>
  <c r="AB100" i="20"/>
  <c r="AB98" i="20" s="1"/>
  <c r="AC100" i="20"/>
  <c r="AC98" i="20" s="1"/>
  <c r="AD100" i="20"/>
  <c r="AD98" i="20" s="1"/>
  <c r="AE100" i="20"/>
  <c r="AE98" i="20" s="1"/>
  <c r="AF100" i="20"/>
  <c r="AF98" i="20" s="1"/>
  <c r="AG100" i="20"/>
  <c r="AG98" i="20" s="1"/>
  <c r="AH100" i="20"/>
  <c r="AH98" i="20" s="1"/>
  <c r="AI100" i="20"/>
  <c r="AI98" i="20" s="1"/>
  <c r="AJ101" i="20"/>
  <c r="AK101" i="20" s="1"/>
  <c r="AJ102" i="20"/>
  <c r="AK102" i="20" s="1"/>
  <c r="AJ103" i="20"/>
  <c r="AK103" i="20" s="1"/>
  <c r="AJ104" i="20"/>
  <c r="AK104" i="20" s="1"/>
  <c r="AJ105" i="20"/>
  <c r="AK105" i="20" s="1"/>
  <c r="AJ106" i="20"/>
  <c r="AK106" i="20" s="1"/>
  <c r="AJ107" i="20"/>
  <c r="AK107" i="20" s="1"/>
  <c r="AJ108" i="20"/>
  <c r="AK108" i="20" s="1"/>
  <c r="AJ109" i="20"/>
  <c r="AK109" i="20" s="1"/>
  <c r="D111" i="20"/>
  <c r="E111" i="20"/>
  <c r="F111" i="20"/>
  <c r="G111" i="20"/>
  <c r="H111" i="20"/>
  <c r="N111" i="20"/>
  <c r="O111" i="20"/>
  <c r="R111" i="20"/>
  <c r="S111" i="20"/>
  <c r="T111" i="20"/>
  <c r="U111" i="20"/>
  <c r="V111" i="20"/>
  <c r="W111" i="20"/>
  <c r="X111" i="20"/>
  <c r="Y111" i="20"/>
  <c r="Z111" i="20"/>
  <c r="AA111" i="20"/>
  <c r="AB111" i="20"/>
  <c r="AC111" i="20"/>
  <c r="AD111" i="20"/>
  <c r="AE111" i="20"/>
  <c r="AF111" i="20"/>
  <c r="AG111" i="20"/>
  <c r="AH111" i="20"/>
  <c r="AI111" i="20"/>
  <c r="AJ112" i="20"/>
  <c r="AK112" i="20" s="1"/>
  <c r="AJ113" i="20"/>
  <c r="AK113" i="20" s="1"/>
  <c r="AJ114" i="20"/>
  <c r="AK114" i="20" s="1"/>
  <c r="AJ115" i="20"/>
  <c r="AK115" i="20" s="1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T116" i="20"/>
  <c r="U116" i="20"/>
  <c r="V116" i="20"/>
  <c r="W116" i="20"/>
  <c r="X116" i="20"/>
  <c r="Y116" i="20"/>
  <c r="Z116" i="20"/>
  <c r="AA116" i="20"/>
  <c r="AB116" i="20"/>
  <c r="AC116" i="20"/>
  <c r="AD116" i="20"/>
  <c r="AE116" i="20"/>
  <c r="AF116" i="20"/>
  <c r="AG116" i="20"/>
  <c r="AH116" i="20"/>
  <c r="AI116" i="20"/>
  <c r="AJ117" i="20"/>
  <c r="AK117" i="20" s="1"/>
  <c r="AJ118" i="20"/>
  <c r="AK118" i="20" s="1"/>
  <c r="AJ119" i="20"/>
  <c r="AK119" i="20" s="1"/>
  <c r="AJ120" i="20"/>
  <c r="AK120" i="20" s="1"/>
  <c r="AJ121" i="20"/>
  <c r="AK121" i="20" s="1"/>
  <c r="AJ122" i="20"/>
  <c r="AK122" i="20" s="1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T123" i="20"/>
  <c r="U123" i="20"/>
  <c r="V123" i="20"/>
  <c r="W123" i="20"/>
  <c r="X123" i="20"/>
  <c r="Y123" i="20"/>
  <c r="Z123" i="20"/>
  <c r="AA123" i="20"/>
  <c r="AB123" i="20"/>
  <c r="AC123" i="20"/>
  <c r="AD123" i="20"/>
  <c r="AE123" i="20"/>
  <c r="AF123" i="20"/>
  <c r="AG123" i="20"/>
  <c r="AH123" i="20"/>
  <c r="AI123" i="20"/>
  <c r="AJ124" i="20"/>
  <c r="AK124" i="20" s="1"/>
  <c r="AJ125" i="20"/>
  <c r="AK125" i="20" s="1"/>
  <c r="AJ126" i="20"/>
  <c r="AK126" i="20" s="1"/>
  <c r="AJ127" i="20"/>
  <c r="AK127" i="20" s="1"/>
  <c r="AJ128" i="20"/>
  <c r="AK128" i="20" s="1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T130" i="20"/>
  <c r="U130" i="20"/>
  <c r="V130" i="20"/>
  <c r="W130" i="20"/>
  <c r="X130" i="20"/>
  <c r="Y130" i="20"/>
  <c r="Z130" i="20"/>
  <c r="AA130" i="20"/>
  <c r="AB130" i="20"/>
  <c r="AC130" i="20"/>
  <c r="AD130" i="20"/>
  <c r="AE130" i="20"/>
  <c r="AF130" i="20"/>
  <c r="AG130" i="20"/>
  <c r="AH130" i="20"/>
  <c r="AI130" i="20"/>
  <c r="AJ131" i="20"/>
  <c r="AK131" i="20" s="1"/>
  <c r="AJ132" i="20"/>
  <c r="AK132" i="20" s="1"/>
  <c r="AJ133" i="20"/>
  <c r="AK133" i="20" s="1"/>
  <c r="AJ134" i="20"/>
  <c r="AK134" i="20" s="1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T135" i="20"/>
  <c r="U135" i="20"/>
  <c r="V135" i="20"/>
  <c r="W135" i="20"/>
  <c r="X135" i="20"/>
  <c r="Y135" i="20"/>
  <c r="Z135" i="20"/>
  <c r="AA135" i="20"/>
  <c r="AB135" i="20"/>
  <c r="AC135" i="20"/>
  <c r="AD135" i="20"/>
  <c r="AF135" i="20"/>
  <c r="AG135" i="20"/>
  <c r="AH135" i="20"/>
  <c r="AI135" i="20"/>
  <c r="AJ136" i="20"/>
  <c r="AK136" i="20" s="1"/>
  <c r="AJ137" i="20"/>
  <c r="AK137" i="20" s="1"/>
  <c r="AJ138" i="20"/>
  <c r="AK138" i="20" s="1"/>
  <c r="AJ139" i="20"/>
  <c r="AK139" i="20" s="1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T140" i="20"/>
  <c r="U140" i="20"/>
  <c r="V140" i="20"/>
  <c r="W140" i="20"/>
  <c r="X140" i="20"/>
  <c r="Y140" i="20"/>
  <c r="Z140" i="20"/>
  <c r="AA140" i="20"/>
  <c r="AB140" i="20"/>
  <c r="AC140" i="20"/>
  <c r="AD140" i="20"/>
  <c r="AE140" i="20"/>
  <c r="AF140" i="20"/>
  <c r="AG140" i="20"/>
  <c r="AH140" i="20"/>
  <c r="AI140" i="20"/>
  <c r="AJ141" i="20"/>
  <c r="AK141" i="20" s="1"/>
  <c r="AJ142" i="20"/>
  <c r="AK142" i="20" s="1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T143" i="20"/>
  <c r="U143" i="20"/>
  <c r="V143" i="20"/>
  <c r="W143" i="20"/>
  <c r="X143" i="20"/>
  <c r="Y143" i="20"/>
  <c r="Z143" i="20"/>
  <c r="AA143" i="20"/>
  <c r="AB143" i="20"/>
  <c r="AC143" i="20"/>
  <c r="AD143" i="20"/>
  <c r="AE143" i="20"/>
  <c r="AF143" i="20"/>
  <c r="AG143" i="20"/>
  <c r="AH143" i="20"/>
  <c r="AI143" i="20"/>
  <c r="AJ144" i="20"/>
  <c r="AK144" i="20" s="1"/>
  <c r="AJ145" i="20"/>
  <c r="AK145" i="20" s="1"/>
  <c r="AJ146" i="20"/>
  <c r="AK146" i="20" s="1"/>
  <c r="AJ147" i="20"/>
  <c r="AK147" i="20" s="1"/>
  <c r="AJ148" i="20"/>
  <c r="AK148" i="20" s="1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AH149" i="20"/>
  <c r="AI149" i="20"/>
  <c r="AJ150" i="20"/>
  <c r="AK150" i="20" s="1"/>
  <c r="AJ151" i="20"/>
  <c r="AK151" i="20" s="1"/>
  <c r="AJ152" i="20"/>
  <c r="AK152" i="20" s="1"/>
  <c r="J1081" i="3"/>
  <c r="K1081" i="3" s="1"/>
  <c r="N1081" i="3" s="1"/>
  <c r="J1079" i="3"/>
  <c r="N1079" i="3" s="1"/>
  <c r="J1080" i="3"/>
  <c r="N1080" i="3" s="1"/>
  <c r="J1078" i="3"/>
  <c r="N1078" i="3" s="1"/>
  <c r="J1077" i="3"/>
  <c r="K1077" i="3" s="1"/>
  <c r="N1077" i="3" s="1"/>
  <c r="J1076" i="3"/>
  <c r="K1076" i="3" s="1"/>
  <c r="N1076" i="3" s="1"/>
  <c r="J1075" i="3"/>
  <c r="K1075" i="3" s="1"/>
  <c r="N1075" i="3" s="1"/>
  <c r="J1073" i="3"/>
  <c r="K1073" i="3" s="1"/>
  <c r="N1073" i="3" s="1"/>
  <c r="J1074" i="3"/>
  <c r="K1074" i="3" s="1"/>
  <c r="N1074" i="3" s="1"/>
  <c r="J1072" i="3"/>
  <c r="K1072" i="3" s="1"/>
  <c r="N1072" i="3" s="1"/>
  <c r="J1070" i="3"/>
  <c r="K1070" i="3" s="1"/>
  <c r="N1070" i="3" s="1"/>
  <c r="J1071" i="3"/>
  <c r="K1071" i="3" s="1"/>
  <c r="N1071" i="3" s="1"/>
  <c r="J1069" i="3"/>
  <c r="K1069" i="3" s="1"/>
  <c r="N1069" i="3" s="1"/>
  <c r="J1068" i="3"/>
  <c r="K1068" i="3" s="1"/>
  <c r="N1068" i="3" s="1"/>
  <c r="R73" i="21" l="1"/>
  <c r="N1035" i="2"/>
  <c r="Z90" i="20"/>
  <c r="AB90" i="20"/>
  <c r="AC90" i="20"/>
  <c r="O129" i="20"/>
  <c r="O110" i="20" s="1"/>
  <c r="AJ140" i="20"/>
  <c r="AK140" i="20" s="1"/>
  <c r="V129" i="20"/>
  <c r="V110" i="20" s="1"/>
  <c r="AA90" i="20"/>
  <c r="K1097" i="3"/>
  <c r="N1097" i="3" s="1"/>
  <c r="AJ149" i="20"/>
  <c r="AK149" i="20" s="1"/>
  <c r="AE129" i="20"/>
  <c r="AE110" i="20" s="1"/>
  <c r="G129" i="20"/>
  <c r="G110" i="20" s="1"/>
  <c r="S129" i="20"/>
  <c r="S110" i="20" s="1"/>
  <c r="R129" i="20"/>
  <c r="R110" i="20" s="1"/>
  <c r="J129" i="20"/>
  <c r="J110" i="20" s="1"/>
  <c r="W129" i="20"/>
  <c r="W110" i="20" s="1"/>
  <c r="T129" i="20"/>
  <c r="T110" i="20" s="1"/>
  <c r="AD129" i="20"/>
  <c r="AD110" i="20" s="1"/>
  <c r="F129" i="20"/>
  <c r="F110" i="20" s="1"/>
  <c r="AA129" i="20"/>
  <c r="AA110" i="20" s="1"/>
  <c r="K129" i="20"/>
  <c r="K110" i="20" s="1"/>
  <c r="AI129" i="20"/>
  <c r="AI110" i="20" s="1"/>
  <c r="Z129" i="20"/>
  <c r="Z110" i="20" s="1"/>
  <c r="AC129" i="20"/>
  <c r="AC110" i="20" s="1"/>
  <c r="AC153" i="20" s="1"/>
  <c r="U129" i="20"/>
  <c r="U110" i="20" s="1"/>
  <c r="M129" i="20"/>
  <c r="M110" i="20" s="1"/>
  <c r="E129" i="20"/>
  <c r="E110" i="20" s="1"/>
  <c r="AH129" i="20"/>
  <c r="AH110" i="20" s="1"/>
  <c r="AB129" i="20"/>
  <c r="AB110" i="20" s="1"/>
  <c r="L129" i="20"/>
  <c r="L110" i="20" s="1"/>
  <c r="D110" i="20"/>
  <c r="AJ116" i="20"/>
  <c r="AK116" i="20" s="1"/>
  <c r="AH90" i="20"/>
  <c r="S90" i="20"/>
  <c r="P90" i="20"/>
  <c r="AE90" i="20"/>
  <c r="L90" i="20"/>
  <c r="AI90" i="20"/>
  <c r="R90" i="20"/>
  <c r="Q90" i="20"/>
  <c r="K90" i="20"/>
  <c r="T90" i="20"/>
  <c r="J90" i="20"/>
  <c r="AG90" i="20"/>
  <c r="AF90" i="20"/>
  <c r="U90" i="20"/>
  <c r="M90" i="20"/>
  <c r="I90" i="20"/>
  <c r="N129" i="20"/>
  <c r="N110" i="20" s="1"/>
  <c r="Y90" i="20"/>
  <c r="G90" i="20"/>
  <c r="AG129" i="20"/>
  <c r="AG110" i="20" s="1"/>
  <c r="Y129" i="20"/>
  <c r="Y110" i="20" s="1"/>
  <c r="Q129" i="20"/>
  <c r="Q110" i="20" s="1"/>
  <c r="I129" i="20"/>
  <c r="I110" i="20" s="1"/>
  <c r="AJ123" i="20"/>
  <c r="AK123" i="20" s="1"/>
  <c r="AF129" i="20"/>
  <c r="AF110" i="20" s="1"/>
  <c r="X129" i="20"/>
  <c r="P129" i="20"/>
  <c r="P110" i="20" s="1"/>
  <c r="H129" i="20"/>
  <c r="H110" i="20" s="1"/>
  <c r="AD90" i="20"/>
  <c r="V90" i="20"/>
  <c r="N90" i="20"/>
  <c r="F90" i="20"/>
  <c r="X110" i="20"/>
  <c r="AJ143" i="20"/>
  <c r="AK143" i="20" s="1"/>
  <c r="X90" i="20"/>
  <c r="AJ130" i="20"/>
  <c r="AK130" i="20" s="1"/>
  <c r="W90" i="20"/>
  <c r="D90" i="20"/>
  <c r="AJ111" i="20"/>
  <c r="AK111" i="20" s="1"/>
  <c r="H90" i="20"/>
  <c r="AJ100" i="20"/>
  <c r="AK100" i="20" s="1"/>
  <c r="E98" i="20"/>
  <c r="AJ98" i="20" s="1"/>
  <c r="AK98" i="20" s="1"/>
  <c r="AJ135" i="20"/>
  <c r="AK135" i="20" s="1"/>
  <c r="E91" i="20"/>
  <c r="AJ92" i="20"/>
  <c r="AK92" i="20" s="1"/>
  <c r="O90" i="20"/>
  <c r="I1067" i="3"/>
  <c r="J1067" i="3" s="1"/>
  <c r="N1067" i="3" s="1"/>
  <c r="J1066" i="3"/>
  <c r="K1066" i="3" s="1"/>
  <c r="N1066" i="3" s="1"/>
  <c r="J1065" i="3"/>
  <c r="K1065" i="3" s="1"/>
  <c r="N1065" i="3" s="1"/>
  <c r="J1064" i="3"/>
  <c r="K1064" i="3" s="1"/>
  <c r="N1064" i="3" s="1"/>
  <c r="J1063" i="3"/>
  <c r="K1063" i="3" s="1"/>
  <c r="N1063" i="3" s="1"/>
  <c r="J1062" i="3"/>
  <c r="K1062" i="3" s="1"/>
  <c r="N1062" i="3" s="1"/>
  <c r="S73" i="21" l="1"/>
  <c r="Z153" i="20"/>
  <c r="AB153" i="20"/>
  <c r="S153" i="20"/>
  <c r="AH153" i="20"/>
  <c r="AA153" i="20"/>
  <c r="AF153" i="20"/>
  <c r="X153" i="20"/>
  <c r="T153" i="20"/>
  <c r="P153" i="20"/>
  <c r="AG153" i="20"/>
  <c r="J153" i="20"/>
  <c r="K153" i="20"/>
  <c r="L153" i="20"/>
  <c r="U153" i="20"/>
  <c r="G153" i="20"/>
  <c r="AE153" i="20"/>
  <c r="I153" i="20"/>
  <c r="M153" i="20"/>
  <c r="Q153" i="20"/>
  <c r="R153" i="20"/>
  <c r="AI153" i="20"/>
  <c r="W153" i="20"/>
  <c r="AJ129" i="20"/>
  <c r="AK129" i="20" s="1"/>
  <c r="H153" i="20"/>
  <c r="Y153" i="20"/>
  <c r="AJ91" i="20"/>
  <c r="AK91" i="20" s="1"/>
  <c r="E90" i="20"/>
  <c r="F153" i="20"/>
  <c r="N153" i="20"/>
  <c r="V153" i="20"/>
  <c r="AD153" i="20"/>
  <c r="AJ110" i="20"/>
  <c r="AK110" i="20" s="1"/>
  <c r="O153" i="20"/>
  <c r="D153" i="20"/>
  <c r="J1061" i="3"/>
  <c r="N1061" i="3" s="1"/>
  <c r="J1060" i="3"/>
  <c r="K1060" i="3" s="1"/>
  <c r="N1060" i="3" s="1"/>
  <c r="J1059" i="3"/>
  <c r="K1059" i="3" s="1"/>
  <c r="N1059" i="3" s="1"/>
  <c r="J1058" i="3"/>
  <c r="K1058" i="3" s="1"/>
  <c r="N1058" i="3" s="1"/>
  <c r="J1057" i="3"/>
  <c r="K1057" i="3" s="1"/>
  <c r="N1057" i="3" s="1"/>
  <c r="J1055" i="3"/>
  <c r="K1055" i="3" s="1"/>
  <c r="N1055" i="3" s="1"/>
  <c r="J1056" i="3"/>
  <c r="K1056" i="3" s="1"/>
  <c r="N1056" i="3" s="1"/>
  <c r="J1054" i="3"/>
  <c r="K1054" i="3" s="1"/>
  <c r="N1054" i="3" s="1"/>
  <c r="I1053" i="3"/>
  <c r="J1053" i="3" s="1"/>
  <c r="N1053" i="3" s="1"/>
  <c r="J1052" i="3"/>
  <c r="K1052" i="3" s="1"/>
  <c r="N1052" i="3" s="1"/>
  <c r="I1051" i="3"/>
  <c r="J1051" i="3"/>
  <c r="N1051" i="3" s="1"/>
  <c r="J1050" i="3"/>
  <c r="K1050" i="3" s="1"/>
  <c r="N1050" i="3" s="1"/>
  <c r="J1049" i="3"/>
  <c r="K1049" i="3" s="1"/>
  <c r="N1049" i="3" s="1"/>
  <c r="J1048" i="3"/>
  <c r="K1048" i="3" s="1"/>
  <c r="N1048" i="3" s="1"/>
  <c r="J1047" i="3"/>
  <c r="K1047" i="3" s="1"/>
  <c r="N1047" i="3" s="1"/>
  <c r="J1046" i="3"/>
  <c r="K1046" i="3" s="1"/>
  <c r="N1046" i="3" s="1"/>
  <c r="J1045" i="3"/>
  <c r="K1045" i="3" s="1"/>
  <c r="N1045" i="3" s="1"/>
  <c r="J1044" i="3"/>
  <c r="K1044" i="3" s="1"/>
  <c r="N1044" i="3" s="1"/>
  <c r="J1043" i="3"/>
  <c r="K1043" i="3" s="1"/>
  <c r="N1043" i="3" s="1"/>
  <c r="I1042" i="3"/>
  <c r="J1042" i="3" s="1"/>
  <c r="N1042" i="3"/>
  <c r="I1041" i="3"/>
  <c r="J1041" i="3" s="1"/>
  <c r="N1041" i="3" s="1"/>
  <c r="J850" i="2"/>
  <c r="K850" i="2" s="1"/>
  <c r="N850" i="2" s="1"/>
  <c r="T73" i="21" l="1"/>
  <c r="E153" i="20"/>
  <c r="AJ153" i="20" s="1"/>
  <c r="AK153" i="20" s="1"/>
  <c r="AJ90" i="20"/>
  <c r="AK90" i="20" s="1"/>
  <c r="J1015" i="3"/>
  <c r="N1015" i="3" s="1"/>
  <c r="J1040" i="3"/>
  <c r="K1040" i="3" s="1"/>
  <c r="N1040" i="3" s="1"/>
  <c r="I1039" i="3"/>
  <c r="J1039" i="3" s="1"/>
  <c r="N1039" i="3" s="1"/>
  <c r="I1038" i="3"/>
  <c r="J1038" i="3" s="1"/>
  <c r="N1038" i="3" s="1"/>
  <c r="I1037" i="3"/>
  <c r="J1037" i="3" s="1"/>
  <c r="N1037" i="3" s="1"/>
  <c r="J1036" i="3"/>
  <c r="K1036" i="3" s="1"/>
  <c r="N1036" i="3" s="1"/>
  <c r="J1014" i="3"/>
  <c r="N1014" i="3" s="1"/>
  <c r="J1035" i="3"/>
  <c r="N1035" i="3" s="1"/>
  <c r="J1016" i="3"/>
  <c r="I992" i="3"/>
  <c r="J992" i="3" s="1"/>
  <c r="I1034" i="3"/>
  <c r="J1034" i="3"/>
  <c r="N1034" i="3" s="1"/>
  <c r="J1033" i="3"/>
  <c r="K1033" i="3" s="1"/>
  <c r="N1033" i="3" s="1"/>
  <c r="J1032" i="3"/>
  <c r="K1032" i="3" s="1"/>
  <c r="N1032" i="3" s="1"/>
  <c r="J1031" i="3"/>
  <c r="K1031" i="3" s="1"/>
  <c r="N1031" i="3" s="1"/>
  <c r="J1030" i="3"/>
  <c r="K1030" i="3" s="1"/>
  <c r="N1030" i="3" s="1"/>
  <c r="J1029" i="3"/>
  <c r="K1029" i="3" s="1"/>
  <c r="N1029" i="3" s="1"/>
  <c r="J1026" i="3"/>
  <c r="K1026" i="3" s="1"/>
  <c r="J1027" i="3"/>
  <c r="K1027" i="3" s="1"/>
  <c r="J1028" i="3"/>
  <c r="K1028" i="3" s="1"/>
  <c r="N1028" i="3" s="1"/>
  <c r="J1025" i="3"/>
  <c r="K1025" i="3" s="1"/>
  <c r="J1024" i="3"/>
  <c r="K1024" i="3" s="1"/>
  <c r="N1024" i="3" s="1"/>
  <c r="J1023" i="3"/>
  <c r="K1023" i="3" s="1"/>
  <c r="N1023" i="3" s="1"/>
  <c r="J1022" i="3"/>
  <c r="K1022" i="3" s="1"/>
  <c r="N1022" i="3" s="1"/>
  <c r="J1021" i="3"/>
  <c r="K1021" i="3" s="1"/>
  <c r="N1021" i="3" s="1"/>
  <c r="I1019" i="3"/>
  <c r="J1019" i="3" s="1"/>
  <c r="N1019" i="3" s="1"/>
  <c r="I1020" i="3"/>
  <c r="J1020" i="3" s="1"/>
  <c r="N1020" i="3" s="1"/>
  <c r="I1018" i="3"/>
  <c r="J1018" i="3" s="1"/>
  <c r="N1018" i="3" s="1"/>
  <c r="I1017" i="3"/>
  <c r="J1017" i="3" s="1"/>
  <c r="N1017" i="3" s="1"/>
  <c r="J1013" i="3"/>
  <c r="N1013" i="3"/>
  <c r="J1012" i="3"/>
  <c r="K1012" i="3" s="1"/>
  <c r="N1012" i="3" s="1"/>
  <c r="J1007" i="3"/>
  <c r="K1007" i="3" s="1"/>
  <c r="N1007" i="3" s="1"/>
  <c r="J1008" i="3"/>
  <c r="K1008" i="3" s="1"/>
  <c r="N1008" i="3" s="1"/>
  <c r="J1009" i="3"/>
  <c r="K1009" i="3" s="1"/>
  <c r="N1009" i="3" s="1"/>
  <c r="J1010" i="3"/>
  <c r="K1010" i="3" s="1"/>
  <c r="N1010" i="3" s="1"/>
  <c r="J1011" i="3"/>
  <c r="K1011" i="3" s="1"/>
  <c r="N1011" i="3" s="1"/>
  <c r="J1006" i="3"/>
  <c r="K1006" i="3" s="1"/>
  <c r="N1006" i="3" s="1"/>
  <c r="J1005" i="3"/>
  <c r="K1005" i="3" s="1"/>
  <c r="N1005" i="3" s="1"/>
  <c r="J978" i="3"/>
  <c r="J877" i="2"/>
  <c r="K877" i="2" s="1"/>
  <c r="N877" i="2" s="1"/>
  <c r="J876" i="2"/>
  <c r="K876" i="2" s="1"/>
  <c r="N876" i="2" s="1"/>
  <c r="J875" i="2"/>
  <c r="K875" i="2" s="1"/>
  <c r="N875" i="2" s="1"/>
  <c r="J874" i="2"/>
  <c r="K874" i="2" s="1"/>
  <c r="N874" i="2" s="1"/>
  <c r="J873" i="2"/>
  <c r="K873" i="2" s="1"/>
  <c r="N873" i="2" s="1"/>
  <c r="J872" i="2"/>
  <c r="K872" i="2" s="1"/>
  <c r="N872" i="2" s="1"/>
  <c r="J871" i="2"/>
  <c r="K871" i="2" s="1"/>
  <c r="N871" i="2" s="1"/>
  <c r="J870" i="2"/>
  <c r="K870" i="2" s="1"/>
  <c r="N870" i="2" s="1"/>
  <c r="J869" i="2"/>
  <c r="K869" i="2" s="1"/>
  <c r="N869" i="2" s="1"/>
  <c r="J868" i="2"/>
  <c r="K868" i="2" s="1"/>
  <c r="N868" i="2" s="1"/>
  <c r="J867" i="2"/>
  <c r="K867" i="2" s="1"/>
  <c r="N867" i="2" s="1"/>
  <c r="J866" i="2"/>
  <c r="K866" i="2" s="1"/>
  <c r="N866" i="2" s="1"/>
  <c r="J865" i="2"/>
  <c r="K865" i="2" s="1"/>
  <c r="N865" i="2" s="1"/>
  <c r="J864" i="2"/>
  <c r="K864" i="2" s="1"/>
  <c r="N864" i="2" s="1"/>
  <c r="J863" i="2"/>
  <c r="K863" i="2" s="1"/>
  <c r="N863" i="2" s="1"/>
  <c r="J861" i="2"/>
  <c r="K861" i="2" s="1"/>
  <c r="N861" i="2" s="1"/>
  <c r="J862" i="2"/>
  <c r="K862" i="2" s="1"/>
  <c r="N862" i="2" s="1"/>
  <c r="J860" i="2"/>
  <c r="K860" i="2" s="1"/>
  <c r="N860" i="2" s="1"/>
  <c r="J859" i="2"/>
  <c r="K859" i="2" s="1"/>
  <c r="N859" i="2" s="1"/>
  <c r="J858" i="2"/>
  <c r="K858" i="2" s="1"/>
  <c r="N858" i="2" s="1"/>
  <c r="J857" i="2"/>
  <c r="K857" i="2" s="1"/>
  <c r="N857" i="2" s="1"/>
  <c r="J856" i="2"/>
  <c r="K856" i="2" s="1"/>
  <c r="N856" i="2" s="1"/>
  <c r="J855" i="2"/>
  <c r="K855" i="2" s="1"/>
  <c r="N855" i="2" s="1"/>
  <c r="J854" i="2"/>
  <c r="K854" i="2" s="1"/>
  <c r="N854" i="2" s="1"/>
  <c r="J853" i="2"/>
  <c r="K853" i="2" s="1"/>
  <c r="N853" i="2" s="1"/>
  <c r="J852" i="2"/>
  <c r="K852" i="2" s="1"/>
  <c r="N852" i="2" s="1"/>
  <c r="J851" i="2"/>
  <c r="K851" i="2" s="1"/>
  <c r="N851" i="2" s="1"/>
  <c r="J1004" i="3"/>
  <c r="K1004" i="3" s="1"/>
  <c r="N1004" i="3" s="1"/>
  <c r="J1003" i="3"/>
  <c r="K1003" i="3" s="1"/>
  <c r="N1003" i="3" s="1"/>
  <c r="J1002" i="3"/>
  <c r="K1002" i="3" s="1"/>
  <c r="N1002" i="3" s="1"/>
  <c r="J1001" i="3"/>
  <c r="K1001" i="3" s="1"/>
  <c r="N1001" i="3" s="1"/>
  <c r="N992" i="3"/>
  <c r="J1000" i="3"/>
  <c r="K1000" i="3" s="1"/>
  <c r="N1000" i="3" s="1"/>
  <c r="J996" i="3"/>
  <c r="N996" i="3" s="1"/>
  <c r="J997" i="3"/>
  <c r="J998" i="3"/>
  <c r="J999" i="3"/>
  <c r="N999" i="3" s="1"/>
  <c r="N997" i="3"/>
  <c r="N998" i="3"/>
  <c r="J995" i="3"/>
  <c r="N995" i="3" s="1"/>
  <c r="J994" i="3"/>
  <c r="K994" i="3" s="1"/>
  <c r="N994" i="3" s="1"/>
  <c r="J993" i="3"/>
  <c r="K993" i="3" s="1"/>
  <c r="N993" i="3" s="1"/>
  <c r="U73" i="21" l="1"/>
  <c r="N1025" i="3"/>
  <c r="N1026" i="3"/>
  <c r="N1027" i="3"/>
  <c r="V73" i="21" l="1"/>
  <c r="J976" i="3"/>
  <c r="K976" i="3" s="1"/>
  <c r="N976" i="3" s="1"/>
  <c r="J977" i="3"/>
  <c r="K977" i="3" s="1"/>
  <c r="N977" i="3" s="1"/>
  <c r="N978" i="3"/>
  <c r="J979" i="3"/>
  <c r="K979" i="3" s="1"/>
  <c r="N979" i="3" s="1"/>
  <c r="J980" i="3"/>
  <c r="N980" i="3" s="1"/>
  <c r="J981" i="3"/>
  <c r="K981" i="3" s="1"/>
  <c r="N981" i="3" s="1"/>
  <c r="J982" i="3"/>
  <c r="N982" i="3" s="1"/>
  <c r="J983" i="3"/>
  <c r="K983" i="3" s="1"/>
  <c r="N983" i="3" s="1"/>
  <c r="J984" i="3"/>
  <c r="N984" i="3" s="1"/>
  <c r="J985" i="3"/>
  <c r="K985" i="3" s="1"/>
  <c r="N985" i="3" s="1"/>
  <c r="J986" i="3"/>
  <c r="K986" i="3" s="1"/>
  <c r="N986" i="3" s="1"/>
  <c r="J987" i="3"/>
  <c r="K987" i="3" s="1"/>
  <c r="N987" i="3" s="1"/>
  <c r="J988" i="3"/>
  <c r="K988" i="3" s="1"/>
  <c r="N988" i="3" s="1"/>
  <c r="J989" i="3"/>
  <c r="K989" i="3" s="1"/>
  <c r="N989" i="3" s="1"/>
  <c r="J990" i="3"/>
  <c r="N990" i="3" s="1"/>
  <c r="J991" i="3"/>
  <c r="K991" i="3" s="1"/>
  <c r="N991" i="3" s="1"/>
  <c r="J975" i="3"/>
  <c r="N975" i="3" s="1"/>
  <c r="W73" i="21" l="1"/>
  <c r="I951" i="3"/>
  <c r="I950" i="3"/>
  <c r="I949" i="3"/>
  <c r="J972" i="3"/>
  <c r="N972" i="3" s="1"/>
  <c r="J973" i="3"/>
  <c r="J974" i="3"/>
  <c r="N973" i="3"/>
  <c r="N974" i="3"/>
  <c r="N971" i="3"/>
  <c r="J970" i="3"/>
  <c r="N970" i="3" s="1"/>
  <c r="J969" i="3"/>
  <c r="N969" i="3" s="1"/>
  <c r="J941" i="3"/>
  <c r="K941" i="3" s="1"/>
  <c r="N941" i="3" s="1"/>
  <c r="I935" i="3"/>
  <c r="I934" i="3"/>
  <c r="X73" i="21" l="1"/>
  <c r="I929" i="3"/>
  <c r="I928" i="3"/>
  <c r="N968" i="3"/>
  <c r="N967" i="3"/>
  <c r="J966" i="3"/>
  <c r="K966" i="3" s="1"/>
  <c r="N966" i="3" s="1"/>
  <c r="J965" i="3"/>
  <c r="K965" i="3" s="1"/>
  <c r="N965" i="3" s="1"/>
  <c r="J964" i="3"/>
  <c r="N964" i="3"/>
  <c r="J963" i="3"/>
  <c r="K963" i="3" s="1"/>
  <c r="N963" i="3" s="1"/>
  <c r="J962" i="3"/>
  <c r="K962" i="3" s="1"/>
  <c r="N962" i="3" s="1"/>
  <c r="J961" i="3"/>
  <c r="K961" i="3" s="1"/>
  <c r="N961" i="3" s="1"/>
  <c r="J960" i="3"/>
  <c r="K960" i="3" s="1"/>
  <c r="N960" i="3" s="1"/>
  <c r="J959" i="3"/>
  <c r="K959" i="3" s="1"/>
  <c r="N959" i="3" s="1"/>
  <c r="J958" i="3"/>
  <c r="N958" i="3" s="1"/>
  <c r="J957" i="3"/>
  <c r="K957" i="3" s="1"/>
  <c r="N957" i="3" s="1"/>
  <c r="J956" i="3"/>
  <c r="K956" i="3" s="1"/>
  <c r="N956" i="3" s="1"/>
  <c r="J955" i="3"/>
  <c r="N955" i="3" s="1"/>
  <c r="J954" i="3"/>
  <c r="N954" i="3" s="1"/>
  <c r="J953" i="3"/>
  <c r="K953" i="3" s="1"/>
  <c r="N953" i="3" s="1"/>
  <c r="J952" i="3"/>
  <c r="K952" i="3" s="1"/>
  <c r="N952" i="3" s="1"/>
  <c r="J949" i="3"/>
  <c r="N949" i="3" s="1"/>
  <c r="J950" i="3"/>
  <c r="J951" i="3"/>
  <c r="N950" i="3"/>
  <c r="N951" i="3"/>
  <c r="J948" i="3"/>
  <c r="K948" i="3" s="1"/>
  <c r="N948" i="3" s="1"/>
  <c r="J947" i="3"/>
  <c r="K947" i="3" s="1"/>
  <c r="N947" i="3" s="1"/>
  <c r="K946" i="3"/>
  <c r="N946" i="3" s="1"/>
  <c r="J945" i="3"/>
  <c r="K945" i="3" s="1"/>
  <c r="N945" i="3" s="1"/>
  <c r="J944" i="3"/>
  <c r="K944" i="3" s="1"/>
  <c r="N944" i="3" s="1"/>
  <c r="J943" i="3"/>
  <c r="N943" i="3"/>
  <c r="N942" i="3"/>
  <c r="J940" i="3"/>
  <c r="K940" i="3" s="1"/>
  <c r="N940" i="3" s="1"/>
  <c r="J939" i="3"/>
  <c r="K939" i="3" s="1"/>
  <c r="N939" i="3" s="1"/>
  <c r="J938" i="3"/>
  <c r="N938" i="3" s="1"/>
  <c r="J937" i="3"/>
  <c r="K937" i="3" s="1"/>
  <c r="N937" i="3" s="1"/>
  <c r="J936" i="3"/>
  <c r="K936" i="3" s="1"/>
  <c r="N936" i="3" s="1"/>
  <c r="Y73" i="21" l="1"/>
  <c r="J935" i="3"/>
  <c r="N935" i="3" s="1"/>
  <c r="J934" i="3"/>
  <c r="N934" i="3"/>
  <c r="J933" i="3"/>
  <c r="K933" i="3" s="1"/>
  <c r="N933" i="3" s="1"/>
  <c r="Z73" i="21" l="1"/>
  <c r="I910" i="3"/>
  <c r="I909" i="3"/>
  <c r="N931" i="3"/>
  <c r="J932" i="3"/>
  <c r="N932" i="3" s="1"/>
  <c r="J930" i="3"/>
  <c r="K930" i="3" s="1"/>
  <c r="N930" i="3" s="1"/>
  <c r="J929" i="3"/>
  <c r="N929" i="3" s="1"/>
  <c r="J928" i="3"/>
  <c r="N928" i="3" s="1"/>
  <c r="J927" i="3"/>
  <c r="K927" i="3" s="1"/>
  <c r="N927" i="3" s="1"/>
  <c r="N926" i="3"/>
  <c r="N925" i="3"/>
  <c r="N924" i="3"/>
  <c r="J923" i="3"/>
  <c r="K923" i="3" s="1"/>
  <c r="N923" i="3" s="1"/>
  <c r="J849" i="2"/>
  <c r="K849" i="2" s="1"/>
  <c r="N849" i="2" s="1"/>
  <c r="J848" i="2"/>
  <c r="K848" i="2" s="1"/>
  <c r="N848" i="2" s="1"/>
  <c r="J847" i="2"/>
  <c r="K847" i="2" s="1"/>
  <c r="N847" i="2" s="1"/>
  <c r="J842" i="2"/>
  <c r="K842" i="2" s="1"/>
  <c r="N842" i="2" s="1"/>
  <c r="J845" i="2"/>
  <c r="K845" i="2" s="1"/>
  <c r="N845" i="2" s="1"/>
  <c r="J846" i="2"/>
  <c r="K846" i="2" s="1"/>
  <c r="N846" i="2" s="1"/>
  <c r="J844" i="2"/>
  <c r="K844" i="2" s="1"/>
  <c r="N844" i="2" s="1"/>
  <c r="J843" i="2"/>
  <c r="K843" i="2" s="1"/>
  <c r="N843" i="2" s="1"/>
  <c r="J836" i="2"/>
  <c r="K836" i="2" s="1"/>
  <c r="N836" i="2" s="1"/>
  <c r="J839" i="2"/>
  <c r="K839" i="2" s="1"/>
  <c r="N839" i="2" s="1"/>
  <c r="J840" i="2"/>
  <c r="K840" i="2" s="1"/>
  <c r="N840" i="2" s="1"/>
  <c r="J841" i="2"/>
  <c r="K841" i="2" s="1"/>
  <c r="N841" i="2" s="1"/>
  <c r="J838" i="2"/>
  <c r="K838" i="2" s="1"/>
  <c r="N838" i="2" s="1"/>
  <c r="J837" i="2"/>
  <c r="K837" i="2" s="1"/>
  <c r="N837" i="2" s="1"/>
  <c r="J828" i="2"/>
  <c r="K828" i="2" s="1"/>
  <c r="N828" i="2" s="1"/>
  <c r="J830" i="2"/>
  <c r="K830" i="2" s="1"/>
  <c r="N830" i="2" s="1"/>
  <c r="J831" i="2"/>
  <c r="K831" i="2" s="1"/>
  <c r="N831" i="2" s="1"/>
  <c r="J832" i="2"/>
  <c r="K832" i="2" s="1"/>
  <c r="N832" i="2" s="1"/>
  <c r="J833" i="2"/>
  <c r="K833" i="2" s="1"/>
  <c r="N833" i="2" s="1"/>
  <c r="J834" i="2"/>
  <c r="K834" i="2" s="1"/>
  <c r="N834" i="2" s="1"/>
  <c r="J835" i="2"/>
  <c r="K835" i="2" s="1"/>
  <c r="N835" i="2" s="1"/>
  <c r="J829" i="2"/>
  <c r="K829" i="2" s="1"/>
  <c r="N829" i="2" s="1"/>
  <c r="J824" i="2"/>
  <c r="K824" i="2" s="1"/>
  <c r="N824" i="2" s="1"/>
  <c r="J825" i="2"/>
  <c r="K825" i="2" s="1"/>
  <c r="N825" i="2" s="1"/>
  <c r="J826" i="2"/>
  <c r="K826" i="2" s="1"/>
  <c r="N826" i="2" s="1"/>
  <c r="J827" i="2"/>
  <c r="K827" i="2" s="1"/>
  <c r="N827" i="2" s="1"/>
  <c r="J823" i="2"/>
  <c r="K823" i="2" s="1"/>
  <c r="N823" i="2" s="1"/>
  <c r="J822" i="2"/>
  <c r="K822" i="2" s="1"/>
  <c r="N822" i="2" s="1"/>
  <c r="J817" i="2"/>
  <c r="K817" i="2" s="1"/>
  <c r="N817" i="2" s="1"/>
  <c r="J818" i="2"/>
  <c r="K818" i="2" s="1"/>
  <c r="N818" i="2" s="1"/>
  <c r="J819" i="2"/>
  <c r="K819" i="2" s="1"/>
  <c r="N819" i="2" s="1"/>
  <c r="J820" i="2"/>
  <c r="K820" i="2" s="1"/>
  <c r="N820" i="2" s="1"/>
  <c r="J821" i="2"/>
  <c r="K821" i="2" s="1"/>
  <c r="N821" i="2" s="1"/>
  <c r="J816" i="2"/>
  <c r="K816" i="2" s="1"/>
  <c r="N816" i="2" s="1"/>
  <c r="J811" i="2"/>
  <c r="K811" i="2" s="1"/>
  <c r="N811" i="2" s="1"/>
  <c r="J812" i="2"/>
  <c r="K812" i="2" s="1"/>
  <c r="N812" i="2" s="1"/>
  <c r="J813" i="2"/>
  <c r="K813" i="2" s="1"/>
  <c r="N813" i="2" s="1"/>
  <c r="J814" i="2"/>
  <c r="K814" i="2" s="1"/>
  <c r="N814" i="2" s="1"/>
  <c r="J815" i="2"/>
  <c r="K815" i="2" s="1"/>
  <c r="N815" i="2" s="1"/>
  <c r="J810" i="2"/>
  <c r="K810" i="2" s="1"/>
  <c r="N810" i="2" s="1"/>
  <c r="J808" i="2"/>
  <c r="K808" i="2" s="1"/>
  <c r="N808" i="2" s="1"/>
  <c r="J809" i="2"/>
  <c r="K809" i="2" s="1"/>
  <c r="N809" i="2" s="1"/>
  <c r="J807" i="2"/>
  <c r="K807" i="2" s="1"/>
  <c r="N807" i="2" s="1"/>
  <c r="J802" i="2"/>
  <c r="K802" i="2" s="1"/>
  <c r="N802" i="2" s="1"/>
  <c r="J803" i="2"/>
  <c r="K803" i="2" s="1"/>
  <c r="N803" i="2" s="1"/>
  <c r="J804" i="2"/>
  <c r="K804" i="2" s="1"/>
  <c r="N804" i="2" s="1"/>
  <c r="J805" i="2"/>
  <c r="K805" i="2" s="1"/>
  <c r="N805" i="2" s="1"/>
  <c r="J806" i="2"/>
  <c r="K806" i="2" s="1"/>
  <c r="N806" i="2" s="1"/>
  <c r="J801" i="2"/>
  <c r="K801" i="2" s="1"/>
  <c r="N801" i="2" s="1"/>
  <c r="J796" i="2"/>
  <c r="K796" i="2" s="1"/>
  <c r="N796" i="2" s="1"/>
  <c r="J797" i="2"/>
  <c r="K797" i="2" s="1"/>
  <c r="N797" i="2" s="1"/>
  <c r="J798" i="2"/>
  <c r="K798" i="2" s="1"/>
  <c r="N798" i="2" s="1"/>
  <c r="J799" i="2"/>
  <c r="K799" i="2" s="1"/>
  <c r="N799" i="2" s="1"/>
  <c r="J800" i="2"/>
  <c r="K800" i="2" s="1"/>
  <c r="N800" i="2" s="1"/>
  <c r="J795" i="2"/>
  <c r="K795" i="2" s="1"/>
  <c r="N795" i="2" s="1"/>
  <c r="J790" i="2"/>
  <c r="K790" i="2" s="1"/>
  <c r="N790" i="2" s="1"/>
  <c r="J791" i="2"/>
  <c r="K791" i="2" s="1"/>
  <c r="N791" i="2" s="1"/>
  <c r="J792" i="2"/>
  <c r="K792" i="2" s="1"/>
  <c r="N792" i="2" s="1"/>
  <c r="J793" i="2"/>
  <c r="K793" i="2" s="1"/>
  <c r="N793" i="2" s="1"/>
  <c r="J794" i="2"/>
  <c r="K794" i="2" s="1"/>
  <c r="N794" i="2" s="1"/>
  <c r="J789" i="2"/>
  <c r="K789" i="2" s="1"/>
  <c r="N789" i="2" s="1"/>
  <c r="J784" i="2"/>
  <c r="K784" i="2" s="1"/>
  <c r="N784" i="2" s="1"/>
  <c r="J785" i="2"/>
  <c r="K785" i="2" s="1"/>
  <c r="N785" i="2" s="1"/>
  <c r="J786" i="2"/>
  <c r="K786" i="2" s="1"/>
  <c r="N786" i="2" s="1"/>
  <c r="J787" i="2"/>
  <c r="K787" i="2" s="1"/>
  <c r="N787" i="2" s="1"/>
  <c r="J788" i="2"/>
  <c r="K788" i="2" s="1"/>
  <c r="N788" i="2" s="1"/>
  <c r="J783" i="2"/>
  <c r="K783" i="2" s="1"/>
  <c r="N783" i="2" s="1"/>
  <c r="J782" i="2"/>
  <c r="K782" i="2" s="1"/>
  <c r="N782" i="2" s="1"/>
  <c r="J781" i="2"/>
  <c r="N781" i="2"/>
  <c r="J780" i="2"/>
  <c r="K780" i="2" s="1"/>
  <c r="N780" i="2" s="1"/>
  <c r="J922" i="3"/>
  <c r="K922" i="3" s="1"/>
  <c r="N922" i="3" s="1"/>
  <c r="J920" i="3"/>
  <c r="K920" i="3" s="1"/>
  <c r="N920" i="3" s="1"/>
  <c r="J921" i="3"/>
  <c r="K921" i="3" s="1"/>
  <c r="N921" i="3" s="1"/>
  <c r="J919" i="3"/>
  <c r="K919" i="3" s="1"/>
  <c r="N919" i="3" s="1"/>
  <c r="AA73" i="21" l="1"/>
  <c r="K912" i="3"/>
  <c r="N912" i="3" s="1"/>
  <c r="K913" i="3"/>
  <c r="N913" i="3" s="1"/>
  <c r="K914" i="3"/>
  <c r="N914" i="3" s="1"/>
  <c r="K915" i="3"/>
  <c r="N915" i="3" s="1"/>
  <c r="K916" i="3"/>
  <c r="N916" i="3" s="1"/>
  <c r="K917" i="3"/>
  <c r="N917" i="3" s="1"/>
  <c r="K918" i="3"/>
  <c r="N918" i="3" s="1"/>
  <c r="K911" i="3"/>
  <c r="N911" i="3" s="1"/>
  <c r="J910" i="3"/>
  <c r="N910" i="3" s="1"/>
  <c r="J909" i="3"/>
  <c r="N909" i="3" s="1"/>
  <c r="J907" i="3"/>
  <c r="K907" i="3" s="1"/>
  <c r="N907" i="3" s="1"/>
  <c r="J908" i="3"/>
  <c r="K908" i="3" s="1"/>
  <c r="N908" i="3" s="1"/>
  <c r="J906" i="3"/>
  <c r="K906" i="3" s="1"/>
  <c r="N906" i="3" s="1"/>
  <c r="J905" i="3"/>
  <c r="K905" i="3" s="1"/>
  <c r="N905" i="3" s="1"/>
  <c r="J904" i="3"/>
  <c r="K904" i="3" s="1"/>
  <c r="N904" i="3" s="1"/>
  <c r="J903" i="3"/>
  <c r="K903" i="3" s="1"/>
  <c r="N903" i="3" s="1"/>
  <c r="K902" i="3"/>
  <c r="N902" i="3" s="1"/>
  <c r="AB73" i="21" l="1"/>
  <c r="N901" i="3"/>
  <c r="N900" i="3"/>
  <c r="J874" i="3"/>
  <c r="I849" i="3"/>
  <c r="I848" i="3"/>
  <c r="I847" i="3"/>
  <c r="I846" i="3"/>
  <c r="I844" i="3"/>
  <c r="I843" i="3"/>
  <c r="I857" i="3"/>
  <c r="I896" i="3"/>
  <c r="J896" i="3" s="1"/>
  <c r="N896" i="3" s="1"/>
  <c r="I895" i="3"/>
  <c r="J895" i="3" s="1"/>
  <c r="N895" i="3" s="1"/>
  <c r="I856" i="3"/>
  <c r="I882" i="3"/>
  <c r="J882" i="3" s="1"/>
  <c r="I881" i="3"/>
  <c r="J881" i="3" s="1"/>
  <c r="K881" i="3" s="1"/>
  <c r="J899" i="3"/>
  <c r="K899" i="3" s="1"/>
  <c r="N899" i="3" s="1"/>
  <c r="J898" i="3"/>
  <c r="K898" i="3" s="1"/>
  <c r="N898" i="3" s="1"/>
  <c r="J897" i="3"/>
  <c r="K897" i="3" s="1"/>
  <c r="N897" i="3" s="1"/>
  <c r="J894" i="3"/>
  <c r="K894" i="3" s="1"/>
  <c r="N894" i="3" s="1"/>
  <c r="J893" i="3"/>
  <c r="N893" i="3"/>
  <c r="J887" i="3"/>
  <c r="K887" i="3" s="1"/>
  <c r="N887" i="3" s="1"/>
  <c r="J888" i="3"/>
  <c r="K888" i="3" s="1"/>
  <c r="N888" i="3" s="1"/>
  <c r="J889" i="3"/>
  <c r="K889" i="3" s="1"/>
  <c r="N889" i="3" s="1"/>
  <c r="J890" i="3"/>
  <c r="K890" i="3" s="1"/>
  <c r="N890" i="3" s="1"/>
  <c r="J891" i="3"/>
  <c r="K891" i="3" s="1"/>
  <c r="N891" i="3" s="1"/>
  <c r="J892" i="3"/>
  <c r="K892" i="3" s="1"/>
  <c r="N892" i="3" s="1"/>
  <c r="J886" i="3"/>
  <c r="K886" i="3" s="1"/>
  <c r="N886" i="3" s="1"/>
  <c r="J885" i="3"/>
  <c r="K885" i="3" s="1"/>
  <c r="N885" i="3" s="1"/>
  <c r="J884" i="3"/>
  <c r="K884" i="3" s="1"/>
  <c r="N884" i="3" s="1"/>
  <c r="J883" i="3"/>
  <c r="K883" i="3" s="1"/>
  <c r="N883" i="3" s="1"/>
  <c r="J880" i="3"/>
  <c r="K880" i="3" s="1"/>
  <c r="N880" i="3" s="1"/>
  <c r="J879" i="3"/>
  <c r="K879" i="3" s="1"/>
  <c r="N879" i="3" s="1"/>
  <c r="D95" i="19"/>
  <c r="D43" i="19"/>
  <c r="D48" i="19"/>
  <c r="D53" i="19"/>
  <c r="D56" i="19"/>
  <c r="D62" i="19"/>
  <c r="D36" i="19"/>
  <c r="D133" i="19"/>
  <c r="D127" i="19"/>
  <c r="D114" i="19"/>
  <c r="D107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AI114" i="19"/>
  <c r="AI113" i="19" s="1"/>
  <c r="AH114" i="19"/>
  <c r="AH113" i="19" s="1"/>
  <c r="AG114" i="19"/>
  <c r="AF114" i="19"/>
  <c r="AE114" i="19"/>
  <c r="AE113" i="19" s="1"/>
  <c r="AD114" i="19"/>
  <c r="AC114" i="19"/>
  <c r="AB114" i="19"/>
  <c r="AA114" i="19"/>
  <c r="AA113" i="19" s="1"/>
  <c r="Z114" i="19"/>
  <c r="Z113" i="19" s="1"/>
  <c r="Y114" i="19"/>
  <c r="X114" i="19"/>
  <c r="W114" i="19"/>
  <c r="V114" i="19"/>
  <c r="U114" i="19"/>
  <c r="T114" i="19"/>
  <c r="S114" i="19"/>
  <c r="S113" i="19" s="1"/>
  <c r="R114" i="19"/>
  <c r="Q114" i="19"/>
  <c r="P114" i="19"/>
  <c r="O114" i="19"/>
  <c r="O113" i="19" s="1"/>
  <c r="N114" i="19"/>
  <c r="M114" i="19"/>
  <c r="L114" i="19"/>
  <c r="K114" i="19"/>
  <c r="K113" i="19" s="1"/>
  <c r="J114" i="19"/>
  <c r="I114" i="19"/>
  <c r="H114" i="19"/>
  <c r="G114" i="19"/>
  <c r="G113" i="19" s="1"/>
  <c r="F114" i="19"/>
  <c r="F113" i="19" s="1"/>
  <c r="V113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124" i="19"/>
  <c r="AI84" i="19"/>
  <c r="AI82" i="19" s="1"/>
  <c r="AH84" i="19"/>
  <c r="AH82" i="19" s="1"/>
  <c r="AG84" i="19"/>
  <c r="AF84" i="19"/>
  <c r="AF82" i="19" s="1"/>
  <c r="AE84" i="19"/>
  <c r="AE82" i="19" s="1"/>
  <c r="AD84" i="19"/>
  <c r="AD82" i="19" s="1"/>
  <c r="AC84" i="19"/>
  <c r="AB84" i="19"/>
  <c r="AB82" i="19" s="1"/>
  <c r="AA84" i="19"/>
  <c r="AA82" i="19" s="1"/>
  <c r="Z84" i="19"/>
  <c r="Z82" i="19" s="1"/>
  <c r="Y84" i="19"/>
  <c r="X84" i="19"/>
  <c r="X82" i="19" s="1"/>
  <c r="W84" i="19"/>
  <c r="W82" i="19" s="1"/>
  <c r="V84" i="19"/>
  <c r="V82" i="19" s="1"/>
  <c r="U84" i="19"/>
  <c r="T84" i="19"/>
  <c r="T82" i="19" s="1"/>
  <c r="S84" i="19"/>
  <c r="S82" i="19" s="1"/>
  <c r="R84" i="19"/>
  <c r="R82" i="19" s="1"/>
  <c r="Q84" i="19"/>
  <c r="P84" i="19"/>
  <c r="P82" i="19" s="1"/>
  <c r="O84" i="19"/>
  <c r="O82" i="19" s="1"/>
  <c r="N84" i="19"/>
  <c r="N82" i="19" s="1"/>
  <c r="M84" i="19"/>
  <c r="L84" i="19"/>
  <c r="K84" i="19"/>
  <c r="K82" i="19" s="1"/>
  <c r="J84" i="19"/>
  <c r="J82" i="19" s="1"/>
  <c r="I84" i="19"/>
  <c r="H84" i="19"/>
  <c r="G84" i="19"/>
  <c r="G82" i="19" s="1"/>
  <c r="G74" i="19" s="1"/>
  <c r="F84" i="19"/>
  <c r="AG82" i="19"/>
  <c r="AC82" i="19"/>
  <c r="Y82" i="19"/>
  <c r="U82" i="19"/>
  <c r="Q82" i="19"/>
  <c r="M82" i="19"/>
  <c r="L82" i="19"/>
  <c r="I82" i="19"/>
  <c r="H82" i="19"/>
  <c r="F82" i="19"/>
  <c r="AI76" i="19"/>
  <c r="AI75" i="19" s="1"/>
  <c r="AH76" i="19"/>
  <c r="AH75" i="19" s="1"/>
  <c r="AG76" i="19"/>
  <c r="AF76" i="19"/>
  <c r="AF75" i="19" s="1"/>
  <c r="AE76" i="19"/>
  <c r="AD76" i="19"/>
  <c r="AD75" i="19" s="1"/>
  <c r="AD74" i="19" s="1"/>
  <c r="AC76" i="19"/>
  <c r="AC75" i="19" s="1"/>
  <c r="AB76" i="19"/>
  <c r="AB75" i="19" s="1"/>
  <c r="AA76" i="19"/>
  <c r="Z76" i="19"/>
  <c r="Z75" i="19" s="1"/>
  <c r="Y76" i="19"/>
  <c r="Y75" i="19" s="1"/>
  <c r="Y74" i="19" s="1"/>
  <c r="X76" i="19"/>
  <c r="X75" i="19" s="1"/>
  <c r="W76" i="19"/>
  <c r="W75" i="19" s="1"/>
  <c r="V76" i="19"/>
  <c r="V75" i="19" s="1"/>
  <c r="U76" i="19"/>
  <c r="U75" i="19" s="1"/>
  <c r="U74" i="19" s="1"/>
  <c r="T76" i="19"/>
  <c r="T75" i="19" s="1"/>
  <c r="S76" i="19"/>
  <c r="R76" i="19"/>
  <c r="R75" i="19" s="1"/>
  <c r="Q76" i="19"/>
  <c r="P76" i="19"/>
  <c r="P75" i="19" s="1"/>
  <c r="P74" i="19" s="1"/>
  <c r="O76" i="19"/>
  <c r="N76" i="19"/>
  <c r="N75" i="19" s="1"/>
  <c r="M76" i="19"/>
  <c r="L76" i="19"/>
  <c r="K76" i="19"/>
  <c r="J76" i="19"/>
  <c r="I76" i="19"/>
  <c r="H76" i="19"/>
  <c r="G76" i="19"/>
  <c r="F76" i="19"/>
  <c r="AG75" i="19"/>
  <c r="AE75" i="19"/>
  <c r="AA75" i="19"/>
  <c r="S75" i="19"/>
  <c r="S74" i="19" s="1"/>
  <c r="Q75" i="19"/>
  <c r="Q74" i="19" s="1"/>
  <c r="O75" i="19"/>
  <c r="M75" i="19"/>
  <c r="M74" i="19" s="1"/>
  <c r="L75" i="19"/>
  <c r="L74" i="19" s="1"/>
  <c r="K75" i="19"/>
  <c r="J75" i="19"/>
  <c r="I75" i="19"/>
  <c r="H75" i="19"/>
  <c r="G75" i="19"/>
  <c r="F75" i="19"/>
  <c r="AC73" i="21" l="1"/>
  <c r="N881" i="3"/>
  <c r="N882" i="3"/>
  <c r="K94" i="19"/>
  <c r="AC74" i="19"/>
  <c r="H74" i="19"/>
  <c r="AA74" i="19"/>
  <c r="J74" i="19"/>
  <c r="R74" i="19"/>
  <c r="I74" i="19"/>
  <c r="AG74" i="19"/>
  <c r="AB74" i="19"/>
  <c r="F94" i="19"/>
  <c r="J94" i="19"/>
  <c r="V94" i="19"/>
  <c r="Z94" i="19"/>
  <c r="AH94" i="19"/>
  <c r="H113" i="19"/>
  <c r="H94" i="19" s="1"/>
  <c r="L113" i="19"/>
  <c r="L94" i="19" s="1"/>
  <c r="P113" i="19"/>
  <c r="T113" i="19"/>
  <c r="X113" i="19"/>
  <c r="AB113" i="19"/>
  <c r="AB94" i="19" s="1"/>
  <c r="AF113" i="19"/>
  <c r="J113" i="19"/>
  <c r="R113" i="19"/>
  <c r="R94" i="19" s="1"/>
  <c r="AD113" i="19"/>
  <c r="AD94" i="19" s="1"/>
  <c r="AE74" i="19"/>
  <c r="AE94" i="19"/>
  <c r="F74" i="19"/>
  <c r="V74" i="19"/>
  <c r="AH74" i="19"/>
  <c r="K74" i="19"/>
  <c r="W74" i="19"/>
  <c r="O74" i="19"/>
  <c r="S94" i="19"/>
  <c r="AA94" i="19"/>
  <c r="AI74" i="19"/>
  <c r="T74" i="19"/>
  <c r="X74" i="19"/>
  <c r="AF74" i="19"/>
  <c r="I113" i="19"/>
  <c r="I94" i="19" s="1"/>
  <c r="M113" i="19"/>
  <c r="M94" i="19" s="1"/>
  <c r="Q113" i="19"/>
  <c r="Q94" i="19" s="1"/>
  <c r="U113" i="19"/>
  <c r="Y113" i="19"/>
  <c r="Y94" i="19" s="1"/>
  <c r="AC113" i="19"/>
  <c r="AC94" i="19" s="1"/>
  <c r="AG113" i="19"/>
  <c r="AG94" i="19" s="1"/>
  <c r="G94" i="19"/>
  <c r="O94" i="19"/>
  <c r="AI94" i="19"/>
  <c r="N113" i="19"/>
  <c r="Z74" i="19"/>
  <c r="N74" i="19"/>
  <c r="W113" i="19"/>
  <c r="W94" i="19" s="1"/>
  <c r="U94" i="19"/>
  <c r="N94" i="19"/>
  <c r="D42" i="19"/>
  <c r="P94" i="19"/>
  <c r="X94" i="19"/>
  <c r="AF94" i="19"/>
  <c r="T94" i="19"/>
  <c r="AD73" i="21" l="1"/>
  <c r="E127" i="19"/>
  <c r="D124" i="19"/>
  <c r="E119" i="19"/>
  <c r="D119" i="19"/>
  <c r="D113" i="19" s="1"/>
  <c r="D100" i="19"/>
  <c r="AJ96" i="19"/>
  <c r="AK96" i="19" s="1"/>
  <c r="E95" i="19"/>
  <c r="E84" i="19"/>
  <c r="D84" i="19"/>
  <c r="D82" i="19" s="1"/>
  <c r="E76" i="19"/>
  <c r="AJ77" i="19"/>
  <c r="AK77" i="19" s="1"/>
  <c r="D76" i="19"/>
  <c r="D75" i="19" s="1"/>
  <c r="F73" i="19"/>
  <c r="I855" i="3"/>
  <c r="J855" i="3" s="1"/>
  <c r="N855" i="3" s="1"/>
  <c r="J878" i="3"/>
  <c r="K878" i="3" s="1"/>
  <c r="N878" i="3" s="1"/>
  <c r="J876" i="3"/>
  <c r="K876" i="3" s="1"/>
  <c r="N876" i="3" s="1"/>
  <c r="J877" i="3"/>
  <c r="K877" i="3" s="1"/>
  <c r="N877" i="3" s="1"/>
  <c r="J875" i="3"/>
  <c r="K875" i="3" s="1"/>
  <c r="N875" i="3" s="1"/>
  <c r="N874" i="3"/>
  <c r="J871" i="3"/>
  <c r="K871" i="3" s="1"/>
  <c r="N871" i="3" s="1"/>
  <c r="J872" i="3"/>
  <c r="K872" i="3" s="1"/>
  <c r="N872" i="3" s="1"/>
  <c r="J873" i="3"/>
  <c r="K873" i="3" s="1"/>
  <c r="N873" i="3" s="1"/>
  <c r="J870" i="3"/>
  <c r="K870" i="3" s="1"/>
  <c r="N870" i="3" s="1"/>
  <c r="J869" i="3"/>
  <c r="K869" i="3" s="1"/>
  <c r="N869" i="3" s="1"/>
  <c r="J868" i="3"/>
  <c r="K868" i="3" s="1"/>
  <c r="N868" i="3" s="1"/>
  <c r="J867" i="3"/>
  <c r="K867" i="3" s="1"/>
  <c r="N867" i="3" s="1"/>
  <c r="J866" i="3"/>
  <c r="K866" i="3" s="1"/>
  <c r="N866" i="3" s="1"/>
  <c r="J865" i="3"/>
  <c r="K865" i="3" s="1"/>
  <c r="N865" i="3" s="1"/>
  <c r="J864" i="3"/>
  <c r="K864" i="3" s="1"/>
  <c r="N864" i="3" s="1"/>
  <c r="J863" i="3"/>
  <c r="K863" i="3" s="1"/>
  <c r="N863" i="3" s="1"/>
  <c r="J859" i="3"/>
  <c r="K859" i="3" s="1"/>
  <c r="N859" i="3" s="1"/>
  <c r="J860" i="3"/>
  <c r="K860" i="3" s="1"/>
  <c r="N860" i="3" s="1"/>
  <c r="J861" i="3"/>
  <c r="K861" i="3" s="1"/>
  <c r="N861" i="3" s="1"/>
  <c r="J862" i="3"/>
  <c r="K862" i="3" s="1"/>
  <c r="N862" i="3" s="1"/>
  <c r="J858" i="3"/>
  <c r="K858" i="3" s="1"/>
  <c r="N858" i="3" s="1"/>
  <c r="J857" i="3"/>
  <c r="N857" i="3"/>
  <c r="J856" i="3"/>
  <c r="N856" i="3" s="1"/>
  <c r="J854" i="3"/>
  <c r="K854" i="3" s="1"/>
  <c r="N854" i="3" s="1"/>
  <c r="J853" i="3"/>
  <c r="K853" i="3" s="1"/>
  <c r="N853" i="3" s="1"/>
  <c r="J852" i="3"/>
  <c r="K852" i="3" s="1"/>
  <c r="N852" i="3" s="1"/>
  <c r="J851" i="3"/>
  <c r="N851" i="3"/>
  <c r="J850" i="3"/>
  <c r="N850" i="3" s="1"/>
  <c r="J849" i="3"/>
  <c r="N849" i="3" s="1"/>
  <c r="J844" i="3"/>
  <c r="J845" i="3"/>
  <c r="J846" i="3"/>
  <c r="N846" i="3" s="1"/>
  <c r="J847" i="3"/>
  <c r="N847" i="3" s="1"/>
  <c r="J848" i="3"/>
  <c r="N848" i="3" s="1"/>
  <c r="N844" i="3"/>
  <c r="N845" i="3"/>
  <c r="J843" i="3"/>
  <c r="J842" i="3"/>
  <c r="K842" i="3" s="1"/>
  <c r="N842" i="3" s="1"/>
  <c r="I841" i="3"/>
  <c r="J841" i="3" s="1"/>
  <c r="K841" i="3" s="1"/>
  <c r="J840" i="3"/>
  <c r="K840" i="3" s="1"/>
  <c r="N840" i="3" s="1"/>
  <c r="AE73" i="21" l="1"/>
  <c r="D74" i="19"/>
  <c r="G73" i="19"/>
  <c r="D94" i="19"/>
  <c r="E75" i="19"/>
  <c r="E82" i="19"/>
  <c r="E100" i="19"/>
  <c r="E114" i="19"/>
  <c r="E107" i="19"/>
  <c r="E133" i="19"/>
  <c r="N843" i="3"/>
  <c r="N841" i="3"/>
  <c r="AF73" i="21" l="1"/>
  <c r="D137" i="19"/>
  <c r="H73" i="19"/>
  <c r="E113" i="19"/>
  <c r="E74" i="19"/>
  <c r="J839" i="3"/>
  <c r="K839" i="3" s="1"/>
  <c r="N839" i="3" s="1"/>
  <c r="J838" i="3"/>
  <c r="K838" i="3" s="1"/>
  <c r="N838" i="3" s="1"/>
  <c r="J836" i="3"/>
  <c r="K836" i="3" s="1"/>
  <c r="N836" i="3" s="1"/>
  <c r="J837" i="3"/>
  <c r="K837" i="3" s="1"/>
  <c r="N837" i="3" s="1"/>
  <c r="J835" i="3"/>
  <c r="K835" i="3" s="1"/>
  <c r="N835" i="3" s="1"/>
  <c r="K834" i="3"/>
  <c r="N834" i="3" s="1"/>
  <c r="AG73" i="21" l="1"/>
  <c r="I73" i="19"/>
  <c r="E94" i="19"/>
  <c r="J779" i="2"/>
  <c r="K779" i="2" s="1"/>
  <c r="N779" i="2" s="1"/>
  <c r="J778" i="2"/>
  <c r="K778" i="2" s="1"/>
  <c r="N778" i="2" s="1"/>
  <c r="J773" i="2"/>
  <c r="K773" i="2" s="1"/>
  <c r="N773" i="2" s="1"/>
  <c r="J774" i="2"/>
  <c r="K774" i="2" s="1"/>
  <c r="N774" i="2" s="1"/>
  <c r="J775" i="2"/>
  <c r="K775" i="2" s="1"/>
  <c r="N775" i="2" s="1"/>
  <c r="J776" i="2"/>
  <c r="K776" i="2" s="1"/>
  <c r="N776" i="2" s="1"/>
  <c r="J777" i="2"/>
  <c r="K777" i="2" s="1"/>
  <c r="N777" i="2" s="1"/>
  <c r="J772" i="2"/>
  <c r="K772" i="2" s="1"/>
  <c r="N772" i="2" s="1"/>
  <c r="J771" i="2"/>
  <c r="K771" i="2" s="1"/>
  <c r="N771" i="2" s="1"/>
  <c r="J770" i="2"/>
  <c r="K770" i="2" s="1"/>
  <c r="N770" i="2" s="1"/>
  <c r="J769" i="2"/>
  <c r="K769" i="2" s="1"/>
  <c r="N769" i="2" s="1"/>
  <c r="J768" i="2"/>
  <c r="K768" i="2" s="1"/>
  <c r="N768" i="2" s="1"/>
  <c r="I833" i="3"/>
  <c r="J833" i="3" s="1"/>
  <c r="I832" i="3"/>
  <c r="J832" i="3" s="1"/>
  <c r="K831" i="3"/>
  <c r="N831" i="3" s="1"/>
  <c r="J830" i="3"/>
  <c r="K830" i="3" s="1"/>
  <c r="N830" i="3" s="1"/>
  <c r="J819" i="3"/>
  <c r="K819" i="3" s="1"/>
  <c r="N819" i="3" s="1"/>
  <c r="K808" i="3"/>
  <c r="J828" i="3"/>
  <c r="N829" i="3"/>
  <c r="J827" i="3"/>
  <c r="K827" i="3" s="1"/>
  <c r="N827" i="3" s="1"/>
  <c r="J826" i="3"/>
  <c r="K826" i="3" s="1"/>
  <c r="N826" i="3" s="1"/>
  <c r="J825" i="3"/>
  <c r="K825" i="3" s="1"/>
  <c r="N825" i="3" s="1"/>
  <c r="J824" i="3"/>
  <c r="K824" i="3" s="1"/>
  <c r="N824" i="3" s="1"/>
  <c r="I823" i="3"/>
  <c r="J823" i="3" s="1"/>
  <c r="I822" i="3"/>
  <c r="J822" i="3" s="1"/>
  <c r="K822" i="3" s="1"/>
  <c r="I821" i="3"/>
  <c r="J821" i="3" s="1"/>
  <c r="J820" i="3"/>
  <c r="K820" i="3" s="1"/>
  <c r="N820" i="3" s="1"/>
  <c r="J818" i="3"/>
  <c r="I817" i="3"/>
  <c r="J817" i="3" s="1"/>
  <c r="I816" i="3"/>
  <c r="J816" i="3" s="1"/>
  <c r="I815" i="3"/>
  <c r="J815" i="3" s="1"/>
  <c r="I814" i="3"/>
  <c r="J814" i="3" s="1"/>
  <c r="K813" i="3"/>
  <c r="J813" i="3"/>
  <c r="N813" i="3" s="1"/>
  <c r="J792" i="3"/>
  <c r="N792" i="3" s="1"/>
  <c r="AH73" i="21" l="1"/>
  <c r="J73" i="19"/>
  <c r="G137" i="19"/>
  <c r="E137" i="19"/>
  <c r="K832" i="3"/>
  <c r="N832" i="3" s="1"/>
  <c r="K833" i="3"/>
  <c r="N833" i="3" s="1"/>
  <c r="K828" i="3"/>
  <c r="N828" i="3" s="1"/>
  <c r="K823" i="3"/>
  <c r="N823" i="3" s="1"/>
  <c r="N822" i="3"/>
  <c r="N821" i="3"/>
  <c r="N814" i="3"/>
  <c r="N816" i="3"/>
  <c r="N817" i="3"/>
  <c r="N818" i="3"/>
  <c r="N815" i="3"/>
  <c r="J812" i="3"/>
  <c r="K812" i="3" s="1"/>
  <c r="N812" i="3" s="1"/>
  <c r="N811" i="3"/>
  <c r="J810" i="3"/>
  <c r="K810" i="3" s="1"/>
  <c r="N810" i="3" s="1"/>
  <c r="J809" i="3"/>
  <c r="K809" i="3" s="1"/>
  <c r="N809" i="3" s="1"/>
  <c r="J791" i="3"/>
  <c r="K791" i="3" s="1"/>
  <c r="N791" i="3" s="1"/>
  <c r="J793" i="3"/>
  <c r="K793" i="3" s="1"/>
  <c r="N793" i="3" s="1"/>
  <c r="J794" i="3"/>
  <c r="N794" i="3" s="1"/>
  <c r="J795" i="3"/>
  <c r="K795" i="3" s="1"/>
  <c r="N795" i="3" s="1"/>
  <c r="J796" i="3"/>
  <c r="N796" i="3" s="1"/>
  <c r="J797" i="3"/>
  <c r="K797" i="3" s="1"/>
  <c r="N797" i="3" s="1"/>
  <c r="J798" i="3"/>
  <c r="N798" i="3" s="1"/>
  <c r="J799" i="3"/>
  <c r="K799" i="3" s="1"/>
  <c r="N799" i="3" s="1"/>
  <c r="J800" i="3"/>
  <c r="N800" i="3" s="1"/>
  <c r="J801" i="3"/>
  <c r="K801" i="3" s="1"/>
  <c r="N801" i="3" s="1"/>
  <c r="J802" i="3"/>
  <c r="K802" i="3" s="1"/>
  <c r="N802" i="3" s="1"/>
  <c r="J803" i="3"/>
  <c r="K803" i="3" s="1"/>
  <c r="N803" i="3" s="1"/>
  <c r="J804" i="3"/>
  <c r="K804" i="3" s="1"/>
  <c r="N804" i="3" s="1"/>
  <c r="J805" i="3"/>
  <c r="K805" i="3" s="1"/>
  <c r="N805" i="3" s="1"/>
  <c r="J806" i="3"/>
  <c r="J807" i="3"/>
  <c r="K807" i="3" s="1"/>
  <c r="N807" i="3" s="1"/>
  <c r="J790" i="3"/>
  <c r="K790" i="3" s="1"/>
  <c r="N790" i="3" s="1"/>
  <c r="AI79" i="21" l="1"/>
  <c r="AJ79" i="21" s="1"/>
  <c r="AI81" i="21"/>
  <c r="AJ81" i="21" s="1"/>
  <c r="AI102" i="21"/>
  <c r="AJ102" i="21" s="1"/>
  <c r="AI86" i="21"/>
  <c r="AJ86" i="21" s="1"/>
  <c r="AI88" i="21"/>
  <c r="AJ88" i="21" s="1"/>
  <c r="AI90" i="21"/>
  <c r="AJ90" i="21" s="1"/>
  <c r="AI92" i="21"/>
  <c r="AJ92" i="21" s="1"/>
  <c r="AI121" i="21"/>
  <c r="AJ121" i="21" s="1"/>
  <c r="AI122" i="21"/>
  <c r="AJ122" i="21" s="1"/>
  <c r="AI123" i="21"/>
  <c r="AJ123" i="21" s="1"/>
  <c r="AI93" i="21"/>
  <c r="AJ93" i="21" s="1"/>
  <c r="AI80" i="21"/>
  <c r="AJ80" i="21" s="1"/>
  <c r="AI87" i="21"/>
  <c r="AJ87" i="21" s="1"/>
  <c r="AI89" i="21"/>
  <c r="AJ89" i="21" s="1"/>
  <c r="AI99" i="21"/>
  <c r="AJ99" i="21" s="1"/>
  <c r="AI104" i="21"/>
  <c r="AJ104" i="21" s="1"/>
  <c r="AI109" i="21"/>
  <c r="AJ109" i="21" s="1"/>
  <c r="AI98" i="21"/>
  <c r="AJ98" i="21" s="1"/>
  <c r="AI91" i="21"/>
  <c r="AJ91" i="21" s="1"/>
  <c r="AI105" i="21"/>
  <c r="AJ105" i="21" s="1"/>
  <c r="AI110" i="21"/>
  <c r="AJ110" i="21" s="1"/>
  <c r="AI117" i="21"/>
  <c r="AJ117" i="21" s="1"/>
  <c r="AI112" i="21"/>
  <c r="AJ112" i="21" s="1"/>
  <c r="AI124" i="21"/>
  <c r="AJ124" i="21" s="1"/>
  <c r="AI129" i="21"/>
  <c r="AJ129" i="21" s="1"/>
  <c r="AI136" i="21"/>
  <c r="AJ136" i="21" s="1"/>
  <c r="AI116" i="21"/>
  <c r="AJ116" i="21" s="1"/>
  <c r="AI131" i="21"/>
  <c r="AJ131" i="21" s="1"/>
  <c r="AI132" i="21"/>
  <c r="AJ132" i="21" s="1"/>
  <c r="AI126" i="21"/>
  <c r="AJ126" i="21" s="1"/>
  <c r="AI103" i="21"/>
  <c r="AJ103" i="21" s="1"/>
  <c r="AI130" i="21"/>
  <c r="AJ130" i="21" s="1"/>
  <c r="AI135" i="21"/>
  <c r="AJ135" i="21" s="1"/>
  <c r="AI125" i="21"/>
  <c r="AJ125" i="21" s="1"/>
  <c r="AI118" i="21"/>
  <c r="AJ118" i="21" s="1"/>
  <c r="AI106" i="21"/>
  <c r="AJ106" i="21" s="1"/>
  <c r="AI111" i="21"/>
  <c r="AJ111" i="21" s="1"/>
  <c r="H137" i="19"/>
  <c r="K73" i="19"/>
  <c r="F137" i="19"/>
  <c r="N806" i="3"/>
  <c r="N808" i="3"/>
  <c r="L786" i="3"/>
  <c r="AI84" i="21" l="1"/>
  <c r="AJ84" i="21" s="1"/>
  <c r="AI85" i="21"/>
  <c r="AJ85" i="21" s="1"/>
  <c r="AI107" i="21"/>
  <c r="AJ107" i="21" s="1"/>
  <c r="AI108" i="21"/>
  <c r="AJ108" i="21" s="1"/>
  <c r="AI100" i="21"/>
  <c r="AJ100" i="21" s="1"/>
  <c r="AI101" i="21"/>
  <c r="AJ101" i="21" s="1"/>
  <c r="AI82" i="21"/>
  <c r="AJ82" i="21" s="1"/>
  <c r="AI83" i="21"/>
  <c r="AJ83" i="21" s="1"/>
  <c r="AI133" i="21"/>
  <c r="AJ133" i="21" s="1"/>
  <c r="AI134" i="21"/>
  <c r="AJ134" i="21" s="1"/>
  <c r="AI78" i="21"/>
  <c r="AJ78" i="21" s="1"/>
  <c r="AI97" i="21"/>
  <c r="AJ97" i="21" s="1"/>
  <c r="AI127" i="21"/>
  <c r="AJ127" i="21" s="1"/>
  <c r="AI128" i="21"/>
  <c r="AJ128" i="21" s="1"/>
  <c r="AI115" i="21"/>
  <c r="AJ115" i="21" s="1"/>
  <c r="AI119" i="21"/>
  <c r="AJ119" i="21" s="1"/>
  <c r="AI120" i="21"/>
  <c r="AJ120" i="21" s="1"/>
  <c r="I137" i="19"/>
  <c r="L73" i="19"/>
  <c r="J789" i="3"/>
  <c r="K789" i="3" s="1"/>
  <c r="N789" i="3" s="1"/>
  <c r="J788" i="3"/>
  <c r="K788" i="3" s="1"/>
  <c r="N788" i="3" s="1"/>
  <c r="J787" i="3"/>
  <c r="K787" i="3" s="1"/>
  <c r="N787" i="3" s="1"/>
  <c r="K786" i="3"/>
  <c r="N786" i="3" s="1"/>
  <c r="AI95" i="21" l="1"/>
  <c r="AJ95" i="21" s="1"/>
  <c r="AI76" i="21"/>
  <c r="AJ76" i="21" s="1"/>
  <c r="AI113" i="21"/>
  <c r="AJ113" i="21" s="1"/>
  <c r="AI114" i="21"/>
  <c r="AJ114" i="21" s="1"/>
  <c r="M73" i="19"/>
  <c r="J137" i="19"/>
  <c r="J785" i="3"/>
  <c r="K785" i="3" s="1"/>
  <c r="N785" i="3" s="1"/>
  <c r="J784" i="3"/>
  <c r="K784" i="3" s="1"/>
  <c r="N784" i="3" s="1"/>
  <c r="J783" i="3"/>
  <c r="J782" i="3"/>
  <c r="K782" i="3" s="1"/>
  <c r="N782" i="3" s="1"/>
  <c r="J781" i="3"/>
  <c r="K781" i="3" s="1"/>
  <c r="N781" i="3" s="1"/>
  <c r="J780" i="3"/>
  <c r="K780" i="3" s="1"/>
  <c r="N780" i="3" s="1"/>
  <c r="J779" i="3"/>
  <c r="K779" i="3" s="1"/>
  <c r="N779" i="3" s="1"/>
  <c r="J778" i="3"/>
  <c r="K778" i="3" s="1"/>
  <c r="N778" i="3" s="1"/>
  <c r="I777" i="3"/>
  <c r="J777" i="3"/>
  <c r="K777" i="3" s="1"/>
  <c r="N777" i="3" s="1"/>
  <c r="AI75" i="21" l="1"/>
  <c r="AJ75" i="21" s="1"/>
  <c r="AI94" i="21"/>
  <c r="AJ94" i="21" s="1"/>
  <c r="N73" i="19"/>
  <c r="L137" i="19"/>
  <c r="K783" i="3"/>
  <c r="L783" i="3"/>
  <c r="J776" i="3"/>
  <c r="N776" i="3" s="1"/>
  <c r="I775" i="3"/>
  <c r="J775" i="3" s="1"/>
  <c r="K775" i="3" s="1"/>
  <c r="AI137" i="21" l="1"/>
  <c r="AJ137" i="21" s="1"/>
  <c r="AI74" i="21"/>
  <c r="AJ74" i="21" s="1"/>
  <c r="O73" i="19"/>
  <c r="K137" i="19"/>
  <c r="N783" i="3"/>
  <c r="N775" i="3"/>
  <c r="J774" i="3"/>
  <c r="K774" i="3" s="1"/>
  <c r="N774" i="3" s="1"/>
  <c r="J773" i="3"/>
  <c r="K773" i="3" s="1"/>
  <c r="N773" i="3" s="1"/>
  <c r="J772" i="3"/>
  <c r="K772" i="3" s="1"/>
  <c r="N772" i="3" s="1"/>
  <c r="J770" i="3"/>
  <c r="K770" i="3" s="1"/>
  <c r="N770" i="3" s="1"/>
  <c r="J771" i="3"/>
  <c r="K771" i="3" s="1"/>
  <c r="N771" i="3" s="1"/>
  <c r="J769" i="3"/>
  <c r="K769" i="3" s="1"/>
  <c r="N769" i="3" s="1"/>
  <c r="J767" i="2"/>
  <c r="K767" i="2" s="1"/>
  <c r="N767" i="2" s="1"/>
  <c r="J766" i="2"/>
  <c r="K766" i="2" s="1"/>
  <c r="N766" i="2" s="1"/>
  <c r="I765" i="2"/>
  <c r="J765" i="2" s="1"/>
  <c r="K765" i="2" s="1"/>
  <c r="N765" i="2" s="1"/>
  <c r="J764" i="2"/>
  <c r="K764" i="2" s="1"/>
  <c r="N764" i="2" s="1"/>
  <c r="J763" i="2"/>
  <c r="K763" i="2" s="1"/>
  <c r="N763" i="2" s="1"/>
  <c r="J761" i="2"/>
  <c r="K761" i="2" s="1"/>
  <c r="N761" i="2" s="1"/>
  <c r="J762" i="2"/>
  <c r="K762" i="2" s="1"/>
  <c r="N762" i="2" s="1"/>
  <c r="J760" i="2"/>
  <c r="K760" i="2" s="1"/>
  <c r="N760" i="2" s="1"/>
  <c r="J758" i="2"/>
  <c r="K758" i="2" s="1"/>
  <c r="N758" i="2" s="1"/>
  <c r="J759" i="2"/>
  <c r="K759" i="2" s="1"/>
  <c r="N759" i="2" s="1"/>
  <c r="J757" i="2"/>
  <c r="K757" i="2" s="1"/>
  <c r="N757" i="2" s="1"/>
  <c r="J756" i="2"/>
  <c r="K756" i="2" s="1"/>
  <c r="N756" i="2" s="1"/>
  <c r="J755" i="2"/>
  <c r="K755" i="2" s="1"/>
  <c r="N755" i="2" s="1"/>
  <c r="J754" i="2"/>
  <c r="K754" i="2" s="1"/>
  <c r="N754" i="2" s="1"/>
  <c r="J753" i="2"/>
  <c r="K753" i="2" s="1"/>
  <c r="N753" i="2" s="1"/>
  <c r="J752" i="2"/>
  <c r="K752" i="2" s="1"/>
  <c r="N752" i="2" s="1"/>
  <c r="J751" i="2"/>
  <c r="K751" i="2" s="1"/>
  <c r="N751" i="2" s="1"/>
  <c r="J750" i="2"/>
  <c r="K750" i="2" s="1"/>
  <c r="N750" i="2" s="1"/>
  <c r="J749" i="2"/>
  <c r="K749" i="2" s="1"/>
  <c r="N749" i="2" s="1"/>
  <c r="J748" i="2"/>
  <c r="K748" i="2" s="1"/>
  <c r="N748" i="2" s="1"/>
  <c r="J747" i="2"/>
  <c r="K747" i="2" s="1"/>
  <c r="N747" i="2" s="1"/>
  <c r="D107" i="18"/>
  <c r="D124" i="18"/>
  <c r="D127" i="18"/>
  <c r="D133" i="18"/>
  <c r="M137" i="19" l="1"/>
  <c r="N137" i="19"/>
  <c r="P73" i="19"/>
  <c r="E53" i="27"/>
  <c r="K756" i="3"/>
  <c r="K757" i="3"/>
  <c r="K758" i="3"/>
  <c r="N758" i="3" s="1"/>
  <c r="Q73" i="19" l="1"/>
  <c r="F53" i="27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AH84" i="18"/>
  <c r="AH82" i="18" s="1"/>
  <c r="AG84" i="18"/>
  <c r="AF84" i="18"/>
  <c r="AE84" i="18"/>
  <c r="AE82" i="18" s="1"/>
  <c r="AD84" i="18"/>
  <c r="AD82" i="18" s="1"/>
  <c r="AC84" i="18"/>
  <c r="AC82" i="18" s="1"/>
  <c r="AB84" i="18"/>
  <c r="AB82" i="18" s="1"/>
  <c r="AA84" i="18"/>
  <c r="AA82" i="18" s="1"/>
  <c r="Z84" i="18"/>
  <c r="Z82" i="18" s="1"/>
  <c r="Y84" i="18"/>
  <c r="Y82" i="18" s="1"/>
  <c r="X84" i="18"/>
  <c r="X82" i="18" s="1"/>
  <c r="W84" i="18"/>
  <c r="W82" i="18" s="1"/>
  <c r="V84" i="18"/>
  <c r="V82" i="18" s="1"/>
  <c r="U84" i="18"/>
  <c r="U82" i="18" s="1"/>
  <c r="T84" i="18"/>
  <c r="T82" i="18" s="1"/>
  <c r="S84" i="18"/>
  <c r="S82" i="18" s="1"/>
  <c r="R84" i="18"/>
  <c r="R82" i="18" s="1"/>
  <c r="Q84" i="18"/>
  <c r="Q82" i="18" s="1"/>
  <c r="P84" i="18"/>
  <c r="P82" i="18" s="1"/>
  <c r="O84" i="18"/>
  <c r="O82" i="18" s="1"/>
  <c r="N84" i="18"/>
  <c r="N82" i="18" s="1"/>
  <c r="M84" i="18"/>
  <c r="M82" i="18" s="1"/>
  <c r="L84" i="18"/>
  <c r="L82" i="18" s="1"/>
  <c r="K84" i="18"/>
  <c r="K82" i="18" s="1"/>
  <c r="J84" i="18"/>
  <c r="J82" i="18" s="1"/>
  <c r="I84" i="18"/>
  <c r="I82" i="18" s="1"/>
  <c r="H84" i="18"/>
  <c r="H82" i="18" s="1"/>
  <c r="G84" i="18"/>
  <c r="G82" i="18" s="1"/>
  <c r="F84" i="18"/>
  <c r="F82" i="18" s="1"/>
  <c r="AG82" i="18"/>
  <c r="AF82" i="18"/>
  <c r="AH76" i="18"/>
  <c r="AH75" i="18" s="1"/>
  <c r="AG76" i="18"/>
  <c r="AF76" i="18"/>
  <c r="AF75" i="18" s="1"/>
  <c r="AE76" i="18"/>
  <c r="AE75" i="18" s="1"/>
  <c r="AD76" i="18"/>
  <c r="AD75" i="18" s="1"/>
  <c r="AC76" i="18"/>
  <c r="AC75" i="18" s="1"/>
  <c r="AB76" i="18"/>
  <c r="AB75" i="18" s="1"/>
  <c r="AA76" i="18"/>
  <c r="AA75" i="18" s="1"/>
  <c r="Z76" i="18"/>
  <c r="Z75" i="18" s="1"/>
  <c r="Y76" i="18"/>
  <c r="Y75" i="18" s="1"/>
  <c r="X76" i="18"/>
  <c r="X75" i="18" s="1"/>
  <c r="W76" i="18"/>
  <c r="W75" i="18" s="1"/>
  <c r="V76" i="18"/>
  <c r="V75" i="18" s="1"/>
  <c r="U76" i="18"/>
  <c r="U75" i="18" s="1"/>
  <c r="T76" i="18"/>
  <c r="T75" i="18" s="1"/>
  <c r="S76" i="18"/>
  <c r="S75" i="18" s="1"/>
  <c r="R76" i="18"/>
  <c r="R75" i="18" s="1"/>
  <c r="Q76" i="18"/>
  <c r="Q75" i="18" s="1"/>
  <c r="P76" i="18"/>
  <c r="P75" i="18" s="1"/>
  <c r="O76" i="18"/>
  <c r="O75" i="18" s="1"/>
  <c r="N76" i="18"/>
  <c r="N75" i="18" s="1"/>
  <c r="M76" i="18"/>
  <c r="M75" i="18" s="1"/>
  <c r="L76" i="18"/>
  <c r="L75" i="18" s="1"/>
  <c r="K76" i="18"/>
  <c r="K75" i="18" s="1"/>
  <c r="J76" i="18"/>
  <c r="J75" i="18" s="1"/>
  <c r="I76" i="18"/>
  <c r="I75" i="18" s="1"/>
  <c r="H76" i="18"/>
  <c r="H75" i="18" s="1"/>
  <c r="G76" i="18"/>
  <c r="G75" i="18" s="1"/>
  <c r="F76" i="18"/>
  <c r="F75" i="18" s="1"/>
  <c r="AG75" i="18"/>
  <c r="E124" i="18"/>
  <c r="E119" i="18"/>
  <c r="D119" i="18"/>
  <c r="E114" i="18"/>
  <c r="D114" i="18"/>
  <c r="E107" i="18"/>
  <c r="E100" i="18"/>
  <c r="D100" i="18"/>
  <c r="AI96" i="18"/>
  <c r="AJ96" i="18" s="1"/>
  <c r="D95" i="18"/>
  <c r="D84" i="18"/>
  <c r="D82" i="18" s="1"/>
  <c r="D79" i="18"/>
  <c r="D78" i="18"/>
  <c r="AI77" i="18"/>
  <c r="AJ77" i="18" s="1"/>
  <c r="F73" i="18"/>
  <c r="R73" i="19" l="1"/>
  <c r="G53" i="27"/>
  <c r="D113" i="18"/>
  <c r="D94" i="18" s="1"/>
  <c r="AF74" i="18"/>
  <c r="I113" i="18"/>
  <c r="I94" i="18" s="1"/>
  <c r="M113" i="18"/>
  <c r="M94" i="18" s="1"/>
  <c r="Q113" i="18"/>
  <c r="U113" i="18"/>
  <c r="U94" i="18" s="1"/>
  <c r="Y113" i="18"/>
  <c r="Y94" i="18" s="1"/>
  <c r="AC113" i="18"/>
  <c r="AC94" i="18" s="1"/>
  <c r="AG113" i="18"/>
  <c r="AG94" i="18" s="1"/>
  <c r="D76" i="18"/>
  <c r="D75" i="18" s="1"/>
  <c r="D74" i="18" s="1"/>
  <c r="H74" i="18"/>
  <c r="P74" i="18"/>
  <c r="X74" i="18"/>
  <c r="W74" i="18"/>
  <c r="G74" i="18"/>
  <c r="AE74" i="18"/>
  <c r="Q94" i="18"/>
  <c r="O74" i="18"/>
  <c r="K74" i="18"/>
  <c r="S74" i="18"/>
  <c r="AA74" i="18"/>
  <c r="T74" i="18"/>
  <c r="I74" i="18"/>
  <c r="AG74" i="18"/>
  <c r="AB74" i="18"/>
  <c r="R74" i="18"/>
  <c r="V74" i="18"/>
  <c r="Z74" i="18"/>
  <c r="AD74" i="18"/>
  <c r="AH74" i="18"/>
  <c r="H113" i="18"/>
  <c r="H94" i="18" s="1"/>
  <c r="L113" i="18"/>
  <c r="L94" i="18" s="1"/>
  <c r="P113" i="18"/>
  <c r="P94" i="18" s="1"/>
  <c r="T113" i="18"/>
  <c r="X113" i="18"/>
  <c r="X94" i="18" s="1"/>
  <c r="AB113" i="18"/>
  <c r="AB94" i="18" s="1"/>
  <c r="AF113" i="18"/>
  <c r="AF94" i="18" s="1"/>
  <c r="G113" i="18"/>
  <c r="G94" i="18" s="1"/>
  <c r="K113" i="18"/>
  <c r="K94" i="18" s="1"/>
  <c r="O113" i="18"/>
  <c r="O94" i="18" s="1"/>
  <c r="S113" i="18"/>
  <c r="S94" i="18" s="1"/>
  <c r="W113" i="18"/>
  <c r="W94" i="18" s="1"/>
  <c r="AA113" i="18"/>
  <c r="AA94" i="18" s="1"/>
  <c r="AE113" i="18"/>
  <c r="AE94" i="18" s="1"/>
  <c r="F113" i="18"/>
  <c r="F94" i="18" s="1"/>
  <c r="J113" i="18"/>
  <c r="J94" i="18" s="1"/>
  <c r="N113" i="18"/>
  <c r="N94" i="18" s="1"/>
  <c r="R113" i="18"/>
  <c r="R94" i="18" s="1"/>
  <c r="V113" i="18"/>
  <c r="V94" i="18" s="1"/>
  <c r="Z113" i="18"/>
  <c r="Z94" i="18" s="1"/>
  <c r="AD113" i="18"/>
  <c r="AD94" i="18" s="1"/>
  <c r="AH113" i="18"/>
  <c r="AH94" i="18" s="1"/>
  <c r="U74" i="18"/>
  <c r="Q74" i="18"/>
  <c r="L74" i="18"/>
  <c r="AC74" i="18"/>
  <c r="M74" i="18"/>
  <c r="Y74" i="18"/>
  <c r="F74" i="18"/>
  <c r="J74" i="18"/>
  <c r="N74" i="18"/>
  <c r="T94" i="18"/>
  <c r="E76" i="18"/>
  <c r="E84" i="18"/>
  <c r="G73" i="18"/>
  <c r="E95" i="18"/>
  <c r="E133" i="18"/>
  <c r="E127" i="18"/>
  <c r="S73" i="19" l="1"/>
  <c r="P137" i="19"/>
  <c r="O137" i="19"/>
  <c r="H53" i="27"/>
  <c r="O137" i="18"/>
  <c r="T137" i="18"/>
  <c r="U137" i="18"/>
  <c r="AF137" i="18"/>
  <c r="K137" i="18"/>
  <c r="S137" i="18"/>
  <c r="M137" i="18"/>
  <c r="X137" i="18"/>
  <c r="H137" i="18"/>
  <c r="W137" i="18"/>
  <c r="Y137" i="18"/>
  <c r="Z137" i="18"/>
  <c r="G137" i="18"/>
  <c r="Q137" i="18"/>
  <c r="I137" i="18"/>
  <c r="P137" i="18"/>
  <c r="AG137" i="18"/>
  <c r="AE137" i="18"/>
  <c r="AD137" i="18"/>
  <c r="AA137" i="18"/>
  <c r="AB137" i="18"/>
  <c r="V137" i="18"/>
  <c r="AH137" i="18"/>
  <c r="R137" i="18"/>
  <c r="L137" i="18"/>
  <c r="F137" i="18"/>
  <c r="AC137" i="18"/>
  <c r="N137" i="18"/>
  <c r="J137" i="18"/>
  <c r="E113" i="18"/>
  <c r="E94" i="18" s="1"/>
  <c r="H73" i="18"/>
  <c r="D137" i="18"/>
  <c r="E82" i="18"/>
  <c r="E75" i="18"/>
  <c r="T73" i="19" l="1"/>
  <c r="Q137" i="19"/>
  <c r="I53" i="27"/>
  <c r="E74" i="18"/>
  <c r="I73" i="18"/>
  <c r="U73" i="19" l="1"/>
  <c r="R137" i="19"/>
  <c r="J53" i="27"/>
  <c r="J73" i="18"/>
  <c r="E137" i="18"/>
  <c r="S137" i="19" l="1"/>
  <c r="V73" i="19"/>
  <c r="K53" i="27"/>
  <c r="K73" i="18"/>
  <c r="W73" i="19" l="1"/>
  <c r="T137" i="19"/>
  <c r="U137" i="19"/>
  <c r="L53" i="27"/>
  <c r="L73" i="18"/>
  <c r="X73" i="19" l="1"/>
  <c r="V137" i="19"/>
  <c r="M53" i="27"/>
  <c r="M73" i="18"/>
  <c r="Y73" i="19" l="1"/>
  <c r="N53" i="27"/>
  <c r="N73" i="18"/>
  <c r="W137" i="19" l="1"/>
  <c r="Z73" i="19"/>
  <c r="O53" i="27"/>
  <c r="O73" i="18"/>
  <c r="AA73" i="19" l="1"/>
  <c r="X137" i="19"/>
  <c r="P53" i="27"/>
  <c r="P73" i="18"/>
  <c r="AB73" i="19" l="1"/>
  <c r="Y137" i="19"/>
  <c r="Q73" i="18"/>
  <c r="Z137" i="19" l="1"/>
  <c r="AA137" i="19"/>
  <c r="AC73" i="19"/>
  <c r="R73" i="18"/>
  <c r="AD73" i="19" l="1"/>
  <c r="S73" i="18"/>
  <c r="AE73" i="19" l="1"/>
  <c r="T73" i="18"/>
  <c r="AF73" i="19" l="1"/>
  <c r="AC137" i="19"/>
  <c r="AB137" i="19"/>
  <c r="U73" i="18"/>
  <c r="AG73" i="19" l="1"/>
  <c r="AD137" i="19"/>
  <c r="V73" i="18"/>
  <c r="AH73" i="19" l="1"/>
  <c r="W73" i="18"/>
  <c r="AE137" i="19" l="1"/>
  <c r="AI73" i="19"/>
  <c r="AF137" i="19"/>
  <c r="X73" i="18"/>
  <c r="AJ136" i="19" l="1"/>
  <c r="AK136" i="19" s="1"/>
  <c r="AJ125" i="19"/>
  <c r="AK125" i="19" s="1"/>
  <c r="AJ121" i="19"/>
  <c r="AK121" i="19" s="1"/>
  <c r="AJ109" i="19"/>
  <c r="AK109" i="19" s="1"/>
  <c r="AJ99" i="19"/>
  <c r="AK99" i="19" s="1"/>
  <c r="AJ102" i="19"/>
  <c r="AK102" i="19" s="1"/>
  <c r="AJ89" i="19"/>
  <c r="AK89" i="19" s="1"/>
  <c r="AJ88" i="19"/>
  <c r="AK88" i="19" s="1"/>
  <c r="AJ103" i="19"/>
  <c r="AK103" i="19" s="1"/>
  <c r="AJ80" i="19"/>
  <c r="AK80" i="19" s="1"/>
  <c r="AJ132" i="19"/>
  <c r="AK132" i="19" s="1"/>
  <c r="AJ130" i="19"/>
  <c r="AK130" i="19" s="1"/>
  <c r="AJ126" i="19"/>
  <c r="AK126" i="19" s="1"/>
  <c r="AJ122" i="19"/>
  <c r="AK122" i="19" s="1"/>
  <c r="AJ117" i="19"/>
  <c r="AK117" i="19" s="1"/>
  <c r="AJ105" i="19"/>
  <c r="AK105" i="19" s="1"/>
  <c r="AJ90" i="19"/>
  <c r="AK90" i="19" s="1"/>
  <c r="AJ118" i="19"/>
  <c r="AK118" i="19" s="1"/>
  <c r="AJ91" i="19"/>
  <c r="AK91" i="19" s="1"/>
  <c r="AJ81" i="19"/>
  <c r="AK81" i="19" s="1"/>
  <c r="AJ135" i="19"/>
  <c r="AK135" i="19" s="1"/>
  <c r="AJ129" i="19"/>
  <c r="AK129" i="19" s="1"/>
  <c r="AJ123" i="19"/>
  <c r="AK123" i="19" s="1"/>
  <c r="AJ116" i="19"/>
  <c r="AK116" i="19" s="1"/>
  <c r="AJ111" i="19"/>
  <c r="AK111" i="19" s="1"/>
  <c r="AJ86" i="19"/>
  <c r="AK86" i="19" s="1"/>
  <c r="AJ79" i="19"/>
  <c r="AK79" i="19" s="1"/>
  <c r="AJ110" i="19"/>
  <c r="AK110" i="19" s="1"/>
  <c r="AJ98" i="19"/>
  <c r="AK98" i="19" s="1"/>
  <c r="AJ87" i="19"/>
  <c r="AK87" i="19" s="1"/>
  <c r="AJ131" i="19"/>
  <c r="AK131" i="19" s="1"/>
  <c r="AJ124" i="19"/>
  <c r="AK124" i="19" s="1"/>
  <c r="AJ112" i="19"/>
  <c r="AK112" i="19" s="1"/>
  <c r="AJ106" i="19"/>
  <c r="AK106" i="19" s="1"/>
  <c r="AJ107" i="19"/>
  <c r="AK107" i="19" s="1"/>
  <c r="AJ104" i="19"/>
  <c r="AK104" i="19" s="1"/>
  <c r="AJ93" i="19"/>
  <c r="AK93" i="19" s="1"/>
  <c r="AJ92" i="19"/>
  <c r="AK92" i="19" s="1"/>
  <c r="AJ78" i="19"/>
  <c r="AK78" i="19" s="1"/>
  <c r="AJ120" i="19"/>
  <c r="AK120" i="19" s="1"/>
  <c r="AJ97" i="19"/>
  <c r="AK97" i="19" s="1"/>
  <c r="AJ134" i="19"/>
  <c r="AK134" i="19" s="1"/>
  <c r="AJ108" i="19"/>
  <c r="AK108" i="19" s="1"/>
  <c r="AG137" i="19"/>
  <c r="Y73" i="18"/>
  <c r="AJ113" i="19" l="1"/>
  <c r="AK113" i="19" s="1"/>
  <c r="AJ84" i="19"/>
  <c r="AK84" i="19" s="1"/>
  <c r="AJ85" i="19"/>
  <c r="AK85" i="19" s="1"/>
  <c r="AJ119" i="19"/>
  <c r="AK119" i="19" s="1"/>
  <c r="AJ100" i="19"/>
  <c r="AK100" i="19" s="1"/>
  <c r="AJ115" i="19"/>
  <c r="AK115" i="19" s="1"/>
  <c r="AJ95" i="19"/>
  <c r="AK95" i="19" s="1"/>
  <c r="AJ83" i="19"/>
  <c r="AK83" i="19" s="1"/>
  <c r="AJ82" i="19"/>
  <c r="AK82" i="19" s="1"/>
  <c r="AJ133" i="19"/>
  <c r="AK133" i="19" s="1"/>
  <c r="AJ74" i="19"/>
  <c r="AK74" i="19" s="1"/>
  <c r="AJ127" i="19"/>
  <c r="AK127" i="19" s="1"/>
  <c r="AJ101" i="19"/>
  <c r="AK101" i="19" s="1"/>
  <c r="AJ114" i="19"/>
  <c r="AK114" i="19" s="1"/>
  <c r="AJ128" i="19"/>
  <c r="AK128" i="19" s="1"/>
  <c r="Z73" i="18"/>
  <c r="AH137" i="19" l="1"/>
  <c r="AJ75" i="19"/>
  <c r="AK75" i="19" s="1"/>
  <c r="AJ76" i="19"/>
  <c r="AK76" i="19" s="1"/>
  <c r="AA73" i="18"/>
  <c r="AJ94" i="19" l="1"/>
  <c r="AK94" i="19" s="1"/>
  <c r="AI137" i="19"/>
  <c r="AJ137" i="19" s="1"/>
  <c r="AK137" i="19" s="1"/>
  <c r="AB73" i="18"/>
  <c r="AC73" i="18" l="1"/>
  <c r="AD73" i="18" l="1"/>
  <c r="AE73" i="18" l="1"/>
  <c r="AF73" i="18" l="1"/>
  <c r="AG73" i="18" l="1"/>
  <c r="AH73" i="18" l="1"/>
  <c r="AI136" i="18" l="1"/>
  <c r="AJ136" i="18" s="1"/>
  <c r="AI131" i="18"/>
  <c r="AJ131" i="18" s="1"/>
  <c r="AI129" i="18"/>
  <c r="AJ129" i="18" s="1"/>
  <c r="AI135" i="18"/>
  <c r="AJ135" i="18" s="1"/>
  <c r="AI130" i="18"/>
  <c r="AJ130" i="18" s="1"/>
  <c r="AI126" i="18"/>
  <c r="AJ126" i="18" s="1"/>
  <c r="AI124" i="18"/>
  <c r="AJ124" i="18" s="1"/>
  <c r="AI122" i="18"/>
  <c r="AJ122" i="18" s="1"/>
  <c r="AI118" i="18"/>
  <c r="AJ118" i="18" s="1"/>
  <c r="AI117" i="18"/>
  <c r="AJ117" i="18" s="1"/>
  <c r="AI116" i="18"/>
  <c r="AJ116" i="18" s="1"/>
  <c r="AI112" i="18"/>
  <c r="AJ112" i="18" s="1"/>
  <c r="AI111" i="18"/>
  <c r="AJ111" i="18" s="1"/>
  <c r="AI110" i="18"/>
  <c r="AJ110" i="18" s="1"/>
  <c r="AI109" i="18"/>
  <c r="AJ109" i="18" s="1"/>
  <c r="AI106" i="18"/>
  <c r="AJ106" i="18" s="1"/>
  <c r="AI105" i="18"/>
  <c r="AJ105" i="18" s="1"/>
  <c r="AI104" i="18"/>
  <c r="AJ104" i="18" s="1"/>
  <c r="AI103" i="18"/>
  <c r="AJ103" i="18" s="1"/>
  <c r="AI102" i="18"/>
  <c r="AJ102" i="18" s="1"/>
  <c r="AI132" i="18"/>
  <c r="AJ132" i="18" s="1"/>
  <c r="AI125" i="18"/>
  <c r="AJ125" i="18" s="1"/>
  <c r="AI123" i="18"/>
  <c r="AJ123" i="18" s="1"/>
  <c r="AI99" i="18"/>
  <c r="AJ99" i="18" s="1"/>
  <c r="AI98" i="18"/>
  <c r="AJ98" i="18" s="1"/>
  <c r="AI93" i="18"/>
  <c r="AJ93" i="18" s="1"/>
  <c r="AI92" i="18"/>
  <c r="AJ92" i="18" s="1"/>
  <c r="AI91" i="18"/>
  <c r="AJ91" i="18" s="1"/>
  <c r="AI90" i="18"/>
  <c r="AJ90" i="18" s="1"/>
  <c r="AI89" i="18"/>
  <c r="AJ89" i="18" s="1"/>
  <c r="AI88" i="18"/>
  <c r="AJ88" i="18" s="1"/>
  <c r="AI87" i="18"/>
  <c r="AJ87" i="18" s="1"/>
  <c r="AI86" i="18"/>
  <c r="AJ86" i="18" s="1"/>
  <c r="AI121" i="18"/>
  <c r="AJ121" i="18" s="1"/>
  <c r="AI81" i="18"/>
  <c r="AJ81" i="18" s="1"/>
  <c r="AI80" i="18"/>
  <c r="AJ80" i="18" s="1"/>
  <c r="AI79" i="18"/>
  <c r="AJ79" i="18" s="1"/>
  <c r="AI78" i="18" l="1"/>
  <c r="AJ78" i="18" s="1"/>
  <c r="AI133" i="18"/>
  <c r="AJ133" i="18" s="1"/>
  <c r="AI134" i="18"/>
  <c r="AJ134" i="18" s="1"/>
  <c r="AI100" i="18"/>
  <c r="AJ100" i="18" s="1"/>
  <c r="AI101" i="18"/>
  <c r="AJ101" i="18" s="1"/>
  <c r="AI97" i="18"/>
  <c r="AJ97" i="18" s="1"/>
  <c r="AI107" i="18"/>
  <c r="AJ107" i="18" s="1"/>
  <c r="AI108" i="18"/>
  <c r="AJ108" i="18" s="1"/>
  <c r="AI127" i="18"/>
  <c r="AJ127" i="18" s="1"/>
  <c r="AI128" i="18"/>
  <c r="AJ128" i="18" s="1"/>
  <c r="AI83" i="18"/>
  <c r="AJ83" i="18" s="1"/>
  <c r="AI84" i="18"/>
  <c r="AJ84" i="18" s="1"/>
  <c r="AI85" i="18"/>
  <c r="AJ85" i="18" s="1"/>
  <c r="AI115" i="18"/>
  <c r="AJ115" i="18" s="1"/>
  <c r="AI119" i="18"/>
  <c r="AJ119" i="18" s="1"/>
  <c r="AI120" i="18"/>
  <c r="AJ120" i="18" s="1"/>
  <c r="AI76" i="18" l="1"/>
  <c r="AJ76" i="18" s="1"/>
  <c r="AI113" i="18"/>
  <c r="AJ113" i="18" s="1"/>
  <c r="AI114" i="18"/>
  <c r="AJ114" i="18" s="1"/>
  <c r="AI82" i="18"/>
  <c r="AJ82" i="18" s="1"/>
  <c r="AI94" i="18"/>
  <c r="AJ94" i="18" s="1"/>
  <c r="AI95" i="18"/>
  <c r="AJ95" i="18" s="1"/>
  <c r="AI75" i="18" l="1"/>
  <c r="AJ75" i="18" s="1"/>
  <c r="AI137" i="18" l="1"/>
  <c r="AJ137" i="18" s="1"/>
  <c r="AI74" i="18"/>
  <c r="AJ74" i="18" s="1"/>
  <c r="J768" i="3" l="1"/>
  <c r="K768" i="3" s="1"/>
  <c r="N768" i="3" s="1"/>
  <c r="J767" i="3"/>
  <c r="K767" i="3" s="1"/>
  <c r="N767" i="3" s="1"/>
  <c r="N757" i="3"/>
  <c r="J745" i="2"/>
  <c r="K745" i="2" s="1"/>
  <c r="N745" i="2" s="1"/>
  <c r="J746" i="2"/>
  <c r="K746" i="2" s="1"/>
  <c r="N746" i="2" s="1"/>
  <c r="J744" i="2"/>
  <c r="K744" i="2" s="1"/>
  <c r="N744" i="2" s="1"/>
  <c r="J743" i="2"/>
  <c r="K743" i="2" s="1"/>
  <c r="N743" i="2" s="1"/>
  <c r="J742" i="2"/>
  <c r="K742" i="2" s="1"/>
  <c r="N742" i="2" s="1"/>
  <c r="J738" i="2"/>
  <c r="K738" i="2" s="1"/>
  <c r="N738" i="2" s="1"/>
  <c r="J739" i="2"/>
  <c r="K739" i="2" s="1"/>
  <c r="N739" i="2" s="1"/>
  <c r="J740" i="2"/>
  <c r="K740" i="2" s="1"/>
  <c r="N740" i="2" s="1"/>
  <c r="J741" i="2"/>
  <c r="K741" i="2" s="1"/>
  <c r="N741" i="2" s="1"/>
  <c r="J737" i="2"/>
  <c r="K737" i="2" s="1"/>
  <c r="N737" i="2" s="1"/>
  <c r="J736" i="2"/>
  <c r="K736" i="2" s="1"/>
  <c r="N736" i="2" s="1"/>
  <c r="J732" i="2"/>
  <c r="K732" i="2" s="1"/>
  <c r="N732" i="2" s="1"/>
  <c r="J733" i="2"/>
  <c r="K733" i="2" s="1"/>
  <c r="N733" i="2" s="1"/>
  <c r="J734" i="2"/>
  <c r="K734" i="2" s="1"/>
  <c r="N734" i="2" s="1"/>
  <c r="J735" i="2"/>
  <c r="K735" i="2" s="1"/>
  <c r="N735" i="2" s="1"/>
  <c r="J731" i="2"/>
  <c r="K731" i="2" s="1"/>
  <c r="N731" i="2" s="1"/>
  <c r="J730" i="2"/>
  <c r="K730" i="2" s="1"/>
  <c r="N730" i="2" s="1"/>
  <c r="J725" i="2"/>
  <c r="K725" i="2" s="1"/>
  <c r="N725" i="2" s="1"/>
  <c r="J726" i="2"/>
  <c r="K726" i="2" s="1"/>
  <c r="N726" i="2" s="1"/>
  <c r="J727" i="2"/>
  <c r="K727" i="2" s="1"/>
  <c r="N727" i="2" s="1"/>
  <c r="J728" i="2"/>
  <c r="K728" i="2" s="1"/>
  <c r="N728" i="2" s="1"/>
  <c r="J729" i="2"/>
  <c r="K729" i="2" s="1"/>
  <c r="N729" i="2" s="1"/>
  <c r="J724" i="2"/>
  <c r="K724" i="2" s="1"/>
  <c r="N724" i="2" s="1"/>
  <c r="J721" i="2"/>
  <c r="K721" i="2" s="1"/>
  <c r="N721" i="2" s="1"/>
  <c r="J722" i="2"/>
  <c r="K722" i="2" s="1"/>
  <c r="N722" i="2" s="1"/>
  <c r="J723" i="2"/>
  <c r="K723" i="2" s="1"/>
  <c r="N723" i="2" s="1"/>
  <c r="J720" i="2"/>
  <c r="K720" i="2" s="1"/>
  <c r="N720" i="2" s="1"/>
  <c r="J715" i="2"/>
  <c r="K715" i="2" s="1"/>
  <c r="N715" i="2" s="1"/>
  <c r="J716" i="2"/>
  <c r="K716" i="2" s="1"/>
  <c r="N716" i="2" s="1"/>
  <c r="J717" i="2"/>
  <c r="K717" i="2" s="1"/>
  <c r="N717" i="2" s="1"/>
  <c r="J718" i="2"/>
  <c r="K718" i="2" s="1"/>
  <c r="N718" i="2" s="1"/>
  <c r="J719" i="2"/>
  <c r="K719" i="2" s="1"/>
  <c r="N719" i="2" s="1"/>
  <c r="J714" i="2"/>
  <c r="K714" i="2" s="1"/>
  <c r="N714" i="2" s="1"/>
  <c r="J708" i="2"/>
  <c r="K708" i="2" s="1"/>
  <c r="N708" i="2" s="1"/>
  <c r="J709" i="2"/>
  <c r="K709" i="2" s="1"/>
  <c r="N709" i="2" s="1"/>
  <c r="J710" i="2"/>
  <c r="K710" i="2" s="1"/>
  <c r="N710" i="2" s="1"/>
  <c r="J711" i="2"/>
  <c r="K711" i="2" s="1"/>
  <c r="N711" i="2" s="1"/>
  <c r="J712" i="2"/>
  <c r="K712" i="2" s="1"/>
  <c r="N712" i="2" s="1"/>
  <c r="J713" i="2"/>
  <c r="K713" i="2" s="1"/>
  <c r="N713" i="2" s="1"/>
  <c r="J707" i="2"/>
  <c r="K707" i="2" s="1"/>
  <c r="N707" i="2" s="1"/>
  <c r="J701" i="2"/>
  <c r="K701" i="2" s="1"/>
  <c r="N701" i="2" s="1"/>
  <c r="J702" i="2"/>
  <c r="K702" i="2" s="1"/>
  <c r="N702" i="2" s="1"/>
  <c r="J703" i="2"/>
  <c r="K703" i="2" s="1"/>
  <c r="N703" i="2" s="1"/>
  <c r="J704" i="2"/>
  <c r="K704" i="2" s="1"/>
  <c r="N704" i="2" s="1"/>
  <c r="J705" i="2"/>
  <c r="K705" i="2" s="1"/>
  <c r="N705" i="2" s="1"/>
  <c r="J706" i="2"/>
  <c r="K706" i="2" s="1"/>
  <c r="N706" i="2" s="1"/>
  <c r="J700" i="2"/>
  <c r="K700" i="2" s="1"/>
  <c r="N700" i="2" s="1"/>
  <c r="J697" i="2"/>
  <c r="K697" i="2" s="1"/>
  <c r="N697" i="2" s="1"/>
  <c r="J698" i="2"/>
  <c r="K698" i="2" s="1"/>
  <c r="N698" i="2" s="1"/>
  <c r="J699" i="2"/>
  <c r="K699" i="2" s="1"/>
  <c r="N699" i="2" s="1"/>
  <c r="J696" i="2"/>
  <c r="K696" i="2" s="1"/>
  <c r="N696" i="2" s="1"/>
  <c r="J695" i="2"/>
  <c r="K695" i="2" s="1"/>
  <c r="N695" i="2" s="1"/>
  <c r="J690" i="2"/>
  <c r="K690" i="2" s="1"/>
  <c r="N690" i="2" s="1"/>
  <c r="J691" i="2"/>
  <c r="K691" i="2" s="1"/>
  <c r="N691" i="2" s="1"/>
  <c r="J692" i="2"/>
  <c r="K692" i="2" s="1"/>
  <c r="N692" i="2" s="1"/>
  <c r="J693" i="2"/>
  <c r="K693" i="2" s="1"/>
  <c r="N693" i="2" s="1"/>
  <c r="J694" i="2"/>
  <c r="K694" i="2" s="1"/>
  <c r="N694" i="2" s="1"/>
  <c r="J689" i="2"/>
  <c r="K689" i="2" s="1"/>
  <c r="N689" i="2" s="1"/>
  <c r="J688" i="2"/>
  <c r="K688" i="2" s="1"/>
  <c r="N688" i="2" s="1"/>
  <c r="J685" i="2"/>
  <c r="K685" i="2" s="1"/>
  <c r="N685" i="2" s="1"/>
  <c r="J686" i="2"/>
  <c r="K686" i="2" s="1"/>
  <c r="N686" i="2" s="1"/>
  <c r="J687" i="2"/>
  <c r="K687" i="2" s="1"/>
  <c r="N687" i="2" s="1"/>
  <c r="J684" i="2"/>
  <c r="K684" i="2" s="1"/>
  <c r="N684" i="2" s="1"/>
  <c r="J683" i="2"/>
  <c r="K683" i="2" s="1"/>
  <c r="N683" i="2" s="1"/>
  <c r="J681" i="2"/>
  <c r="K681" i="2" s="1"/>
  <c r="N681" i="2" s="1"/>
  <c r="J682" i="2"/>
  <c r="K682" i="2" s="1"/>
  <c r="N682" i="2" s="1"/>
  <c r="J680" i="2"/>
  <c r="K680" i="2" s="1"/>
  <c r="N680" i="2" s="1"/>
  <c r="J679" i="2"/>
  <c r="K679" i="2" s="1"/>
  <c r="N679" i="2" s="1"/>
  <c r="J678" i="2"/>
  <c r="K678" i="2" s="1"/>
  <c r="N678" i="2" s="1"/>
  <c r="I677" i="2"/>
  <c r="J677" i="2" s="1"/>
  <c r="K677" i="2" s="1"/>
  <c r="N677" i="2" s="1"/>
  <c r="I676" i="2"/>
  <c r="J676" i="2" s="1"/>
  <c r="K676" i="2" s="1"/>
  <c r="N676" i="2" s="1"/>
  <c r="J766" i="3"/>
  <c r="K766" i="3" s="1"/>
  <c r="N766" i="3" s="1"/>
  <c r="K760" i="3"/>
  <c r="N760" i="3" s="1"/>
  <c r="K763" i="3"/>
  <c r="N763" i="3" s="1"/>
  <c r="K764" i="3"/>
  <c r="N764" i="3" s="1"/>
  <c r="K765" i="3"/>
  <c r="N765" i="3" s="1"/>
  <c r="K761" i="3"/>
  <c r="N761" i="3" s="1"/>
  <c r="K762" i="3"/>
  <c r="N762" i="3" s="1"/>
  <c r="K759" i="3"/>
  <c r="N759" i="3" s="1"/>
  <c r="N756" i="3"/>
  <c r="I755" i="3"/>
  <c r="J755" i="3" s="1"/>
  <c r="K755" i="3" s="1"/>
  <c r="I754" i="3"/>
  <c r="J754" i="3" s="1"/>
  <c r="K754" i="3" s="1"/>
  <c r="N753" i="3"/>
  <c r="N755" i="3" l="1"/>
  <c r="N754" i="3"/>
  <c r="I655" i="3" l="1"/>
  <c r="I654" i="3"/>
  <c r="I653" i="3"/>
  <c r="I652" i="3"/>
  <c r="I651" i="3"/>
  <c r="M728" i="3" l="1"/>
  <c r="M727" i="3"/>
  <c r="J675" i="2" l="1"/>
  <c r="K675" i="2" s="1"/>
  <c r="N675" i="2" s="1"/>
  <c r="J752" i="3"/>
  <c r="K752" i="3" s="1"/>
  <c r="N752" i="3" s="1"/>
  <c r="J751" i="3"/>
  <c r="K751" i="3" s="1"/>
  <c r="N751" i="3" s="1"/>
  <c r="J750" i="3"/>
  <c r="K750" i="3" s="1"/>
  <c r="N750" i="3" s="1"/>
  <c r="J749" i="3"/>
  <c r="K749" i="3" s="1"/>
  <c r="N749" i="3" s="1"/>
  <c r="J748" i="3"/>
  <c r="K748" i="3" s="1"/>
  <c r="N748" i="3" s="1"/>
  <c r="J745" i="3"/>
  <c r="K745" i="3" s="1"/>
  <c r="N745" i="3" s="1"/>
  <c r="J746" i="3"/>
  <c r="K746" i="3" s="1"/>
  <c r="N746" i="3" s="1"/>
  <c r="J747" i="3"/>
  <c r="K747" i="3" s="1"/>
  <c r="N747" i="3" s="1"/>
  <c r="J744" i="3"/>
  <c r="K744" i="3" s="1"/>
  <c r="N744" i="3" s="1"/>
  <c r="J743" i="3"/>
  <c r="K743" i="3" s="1"/>
  <c r="N743" i="3" s="1"/>
  <c r="J742" i="3"/>
  <c r="K742" i="3" s="1"/>
  <c r="N742" i="3" s="1"/>
  <c r="J741" i="3"/>
  <c r="K741" i="3" s="1"/>
  <c r="N741" i="3" s="1"/>
  <c r="J674" i="2"/>
  <c r="K674" i="2" s="1"/>
  <c r="N674" i="2" s="1"/>
  <c r="N740" i="3"/>
  <c r="I739" i="3"/>
  <c r="J739" i="3" s="1"/>
  <c r="K739" i="3" s="1"/>
  <c r="N738" i="3"/>
  <c r="K737" i="3"/>
  <c r="N737" i="3" s="1"/>
  <c r="J736" i="3"/>
  <c r="K736" i="3" s="1"/>
  <c r="N736" i="3" s="1"/>
  <c r="J735" i="3"/>
  <c r="K735" i="3" s="1"/>
  <c r="N735" i="3" s="1"/>
  <c r="J731" i="3"/>
  <c r="K731" i="3" s="1"/>
  <c r="N731" i="3" s="1"/>
  <c r="J732" i="3"/>
  <c r="K732" i="3" s="1"/>
  <c r="N732" i="3" s="1"/>
  <c r="J733" i="3"/>
  <c r="K733" i="3" s="1"/>
  <c r="N733" i="3" s="1"/>
  <c r="J734" i="3"/>
  <c r="K734" i="3" s="1"/>
  <c r="N734" i="3" s="1"/>
  <c r="J729" i="3"/>
  <c r="K729" i="3" s="1"/>
  <c r="N729" i="3" s="1"/>
  <c r="J728" i="3"/>
  <c r="K728" i="3" s="1"/>
  <c r="N728" i="3" s="1"/>
  <c r="J727" i="3"/>
  <c r="K727" i="3" s="1"/>
  <c r="N727" i="3" s="1"/>
  <c r="J730" i="3"/>
  <c r="K730" i="3" s="1"/>
  <c r="N730" i="3" s="1"/>
  <c r="D24" i="18"/>
  <c r="N739" i="3" l="1"/>
  <c r="D8" i="18"/>
  <c r="D7" i="18"/>
  <c r="D53" i="16" l="1"/>
  <c r="D56" i="16"/>
  <c r="J726" i="3" l="1"/>
  <c r="K726" i="3" s="1"/>
  <c r="N726" i="3" s="1"/>
  <c r="J724" i="3"/>
  <c r="K724" i="3" s="1"/>
  <c r="N724" i="3" s="1"/>
  <c r="J725" i="3"/>
  <c r="K725" i="3" s="1"/>
  <c r="N725" i="3" s="1"/>
  <c r="J722" i="3"/>
  <c r="K722" i="3" s="1"/>
  <c r="N722" i="3" s="1"/>
  <c r="J723" i="3"/>
  <c r="K723" i="3" s="1"/>
  <c r="N723" i="3" s="1"/>
  <c r="J721" i="3"/>
  <c r="K721" i="3" s="1"/>
  <c r="N721" i="3" s="1"/>
  <c r="I720" i="3"/>
  <c r="J720" i="3" s="1"/>
  <c r="K720" i="3" s="1"/>
  <c r="J719" i="3"/>
  <c r="K719" i="3" s="1"/>
  <c r="N719" i="3" s="1"/>
  <c r="N720" i="3" l="1"/>
  <c r="J718" i="3"/>
  <c r="K718" i="3" s="1"/>
  <c r="N718" i="3" s="1"/>
  <c r="J717" i="3"/>
  <c r="K717" i="3" s="1"/>
  <c r="N717" i="3" s="1"/>
  <c r="J716" i="3" l="1"/>
  <c r="K716" i="3" s="1"/>
  <c r="N716" i="3" s="1"/>
  <c r="J715" i="3"/>
  <c r="K715" i="3" s="1"/>
  <c r="J714" i="3"/>
  <c r="K714" i="3" s="1"/>
  <c r="N714" i="3" s="1"/>
  <c r="J713" i="3"/>
  <c r="K713" i="3" s="1"/>
  <c r="N713" i="3" s="1"/>
  <c r="N690" i="3"/>
  <c r="N689" i="3"/>
  <c r="K687" i="3"/>
  <c r="N687" i="3" s="1"/>
  <c r="J712" i="3"/>
  <c r="N712" i="3" s="1"/>
  <c r="J711" i="3"/>
  <c r="K711" i="3" s="1"/>
  <c r="N711" i="3" s="1"/>
  <c r="I710" i="3"/>
  <c r="J710" i="3" s="1"/>
  <c r="K710" i="3" s="1"/>
  <c r="J709" i="3"/>
  <c r="K709" i="3" s="1"/>
  <c r="J708" i="3"/>
  <c r="K708" i="3" s="1"/>
  <c r="N708" i="3" s="1"/>
  <c r="J707" i="3"/>
  <c r="K707" i="3" s="1"/>
  <c r="N707" i="3" s="1"/>
  <c r="J706" i="3"/>
  <c r="K706" i="3" s="1"/>
  <c r="N706" i="3" s="1"/>
  <c r="I705" i="3"/>
  <c r="J705" i="3" s="1"/>
  <c r="K705" i="3" s="1"/>
  <c r="I704" i="3"/>
  <c r="J704" i="3" s="1"/>
  <c r="K704" i="3" s="1"/>
  <c r="N704" i="3" s="1"/>
  <c r="J673" i="2"/>
  <c r="K673" i="2" s="1"/>
  <c r="N673" i="2" s="1"/>
  <c r="J672" i="2"/>
  <c r="J671" i="2"/>
  <c r="K671" i="2" s="1"/>
  <c r="I703" i="3"/>
  <c r="J703" i="3" s="1"/>
  <c r="K703" i="3" s="1"/>
  <c r="J702" i="3"/>
  <c r="K702" i="3" s="1"/>
  <c r="N702" i="3" s="1"/>
  <c r="J701" i="3"/>
  <c r="N701" i="3" s="1"/>
  <c r="J700" i="3"/>
  <c r="N700" i="3" s="1"/>
  <c r="I699" i="3"/>
  <c r="J699" i="3" s="1"/>
  <c r="K699" i="3" s="1"/>
  <c r="N699" i="3" s="1"/>
  <c r="J698" i="3"/>
  <c r="K698" i="3" s="1"/>
  <c r="N698" i="3" s="1"/>
  <c r="J697" i="3"/>
  <c r="K697" i="3" s="1"/>
  <c r="N697" i="3" s="1"/>
  <c r="J696" i="3"/>
  <c r="K696" i="3" s="1"/>
  <c r="N696" i="3" s="1"/>
  <c r="J695" i="3"/>
  <c r="K695" i="3" s="1"/>
  <c r="N695" i="3" s="1"/>
  <c r="I694" i="3"/>
  <c r="J694" i="3" s="1"/>
  <c r="K694" i="3" s="1"/>
  <c r="J693" i="3"/>
  <c r="K693" i="3" s="1"/>
  <c r="J692" i="3"/>
  <c r="K692" i="3" s="1"/>
  <c r="J691" i="3"/>
  <c r="K691" i="3" s="1"/>
  <c r="N691" i="3" s="1"/>
  <c r="N688" i="3"/>
  <c r="N685" i="3"/>
  <c r="I684" i="3"/>
  <c r="J684" i="3" s="1"/>
  <c r="N684" i="3" s="1"/>
  <c r="I683" i="3"/>
  <c r="N683" i="3" s="1"/>
  <c r="J681" i="3"/>
  <c r="N681" i="3" s="1"/>
  <c r="J680" i="3"/>
  <c r="N680" i="3" s="1"/>
  <c r="J678" i="3"/>
  <c r="K678" i="3" s="1"/>
  <c r="N678" i="3" s="1"/>
  <c r="J679" i="3"/>
  <c r="N679" i="3" s="1"/>
  <c r="N682" i="3"/>
  <c r="J677" i="3"/>
  <c r="K677" i="3" s="1"/>
  <c r="J676" i="3"/>
  <c r="K676" i="3" s="1"/>
  <c r="N676" i="3" s="1"/>
  <c r="J675" i="3"/>
  <c r="K675" i="3" s="1"/>
  <c r="N675" i="3" s="1"/>
  <c r="J674" i="3"/>
  <c r="K674" i="3" s="1"/>
  <c r="N674" i="3" s="1"/>
  <c r="I673" i="3"/>
  <c r="J673" i="3" s="1"/>
  <c r="N673" i="3" s="1"/>
  <c r="J672" i="3"/>
  <c r="K672" i="3" s="1"/>
  <c r="N672" i="3" s="1"/>
  <c r="J670" i="3"/>
  <c r="I671" i="3"/>
  <c r="J671" i="3" s="1"/>
  <c r="N670" i="3"/>
  <c r="J669" i="3"/>
  <c r="N669" i="3"/>
  <c r="J668" i="3"/>
  <c r="N668" i="3" s="1"/>
  <c r="K672" i="2" l="1"/>
  <c r="N672" i="2" s="1"/>
  <c r="N715" i="3"/>
  <c r="N692" i="3"/>
  <c r="N693" i="3"/>
  <c r="N677" i="3"/>
  <c r="N709" i="3"/>
  <c r="N710" i="3"/>
  <c r="N705" i="3"/>
  <c r="N671" i="2"/>
  <c r="N703" i="3"/>
  <c r="N694" i="3"/>
  <c r="J683" i="3"/>
  <c r="J670" i="2"/>
  <c r="K670" i="2" s="1"/>
  <c r="N670" i="2" s="1"/>
  <c r="J669" i="2"/>
  <c r="K669" i="2" s="1"/>
  <c r="N669" i="2" s="1"/>
  <c r="J666" i="2"/>
  <c r="K666" i="2" s="1"/>
  <c r="N666" i="2" s="1"/>
  <c r="J667" i="2"/>
  <c r="K667" i="2" s="1"/>
  <c r="N667" i="2" s="1"/>
  <c r="J668" i="2"/>
  <c r="K668" i="2" s="1"/>
  <c r="N668" i="2" s="1"/>
  <c r="J665" i="2"/>
  <c r="N665" i="2" s="1"/>
  <c r="J661" i="2"/>
  <c r="K661" i="2" s="1"/>
  <c r="N661" i="2" s="1"/>
  <c r="J662" i="2"/>
  <c r="K662" i="2" s="1"/>
  <c r="N662" i="2" s="1"/>
  <c r="J663" i="2"/>
  <c r="K663" i="2" s="1"/>
  <c r="N663" i="2" s="1"/>
  <c r="J664" i="2"/>
  <c r="N664" i="2"/>
  <c r="J660" i="2"/>
  <c r="K660" i="2" s="1"/>
  <c r="N660" i="2" s="1"/>
  <c r="J659" i="2"/>
  <c r="K659" i="2" s="1"/>
  <c r="N659" i="2" s="1"/>
  <c r="J658" i="2"/>
  <c r="K658" i="2" s="1"/>
  <c r="N658" i="2" s="1"/>
  <c r="J657" i="2"/>
  <c r="K657" i="2" s="1"/>
  <c r="N657" i="2" s="1"/>
  <c r="J656" i="2"/>
  <c r="K656" i="2" s="1"/>
  <c r="N656" i="2" s="1"/>
  <c r="J655" i="2"/>
  <c r="K655" i="2" s="1"/>
  <c r="N655" i="2" s="1"/>
  <c r="J654" i="2"/>
  <c r="K654" i="2" s="1"/>
  <c r="N654" i="2" s="1"/>
  <c r="J653" i="2"/>
  <c r="K653" i="2" s="1"/>
  <c r="N653" i="2" s="1"/>
  <c r="J652" i="2"/>
  <c r="K652" i="2" s="1"/>
  <c r="N652" i="2" s="1"/>
  <c r="J651" i="2"/>
  <c r="K651" i="2" s="1"/>
  <c r="N651" i="2" l="1"/>
  <c r="F653" i="2" a="1"/>
  <c r="F653" i="2" s="1"/>
  <c r="J660" i="3"/>
  <c r="K660" i="3" s="1"/>
  <c r="N660" i="3" s="1"/>
  <c r="J667" i="3" l="1"/>
  <c r="N667" i="3"/>
  <c r="J666" i="3"/>
  <c r="N666" i="3"/>
  <c r="J665" i="3"/>
  <c r="N665" i="3" s="1"/>
  <c r="J664" i="3"/>
  <c r="K664" i="3" s="1"/>
  <c r="N664" i="3" s="1"/>
  <c r="J663" i="3"/>
  <c r="K663" i="3" s="1"/>
  <c r="N663" i="3" s="1"/>
  <c r="J652" i="3"/>
  <c r="J653" i="3"/>
  <c r="K653" i="3" s="1"/>
  <c r="N653" i="3" s="1"/>
  <c r="J654" i="3"/>
  <c r="J655" i="3"/>
  <c r="J651" i="3"/>
  <c r="J662" i="3"/>
  <c r="K662" i="3" s="1"/>
  <c r="N662" i="3" s="1"/>
  <c r="N648" i="3"/>
  <c r="N649" i="3"/>
  <c r="N650" i="3"/>
  <c r="I648" i="3"/>
  <c r="J648" i="3" s="1"/>
  <c r="I650" i="3"/>
  <c r="J650" i="3" s="1"/>
  <c r="I637" i="3"/>
  <c r="J637" i="3" s="1"/>
  <c r="K637" i="3" s="1"/>
  <c r="N637" i="3" s="1"/>
  <c r="I636" i="3"/>
  <c r="J636" i="3" s="1"/>
  <c r="K636" i="3" s="1"/>
  <c r="N636" i="3" s="1"/>
  <c r="I646" i="3"/>
  <c r="J646" i="3" s="1"/>
  <c r="N646" i="3" s="1"/>
  <c r="I645" i="3"/>
  <c r="J645" i="3" s="1"/>
  <c r="N645" i="3" s="1"/>
  <c r="J661" i="3"/>
  <c r="K661" i="3" s="1"/>
  <c r="N661" i="3" s="1"/>
  <c r="J659" i="3"/>
  <c r="K659" i="3" s="1"/>
  <c r="N659" i="3" s="1"/>
  <c r="J658" i="3"/>
  <c r="K658" i="3" s="1"/>
  <c r="N658" i="3" s="1"/>
  <c r="J657" i="3"/>
  <c r="K657" i="3" s="1"/>
  <c r="N657" i="3" s="1"/>
  <c r="J647" i="3"/>
  <c r="N647" i="3"/>
  <c r="J644" i="3"/>
  <c r="N644" i="3"/>
  <c r="J643" i="3"/>
  <c r="K643" i="3" s="1"/>
  <c r="N643" i="3" s="1"/>
  <c r="L601" i="3"/>
  <c r="L600" i="3"/>
  <c r="K601" i="3"/>
  <c r="K600" i="3"/>
  <c r="J601" i="3"/>
  <c r="J600" i="3"/>
  <c r="K655" i="3" l="1"/>
  <c r="N655" i="3" s="1"/>
  <c r="K654" i="3"/>
  <c r="N654" i="3" s="1"/>
  <c r="K652" i="3"/>
  <c r="N652" i="3" s="1"/>
  <c r="K651" i="3"/>
  <c r="N651" i="3" s="1"/>
  <c r="J642" i="3"/>
  <c r="K642" i="3" s="1"/>
  <c r="N642" i="3" s="1"/>
  <c r="J635" i="3"/>
  <c r="K635" i="3" s="1"/>
  <c r="N635" i="3" s="1"/>
  <c r="J641" i="3"/>
  <c r="K641" i="3" s="1"/>
  <c r="N641" i="3" s="1"/>
  <c r="I546" i="3" l="1"/>
  <c r="I545" i="3"/>
  <c r="I616" i="3"/>
  <c r="I615" i="3"/>
  <c r="I614" i="3"/>
  <c r="I613" i="3"/>
  <c r="I612" i="3"/>
  <c r="I611" i="3"/>
  <c r="I610" i="3"/>
  <c r="I609" i="3"/>
  <c r="I608" i="3"/>
  <c r="I607" i="3"/>
  <c r="I605" i="3"/>
  <c r="I606" i="3"/>
  <c r="J656" i="3" l="1"/>
  <c r="N656" i="3" s="1"/>
  <c r="I628" i="3"/>
  <c r="J640" i="3"/>
  <c r="K640" i="3" s="1"/>
  <c r="N640" i="3" s="1"/>
  <c r="J650" i="2" l="1"/>
  <c r="K650" i="2" s="1"/>
  <c r="N650" i="2" s="1"/>
  <c r="J646" i="2"/>
  <c r="K646" i="2" s="1"/>
  <c r="N646" i="2" s="1"/>
  <c r="J647" i="2"/>
  <c r="K647" i="2" s="1"/>
  <c r="N647" i="2" s="1"/>
  <c r="J648" i="2"/>
  <c r="K648" i="2" s="1"/>
  <c r="N648" i="2" s="1"/>
  <c r="J649" i="2"/>
  <c r="K649" i="2" s="1"/>
  <c r="N649" i="2" s="1"/>
  <c r="J645" i="2"/>
  <c r="K645" i="2" s="1"/>
  <c r="N645" i="2" s="1"/>
  <c r="J644" i="2"/>
  <c r="K644" i="2" s="1"/>
  <c r="N644" i="2" s="1"/>
  <c r="J643" i="2"/>
  <c r="K643" i="2" s="1"/>
  <c r="N643" i="2" s="1"/>
  <c r="J641" i="2"/>
  <c r="N641" i="2" s="1"/>
  <c r="J642" i="2"/>
  <c r="N642" i="2" s="1"/>
  <c r="J640" i="2"/>
  <c r="N640" i="2"/>
  <c r="J639" i="2"/>
  <c r="K639" i="2" s="1"/>
  <c r="N639" i="2" s="1"/>
  <c r="J638" i="2"/>
  <c r="N638" i="2" s="1"/>
  <c r="J639" i="3"/>
  <c r="K639" i="3" s="1"/>
  <c r="N639" i="3" s="1"/>
  <c r="J638" i="3"/>
  <c r="K638" i="3" s="1"/>
  <c r="N638" i="3" s="1"/>
  <c r="J634" i="3"/>
  <c r="K634" i="3" s="1"/>
  <c r="N634" i="3" s="1"/>
  <c r="J633" i="3"/>
  <c r="K633" i="3" s="1"/>
  <c r="N633" i="3" s="1"/>
  <c r="J632" i="3"/>
  <c r="K632" i="3" s="1"/>
  <c r="N632" i="3" s="1"/>
  <c r="J631" i="3"/>
  <c r="K631" i="3" s="1"/>
  <c r="N631" i="3" s="1"/>
  <c r="J630" i="3"/>
  <c r="K630" i="3" s="1"/>
  <c r="N630" i="3" s="1"/>
  <c r="J629" i="3"/>
  <c r="K629" i="3" s="1"/>
  <c r="N629" i="3" s="1"/>
  <c r="J628" i="3"/>
  <c r="K628" i="3" s="1"/>
  <c r="J627" i="3"/>
  <c r="K627" i="3" s="1"/>
  <c r="N627" i="3" s="1"/>
  <c r="N626" i="3"/>
  <c r="J625" i="3"/>
  <c r="K625" i="3" s="1"/>
  <c r="N625" i="3" s="1"/>
  <c r="J636" i="2"/>
  <c r="K636" i="2" s="1"/>
  <c r="N636" i="2" s="1"/>
  <c r="J637" i="2"/>
  <c r="K637" i="2" s="1"/>
  <c r="N637" i="2" s="1"/>
  <c r="J635" i="2"/>
  <c r="K635" i="2" s="1"/>
  <c r="N635" i="2" s="1"/>
  <c r="J633" i="2"/>
  <c r="K633" i="2" s="1"/>
  <c r="N633" i="2" s="1"/>
  <c r="J634" i="2"/>
  <c r="K634" i="2" s="1"/>
  <c r="N634" i="2" s="1"/>
  <c r="J632" i="2"/>
  <c r="K632" i="2" s="1"/>
  <c r="N632" i="2" s="1"/>
  <c r="J631" i="2"/>
  <c r="K631" i="2" s="1"/>
  <c r="N631" i="2" s="1"/>
  <c r="J628" i="2"/>
  <c r="K628" i="2" s="1"/>
  <c r="N628" i="2" s="1"/>
  <c r="J629" i="2"/>
  <c r="K629" i="2" s="1"/>
  <c r="N629" i="2" s="1"/>
  <c r="J630" i="2"/>
  <c r="K630" i="2" s="1"/>
  <c r="N630" i="2" s="1"/>
  <c r="J627" i="2"/>
  <c r="K627" i="2" s="1"/>
  <c r="N627" i="2" s="1"/>
  <c r="J626" i="2"/>
  <c r="K626" i="2" s="1"/>
  <c r="N626" i="2" s="1"/>
  <c r="J625" i="2"/>
  <c r="K625" i="2" s="1"/>
  <c r="N625" i="2" s="1"/>
  <c r="J624" i="2"/>
  <c r="K624" i="2" s="1"/>
  <c r="N624" i="2" s="1"/>
  <c r="J618" i="2"/>
  <c r="K618" i="2" s="1"/>
  <c r="N618" i="2" s="1"/>
  <c r="J619" i="2"/>
  <c r="K619" i="2" s="1"/>
  <c r="N619" i="2" s="1"/>
  <c r="J620" i="2"/>
  <c r="K620" i="2" s="1"/>
  <c r="N620" i="2" s="1"/>
  <c r="J621" i="2"/>
  <c r="K621" i="2" s="1"/>
  <c r="N621" i="2" s="1"/>
  <c r="J622" i="2"/>
  <c r="K622" i="2" s="1"/>
  <c r="N622" i="2" s="1"/>
  <c r="J623" i="2"/>
  <c r="K623" i="2" s="1"/>
  <c r="N623" i="2" s="1"/>
  <c r="J617" i="2"/>
  <c r="K617" i="2" s="1"/>
  <c r="N617" i="2" s="1"/>
  <c r="J616" i="2"/>
  <c r="K616" i="2" s="1"/>
  <c r="N616" i="2" s="1"/>
  <c r="J615" i="2"/>
  <c r="K615" i="2" s="1"/>
  <c r="N615" i="2" s="1"/>
  <c r="J611" i="2"/>
  <c r="K611" i="2" s="1"/>
  <c r="N611" i="2" s="1"/>
  <c r="J612" i="2"/>
  <c r="K612" i="2" s="1"/>
  <c r="N612" i="2" s="1"/>
  <c r="J613" i="2"/>
  <c r="K613" i="2" s="1"/>
  <c r="N613" i="2" s="1"/>
  <c r="J614" i="2"/>
  <c r="K614" i="2" s="1"/>
  <c r="N614" i="2" s="1"/>
  <c r="J610" i="2"/>
  <c r="K610" i="2" s="1"/>
  <c r="N610" i="2" s="1"/>
  <c r="J609" i="2"/>
  <c r="K609" i="2" s="1"/>
  <c r="N609" i="2" s="1"/>
  <c r="J608" i="2"/>
  <c r="K608" i="2" s="1"/>
  <c r="N608" i="2" s="1"/>
  <c r="J606" i="2"/>
  <c r="K606" i="2" s="1"/>
  <c r="N606" i="2" s="1"/>
  <c r="J607" i="2"/>
  <c r="K607" i="2" s="1"/>
  <c r="N607" i="2" s="1"/>
  <c r="J605" i="2"/>
  <c r="K605" i="2" s="1"/>
  <c r="N605" i="2" s="1"/>
  <c r="J604" i="2"/>
  <c r="K604" i="2" s="1"/>
  <c r="N604" i="2" s="1"/>
  <c r="N624" i="3"/>
  <c r="N628" i="3" l="1"/>
  <c r="J603" i="2" l="1"/>
  <c r="K603" i="2" s="1"/>
  <c r="N603" i="2" s="1"/>
  <c r="J600" i="2"/>
  <c r="K600" i="2" s="1"/>
  <c r="N600" i="2" s="1"/>
  <c r="J601" i="2"/>
  <c r="K601" i="2" s="1"/>
  <c r="N601" i="2" s="1"/>
  <c r="J602" i="2"/>
  <c r="K602" i="2" s="1"/>
  <c r="N602" i="2" s="1"/>
  <c r="J599" i="2"/>
  <c r="K599" i="2" s="1"/>
  <c r="N599" i="2" s="1"/>
  <c r="J598" i="2"/>
  <c r="K598" i="2" s="1"/>
  <c r="N598" i="2" s="1"/>
  <c r="J597" i="2"/>
  <c r="K597" i="2" s="1"/>
  <c r="N597" i="2" s="1"/>
  <c r="J591" i="2"/>
  <c r="K591" i="2" s="1"/>
  <c r="N591" i="2" s="1"/>
  <c r="J592" i="2"/>
  <c r="K592" i="2" s="1"/>
  <c r="N592" i="2" s="1"/>
  <c r="J593" i="2"/>
  <c r="K593" i="2" s="1"/>
  <c r="N593" i="2" s="1"/>
  <c r="J594" i="2"/>
  <c r="K594" i="2" s="1"/>
  <c r="N594" i="2" s="1"/>
  <c r="J595" i="2"/>
  <c r="K595" i="2" s="1"/>
  <c r="N595" i="2" s="1"/>
  <c r="J596" i="2"/>
  <c r="K596" i="2" s="1"/>
  <c r="N596" i="2" s="1"/>
  <c r="J590" i="2"/>
  <c r="K590" i="2" s="1"/>
  <c r="N590" i="2" s="1"/>
  <c r="J585" i="2"/>
  <c r="K585" i="2" s="1"/>
  <c r="N585" i="2" s="1"/>
  <c r="J586" i="2"/>
  <c r="K586" i="2" s="1"/>
  <c r="N586" i="2" s="1"/>
  <c r="J587" i="2"/>
  <c r="K587" i="2" s="1"/>
  <c r="N587" i="2" s="1"/>
  <c r="J588" i="2"/>
  <c r="K588" i="2" s="1"/>
  <c r="N588" i="2" s="1"/>
  <c r="J589" i="2"/>
  <c r="K589" i="2" s="1"/>
  <c r="N589" i="2" s="1"/>
  <c r="J584" i="2"/>
  <c r="K584" i="2" s="1"/>
  <c r="N584" i="2" s="1"/>
  <c r="J583" i="2"/>
  <c r="K583" i="2" s="1"/>
  <c r="N583" i="2" s="1"/>
  <c r="J582" i="2"/>
  <c r="K582" i="2" s="1"/>
  <c r="N582" i="2" s="1"/>
  <c r="J581" i="2"/>
  <c r="K581" i="2" s="1"/>
  <c r="N581" i="2" s="1"/>
  <c r="J580" i="2"/>
  <c r="K580" i="2" s="1"/>
  <c r="N580" i="2" s="1"/>
  <c r="J574" i="2"/>
  <c r="K574" i="2" s="1"/>
  <c r="N574" i="2" s="1"/>
  <c r="J575" i="2"/>
  <c r="K575" i="2" s="1"/>
  <c r="N575" i="2" s="1"/>
  <c r="J576" i="2"/>
  <c r="K576" i="2" s="1"/>
  <c r="N576" i="2" s="1"/>
  <c r="J577" i="2"/>
  <c r="K577" i="2" s="1"/>
  <c r="N577" i="2" s="1"/>
  <c r="J578" i="2"/>
  <c r="K578" i="2" s="1"/>
  <c r="N578" i="2" s="1"/>
  <c r="J579" i="2"/>
  <c r="K579" i="2" s="1"/>
  <c r="N579" i="2" s="1"/>
  <c r="J573" i="2"/>
  <c r="K573" i="2" s="1"/>
  <c r="N573" i="2" s="1"/>
  <c r="J568" i="2"/>
  <c r="K568" i="2" s="1"/>
  <c r="N568" i="2" s="1"/>
  <c r="J569" i="2"/>
  <c r="K569" i="2" s="1"/>
  <c r="N569" i="2" s="1"/>
  <c r="J570" i="2"/>
  <c r="K570" i="2" s="1"/>
  <c r="N570" i="2" s="1"/>
  <c r="J571" i="2"/>
  <c r="K571" i="2" s="1"/>
  <c r="N571" i="2" s="1"/>
  <c r="J572" i="2"/>
  <c r="K572" i="2" s="1"/>
  <c r="N572" i="2" s="1"/>
  <c r="J567" i="2"/>
  <c r="K567" i="2" s="1"/>
  <c r="N567" i="2" s="1"/>
  <c r="J562" i="2"/>
  <c r="K562" i="2" s="1"/>
  <c r="N562" i="2" s="1"/>
  <c r="J563" i="2"/>
  <c r="K563" i="2" s="1"/>
  <c r="N563" i="2" s="1"/>
  <c r="J564" i="2"/>
  <c r="K564" i="2" s="1"/>
  <c r="N564" i="2" s="1"/>
  <c r="J565" i="2"/>
  <c r="K565" i="2" s="1"/>
  <c r="N565" i="2" s="1"/>
  <c r="J566" i="2"/>
  <c r="K566" i="2" s="1"/>
  <c r="N566" i="2" s="1"/>
  <c r="J561" i="2"/>
  <c r="K561" i="2" s="1"/>
  <c r="N561" i="2" s="1"/>
  <c r="J560" i="2"/>
  <c r="K560" i="2" s="1"/>
  <c r="N560" i="2" s="1"/>
  <c r="J559" i="2"/>
  <c r="K559" i="2" s="1"/>
  <c r="N559" i="2" s="1"/>
  <c r="J557" i="2"/>
  <c r="K557" i="2" s="1"/>
  <c r="N557" i="2" s="1"/>
  <c r="J558" i="2"/>
  <c r="K558" i="2" s="1"/>
  <c r="N558" i="2" s="1"/>
  <c r="J556" i="2"/>
  <c r="K556" i="2" s="1"/>
  <c r="N556" i="2" s="1"/>
  <c r="J555" i="2"/>
  <c r="K555" i="2" s="1"/>
  <c r="N555" i="2" s="1"/>
  <c r="J554" i="2"/>
  <c r="K554" i="2" s="1"/>
  <c r="N554" i="2" s="1"/>
  <c r="I620" i="3"/>
  <c r="J620" i="3" s="1"/>
  <c r="I623" i="3"/>
  <c r="J623" i="3" s="1"/>
  <c r="N623" i="3" s="1"/>
  <c r="J622" i="3"/>
  <c r="K622" i="3" s="1"/>
  <c r="N622" i="3" s="1"/>
  <c r="J621" i="3"/>
  <c r="K621" i="3" s="1"/>
  <c r="N621" i="3" s="1"/>
  <c r="J619" i="3"/>
  <c r="K619" i="3" s="1"/>
  <c r="N619" i="3" s="1"/>
  <c r="J618" i="3"/>
  <c r="K618" i="3" s="1"/>
  <c r="N618" i="3" s="1"/>
  <c r="J617" i="3"/>
  <c r="K617" i="3" s="1"/>
  <c r="N617" i="3" s="1"/>
  <c r="J616" i="3"/>
  <c r="N616" i="3" s="1"/>
  <c r="J615" i="3"/>
  <c r="N615" i="3" s="1"/>
  <c r="J613" i="3"/>
  <c r="N613" i="3" s="1"/>
  <c r="J611" i="3"/>
  <c r="N611" i="3" s="1"/>
  <c r="J610" i="3"/>
  <c r="N610" i="3" s="1"/>
  <c r="J609" i="3"/>
  <c r="N609" i="3" s="1"/>
  <c r="J608" i="3"/>
  <c r="N608" i="3" s="1"/>
  <c r="J607" i="3"/>
  <c r="N607" i="3" s="1"/>
  <c r="J606" i="3"/>
  <c r="N606" i="3" s="1"/>
  <c r="J614" i="3"/>
  <c r="N614" i="3" s="1"/>
  <c r="J605" i="3"/>
  <c r="J612" i="3"/>
  <c r="N612" i="3" s="1"/>
  <c r="N605" i="3"/>
  <c r="J603" i="3"/>
  <c r="K603" i="3" s="1"/>
  <c r="N603" i="3" s="1"/>
  <c r="J604" i="3"/>
  <c r="K604" i="3" s="1"/>
  <c r="N604" i="3" s="1"/>
  <c r="J602" i="3"/>
  <c r="K602" i="3" s="1"/>
  <c r="N602" i="3" s="1"/>
  <c r="I601" i="3"/>
  <c r="N601" i="3" s="1"/>
  <c r="I600" i="3"/>
  <c r="N600" i="3" s="1"/>
  <c r="N620" i="3" l="1"/>
  <c r="J599" i="3" l="1"/>
  <c r="N599" i="3"/>
  <c r="J598" i="3"/>
  <c r="N598" i="3" s="1"/>
  <c r="J597" i="3"/>
  <c r="N597" i="3" s="1"/>
  <c r="I579" i="3"/>
  <c r="J579" i="3" s="1"/>
  <c r="I578" i="3"/>
  <c r="N578" i="3" s="1"/>
  <c r="I577" i="3"/>
  <c r="J577" i="3" s="1"/>
  <c r="N577" i="3" s="1"/>
  <c r="I576" i="3"/>
  <c r="J576" i="3" s="1"/>
  <c r="N576" i="3" s="1"/>
  <c r="I566" i="3"/>
  <c r="I565" i="3"/>
  <c r="I564" i="3"/>
  <c r="J564" i="3" s="1"/>
  <c r="I563" i="3"/>
  <c r="I562" i="3"/>
  <c r="I561" i="3"/>
  <c r="I560" i="3"/>
  <c r="I559" i="3"/>
  <c r="J580" i="3"/>
  <c r="K580" i="3" s="1"/>
  <c r="N580" i="3" s="1"/>
  <c r="J572" i="3"/>
  <c r="K572" i="3" s="1"/>
  <c r="N572" i="3" s="1"/>
  <c r="J571" i="3"/>
  <c r="K571" i="3" s="1"/>
  <c r="N571" i="3" s="1"/>
  <c r="J570" i="3"/>
  <c r="K570" i="3" s="1"/>
  <c r="N570" i="3" s="1"/>
  <c r="J569" i="3"/>
  <c r="K569" i="3" s="1"/>
  <c r="N569" i="3" s="1"/>
  <c r="J568" i="3"/>
  <c r="K568" i="3" s="1"/>
  <c r="N568" i="3" s="1"/>
  <c r="J596" i="3"/>
  <c r="N596" i="3"/>
  <c r="J595" i="3"/>
  <c r="N595" i="3"/>
  <c r="J594" i="3"/>
  <c r="N594" i="3"/>
  <c r="K593" i="3"/>
  <c r="N593" i="3" s="1"/>
  <c r="K589" i="3"/>
  <c r="N589" i="3" s="1"/>
  <c r="K590" i="3"/>
  <c r="N590" i="3" s="1"/>
  <c r="K591" i="3"/>
  <c r="N591" i="3" s="1"/>
  <c r="K592" i="3"/>
  <c r="N592" i="3" s="1"/>
  <c r="K587" i="3"/>
  <c r="N587" i="3" s="1"/>
  <c r="K588" i="3"/>
  <c r="N588" i="3" s="1"/>
  <c r="K586" i="3"/>
  <c r="N586" i="3" s="1"/>
  <c r="K584" i="3"/>
  <c r="K585" i="3"/>
  <c r="J583" i="3"/>
  <c r="K583" i="3" s="1"/>
  <c r="N583" i="3" s="1"/>
  <c r="J582" i="3"/>
  <c r="K582" i="3" s="1"/>
  <c r="N582" i="3" s="1"/>
  <c r="J581" i="3"/>
  <c r="K581" i="3" s="1"/>
  <c r="N581" i="3" s="1"/>
  <c r="N579" i="3"/>
  <c r="J575" i="3"/>
  <c r="K575" i="3" s="1"/>
  <c r="N575" i="3" s="1"/>
  <c r="J573" i="3"/>
  <c r="K573" i="3" s="1"/>
  <c r="N573" i="3" s="1"/>
  <c r="J574" i="3"/>
  <c r="K574" i="3" s="1"/>
  <c r="N574" i="3" s="1"/>
  <c r="J567" i="3"/>
  <c r="K567" i="3" s="1"/>
  <c r="N567" i="3" s="1"/>
  <c r="J578" i="3" l="1"/>
  <c r="N584" i="3"/>
  <c r="N585" i="3"/>
  <c r="J565" i="3"/>
  <c r="J563" i="3"/>
  <c r="J562" i="3"/>
  <c r="J561" i="3"/>
  <c r="J560" i="3"/>
  <c r="J559" i="3"/>
  <c r="I558" i="3"/>
  <c r="J558" i="3" s="1"/>
  <c r="I557" i="3"/>
  <c r="J557" i="3" s="1"/>
  <c r="I556" i="3"/>
  <c r="J556" i="3" s="1"/>
  <c r="N556" i="3" s="1"/>
  <c r="N566" i="3"/>
  <c r="N565" i="3"/>
  <c r="N557" i="3"/>
  <c r="N558" i="3"/>
  <c r="N559" i="3"/>
  <c r="N560" i="3"/>
  <c r="N561" i="3"/>
  <c r="N562" i="3"/>
  <c r="N563" i="3"/>
  <c r="N564" i="3"/>
  <c r="I555" i="3"/>
  <c r="J555" i="3" s="1"/>
  <c r="K555" i="3" s="1"/>
  <c r="N555" i="3" s="1"/>
  <c r="J554" i="3"/>
  <c r="J553" i="3"/>
  <c r="K553" i="3" s="1"/>
  <c r="N553" i="3" s="1"/>
  <c r="J552" i="3"/>
  <c r="K552" i="3" s="1"/>
  <c r="N552" i="3" s="1"/>
  <c r="J551" i="3"/>
  <c r="K551" i="3" s="1"/>
  <c r="N551" i="3" s="1"/>
  <c r="J550" i="3"/>
  <c r="K550" i="3" s="1"/>
  <c r="N550" i="3" s="1"/>
  <c r="J549" i="3"/>
  <c r="K549" i="3" s="1"/>
  <c r="N549" i="3" s="1"/>
  <c r="J548" i="3"/>
  <c r="K548" i="3" s="1"/>
  <c r="N548" i="3" s="1"/>
  <c r="J547" i="3"/>
  <c r="K547" i="3" s="1"/>
  <c r="N547" i="3" s="1"/>
  <c r="J544" i="3"/>
  <c r="N544" i="3" s="1"/>
  <c r="J545" i="3"/>
  <c r="N545" i="3" s="1"/>
  <c r="J546" i="3"/>
  <c r="N546" i="3" s="1"/>
  <c r="J543" i="3"/>
  <c r="K543" i="3" s="1"/>
  <c r="N543" i="3" s="1"/>
  <c r="J541" i="3"/>
  <c r="K541" i="3" s="1"/>
  <c r="N541" i="3" s="1"/>
  <c r="J542" i="3"/>
  <c r="K542" i="3" s="1"/>
  <c r="N542" i="3" s="1"/>
  <c r="J540" i="3"/>
  <c r="K540" i="3" s="1"/>
  <c r="N540" i="3" s="1"/>
  <c r="J539" i="3"/>
  <c r="K539" i="3" s="1"/>
  <c r="N539" i="3" s="1"/>
  <c r="J538" i="3"/>
  <c r="K538" i="3" s="1"/>
  <c r="N538" i="3" s="1"/>
  <c r="J537" i="3"/>
  <c r="K537" i="3" s="1"/>
  <c r="N537" i="3" s="1"/>
  <c r="J536" i="3"/>
  <c r="K536" i="3" s="1"/>
  <c r="N536" i="3" s="1"/>
  <c r="J535" i="3"/>
  <c r="K535" i="3" s="1"/>
  <c r="N535" i="3" s="1"/>
  <c r="J533" i="3"/>
  <c r="K533" i="3" s="1"/>
  <c r="N533" i="3" s="1"/>
  <c r="J534" i="3"/>
  <c r="K534" i="3" s="1"/>
  <c r="N534" i="3" s="1"/>
  <c r="J532" i="3"/>
  <c r="K532" i="3" s="1"/>
  <c r="N532" i="3" s="1"/>
  <c r="N531" i="3"/>
  <c r="J530" i="3"/>
  <c r="K530" i="3" s="1"/>
  <c r="N530" i="3" s="1"/>
  <c r="J529" i="3"/>
  <c r="K529" i="3" s="1"/>
  <c r="N529" i="3" s="1"/>
  <c r="D48" i="16"/>
  <c r="D43" i="16"/>
  <c r="D36" i="16"/>
  <c r="D30" i="16"/>
  <c r="D41" i="16"/>
  <c r="D26" i="16"/>
  <c r="D49" i="16"/>
  <c r="J528" i="3"/>
  <c r="K528" i="3" s="1"/>
  <c r="N528" i="3" s="1"/>
  <c r="J527" i="3"/>
  <c r="N527" i="3"/>
  <c r="J525" i="3"/>
  <c r="K525" i="3" s="1"/>
  <c r="N525" i="3" s="1"/>
  <c r="J526" i="3"/>
  <c r="K526" i="3" s="1"/>
  <c r="N526" i="3" s="1"/>
  <c r="J524" i="3"/>
  <c r="N524" i="3"/>
  <c r="J523" i="3"/>
  <c r="K523" i="3" s="1"/>
  <c r="N523" i="3" s="1"/>
  <c r="I522" i="3"/>
  <c r="J522" i="3" s="1"/>
  <c r="I521" i="3"/>
  <c r="J521" i="3" s="1"/>
  <c r="I520" i="3"/>
  <c r="J520" i="3" s="1"/>
  <c r="K520" i="3" s="1"/>
  <c r="J519" i="3"/>
  <c r="K519" i="3" s="1"/>
  <c r="N519" i="3" s="1"/>
  <c r="J518" i="3"/>
  <c r="K518" i="3" s="1"/>
  <c r="N518" i="3" s="1"/>
  <c r="J517" i="3"/>
  <c r="K517" i="3" s="1"/>
  <c r="N517" i="3" s="1"/>
  <c r="J516" i="3"/>
  <c r="K516" i="3" s="1"/>
  <c r="N516" i="3" s="1"/>
  <c r="D42" i="16" l="1"/>
  <c r="K554" i="3"/>
  <c r="N554" i="3" s="1"/>
  <c r="N522" i="3"/>
  <c r="K521" i="3"/>
  <c r="N521" i="3" s="1"/>
  <c r="N520" i="3"/>
  <c r="J515" i="3" l="1"/>
  <c r="K515" i="3" s="1"/>
  <c r="N515" i="3" s="1"/>
  <c r="J514" i="3"/>
  <c r="N514" i="3" s="1"/>
  <c r="J513" i="3"/>
  <c r="K513" i="3" s="1"/>
  <c r="N513" i="3" s="1"/>
  <c r="J512" i="3"/>
  <c r="K512" i="3" s="1"/>
  <c r="N512" i="3" s="1"/>
  <c r="J511" i="3"/>
  <c r="K511" i="3" s="1"/>
  <c r="N511" i="3" s="1"/>
  <c r="J510" i="3"/>
  <c r="K510" i="3" s="1"/>
  <c r="N510" i="3" s="1"/>
  <c r="J509" i="3"/>
  <c r="N509" i="3" s="1"/>
  <c r="J549" i="2" l="1"/>
  <c r="K549" i="2" s="1"/>
  <c r="N549" i="2" s="1"/>
  <c r="J508" i="3" l="1"/>
  <c r="K508" i="3" s="1"/>
  <c r="N508" i="3" s="1"/>
  <c r="J507" i="3"/>
  <c r="K507" i="3" s="1"/>
  <c r="N507" i="3" s="1"/>
  <c r="J506" i="3"/>
  <c r="K506" i="3" s="1"/>
  <c r="N506" i="3" s="1"/>
  <c r="J553" i="2"/>
  <c r="K553" i="2" s="1"/>
  <c r="N553" i="2" s="1"/>
  <c r="J552" i="2"/>
  <c r="K552" i="2" s="1"/>
  <c r="N552" i="2" s="1"/>
  <c r="J551" i="2"/>
  <c r="K551" i="2" s="1"/>
  <c r="N551" i="2" s="1"/>
  <c r="J550" i="2"/>
  <c r="K550" i="2" s="1"/>
  <c r="N550" i="2" s="1"/>
  <c r="J548" i="2"/>
  <c r="K548" i="2" s="1"/>
  <c r="N548" i="2" s="1"/>
  <c r="J547" i="2"/>
  <c r="K547" i="2" s="1"/>
  <c r="N547" i="2" s="1"/>
  <c r="J546" i="2"/>
  <c r="K546" i="2" s="1"/>
  <c r="N546" i="2" s="1"/>
  <c r="J545" i="2"/>
  <c r="K545" i="2" s="1"/>
  <c r="N545" i="2" s="1"/>
  <c r="J543" i="2"/>
  <c r="K543" i="2" s="1"/>
  <c r="N543" i="2" s="1"/>
  <c r="J544" i="2"/>
  <c r="K544" i="2" s="1"/>
  <c r="N544" i="2" s="1"/>
  <c r="J542" i="2"/>
  <c r="K542" i="2" s="1"/>
  <c r="N542" i="2" s="1"/>
  <c r="J541" i="2"/>
  <c r="K541" i="2" s="1"/>
  <c r="N541" i="2" s="1"/>
  <c r="J540" i="2"/>
  <c r="K540" i="2" s="1"/>
  <c r="N540" i="2" s="1"/>
  <c r="J539" i="2"/>
  <c r="K539" i="2" s="1"/>
  <c r="N539" i="2" s="1"/>
  <c r="E30" i="25"/>
  <c r="J505" i="3"/>
  <c r="N505" i="3" s="1"/>
  <c r="J504" i="3"/>
  <c r="N504" i="3" s="1"/>
  <c r="J503" i="3"/>
  <c r="N503" i="3" s="1"/>
  <c r="I502" i="3"/>
  <c r="J502" i="3" s="1"/>
  <c r="J501" i="3"/>
  <c r="K501" i="3" s="1"/>
  <c r="N501" i="3" s="1"/>
  <c r="J500" i="3"/>
  <c r="K500" i="3" s="1"/>
  <c r="N500" i="3" s="1"/>
  <c r="J499" i="3"/>
  <c r="K499" i="3" s="1"/>
  <c r="N499" i="3" s="1"/>
  <c r="D27" i="25"/>
  <c r="C27" i="25"/>
  <c r="B27" i="25"/>
  <c r="C31" i="25"/>
  <c r="B31" i="25"/>
  <c r="C30" i="25"/>
  <c r="B30" i="25"/>
  <c r="J538" i="2" l="1"/>
  <c r="K538" i="2" s="1"/>
  <c r="N538" i="2" s="1"/>
  <c r="J498" i="3"/>
  <c r="K498" i="3" s="1"/>
  <c r="N498" i="3" s="1"/>
  <c r="I496" i="3"/>
  <c r="J497" i="3"/>
  <c r="N497" i="3"/>
  <c r="N496" i="3"/>
  <c r="J495" i="3"/>
  <c r="K495" i="3" s="1"/>
  <c r="N495" i="3" s="1"/>
  <c r="J494" i="3"/>
  <c r="N494" i="3"/>
  <c r="J493" i="3"/>
  <c r="N493" i="3"/>
  <c r="AA10" i="13" l="1"/>
  <c r="N147" i="2"/>
  <c r="J492" i="3"/>
  <c r="K492" i="3" s="1"/>
  <c r="N492" i="3" s="1"/>
  <c r="J491" i="3"/>
  <c r="K491" i="3" s="1"/>
  <c r="N491" i="3" s="1"/>
  <c r="J490" i="3"/>
  <c r="K490" i="3" s="1"/>
  <c r="N490" i="3" s="1"/>
  <c r="J489" i="3"/>
  <c r="K489" i="3" s="1"/>
  <c r="N489" i="3" s="1"/>
  <c r="J488" i="3"/>
  <c r="K487" i="3"/>
  <c r="N487" i="3" s="1"/>
  <c r="I486" i="3"/>
  <c r="J486" i="3" s="1"/>
  <c r="K486" i="3" s="1"/>
  <c r="K485" i="3"/>
  <c r="N485" i="3" s="1"/>
  <c r="J459" i="3"/>
  <c r="K459" i="3" s="1"/>
  <c r="N459" i="3" s="1"/>
  <c r="J460" i="3"/>
  <c r="N460" i="3" s="1"/>
  <c r="J484" i="3"/>
  <c r="K484" i="3" s="1"/>
  <c r="N484" i="3" s="1"/>
  <c r="J483" i="3"/>
  <c r="K483" i="3" s="1"/>
  <c r="N483" i="3" s="1"/>
  <c r="J482" i="3"/>
  <c r="K482" i="3" s="1"/>
  <c r="N482" i="3" s="1"/>
  <c r="I481" i="3"/>
  <c r="N481" i="3"/>
  <c r="I446" i="3"/>
  <c r="J446" i="3" s="1"/>
  <c r="N446" i="3" s="1"/>
  <c r="I452" i="3"/>
  <c r="I453" i="3"/>
  <c r="I454" i="3"/>
  <c r="J454" i="3" s="1"/>
  <c r="K454" i="3" s="1"/>
  <c r="N488" i="3" l="1"/>
  <c r="N486" i="3"/>
  <c r="J537" i="2" l="1"/>
  <c r="K537" i="2" s="1"/>
  <c r="N537" i="2" s="1"/>
  <c r="J536" i="2"/>
  <c r="K536" i="2" s="1"/>
  <c r="N536" i="2" s="1"/>
  <c r="J535" i="2"/>
  <c r="K535" i="2" s="1"/>
  <c r="N535" i="2" s="1"/>
  <c r="J531" i="2"/>
  <c r="K531" i="2" s="1"/>
  <c r="N531" i="2" s="1"/>
  <c r="J532" i="2"/>
  <c r="K532" i="2" s="1"/>
  <c r="N532" i="2" s="1"/>
  <c r="J533" i="2"/>
  <c r="K533" i="2" s="1"/>
  <c r="N533" i="2" s="1"/>
  <c r="J534" i="2"/>
  <c r="K534" i="2" s="1"/>
  <c r="N534" i="2" s="1"/>
  <c r="J530" i="2"/>
  <c r="K530" i="2" s="1"/>
  <c r="N530" i="2" s="1"/>
  <c r="J529" i="2"/>
  <c r="K529" i="2" s="1"/>
  <c r="N529" i="2" s="1"/>
  <c r="J528" i="2"/>
  <c r="K528" i="2" s="1"/>
  <c r="N528" i="2" s="1"/>
  <c r="J527" i="2"/>
  <c r="K527" i="2" s="1"/>
  <c r="N527" i="2" s="1"/>
  <c r="J526" i="2"/>
  <c r="K526" i="2" s="1"/>
  <c r="N526" i="2" s="1"/>
  <c r="J524" i="2"/>
  <c r="K524" i="2" s="1"/>
  <c r="N524" i="2" s="1"/>
  <c r="J525" i="2"/>
  <c r="K525" i="2" s="1"/>
  <c r="N525" i="2" s="1"/>
  <c r="J523" i="2"/>
  <c r="K523" i="2" s="1"/>
  <c r="N523" i="2" s="1"/>
  <c r="J522" i="2"/>
  <c r="K522" i="2" s="1"/>
  <c r="N522" i="2" s="1"/>
  <c r="J521" i="2"/>
  <c r="K521" i="2" s="1"/>
  <c r="N521" i="2" s="1"/>
  <c r="J520" i="2"/>
  <c r="K520" i="2" s="1"/>
  <c r="N520" i="2" s="1"/>
  <c r="J519" i="2"/>
  <c r="K519" i="2" s="1"/>
  <c r="N519" i="2" s="1"/>
  <c r="J518" i="2"/>
  <c r="K518" i="2" s="1"/>
  <c r="N518" i="2" s="1"/>
  <c r="J517" i="2"/>
  <c r="K517" i="2" s="1"/>
  <c r="N517" i="2" s="1"/>
  <c r="J516" i="2"/>
  <c r="K516" i="2" s="1"/>
  <c r="N516" i="2" s="1"/>
  <c r="J515" i="2"/>
  <c r="K515" i="2" s="1"/>
  <c r="N515" i="2" s="1"/>
  <c r="J514" i="2"/>
  <c r="K514" i="2" s="1"/>
  <c r="J513" i="2"/>
  <c r="J480" i="3"/>
  <c r="N480" i="3" s="1"/>
  <c r="K316" i="3"/>
  <c r="N316" i="3" s="1"/>
  <c r="K479" i="3"/>
  <c r="N479" i="3" s="1"/>
  <c r="J479" i="3"/>
  <c r="K478" i="3"/>
  <c r="N478" i="3" s="1"/>
  <c r="J478" i="3"/>
  <c r="J477" i="3"/>
  <c r="K477" i="3" s="1"/>
  <c r="N477" i="3" s="1"/>
  <c r="J476" i="3"/>
  <c r="K476" i="3" s="1"/>
  <c r="N476" i="3" s="1"/>
  <c r="J475" i="3"/>
  <c r="K475" i="3" s="1"/>
  <c r="N475" i="3" s="1"/>
  <c r="N3" i="25" l="1"/>
  <c r="N15" i="25"/>
  <c r="N27" i="25"/>
  <c r="N39" i="25"/>
  <c r="N51" i="25"/>
  <c r="B60" i="25"/>
  <c r="M60" i="25"/>
  <c r="L60" i="25"/>
  <c r="K60" i="25"/>
  <c r="J60" i="25"/>
  <c r="I60" i="25"/>
  <c r="H60" i="25"/>
  <c r="G60" i="25"/>
  <c r="F60" i="25"/>
  <c r="E60" i="25"/>
  <c r="D60" i="25"/>
  <c r="C60" i="25"/>
  <c r="N58" i="25"/>
  <c r="N57" i="25"/>
  <c r="N56" i="25"/>
  <c r="N55" i="25"/>
  <c r="N54" i="25"/>
  <c r="N53" i="25"/>
  <c r="N52" i="25"/>
  <c r="N50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N47" i="25"/>
  <c r="N46" i="25"/>
  <c r="N45" i="25"/>
  <c r="N44" i="25"/>
  <c r="N43" i="25"/>
  <c r="N42" i="25"/>
  <c r="N41" i="25"/>
  <c r="N40" i="25"/>
  <c r="N38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N35" i="25"/>
  <c r="N34" i="25"/>
  <c r="N33" i="25"/>
  <c r="N32" i="25"/>
  <c r="N31" i="25"/>
  <c r="N30" i="25"/>
  <c r="N29" i="25"/>
  <c r="N28" i="25"/>
  <c r="N26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N22" i="25"/>
  <c r="N21" i="25"/>
  <c r="N20" i="25"/>
  <c r="N19" i="25"/>
  <c r="N18" i="25"/>
  <c r="N17" i="25"/>
  <c r="N16" i="25"/>
  <c r="N14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N10" i="25"/>
  <c r="N9" i="25"/>
  <c r="N8" i="25"/>
  <c r="N7" i="25"/>
  <c r="N6" i="25"/>
  <c r="N5" i="25"/>
  <c r="N4" i="25"/>
  <c r="N2" i="25"/>
  <c r="I429" i="3"/>
  <c r="J429" i="3" s="1"/>
  <c r="J474" i="3"/>
  <c r="N474" i="3" s="1"/>
  <c r="N473" i="3"/>
  <c r="N60" i="25" l="1"/>
  <c r="N48" i="25"/>
  <c r="N36" i="25"/>
  <c r="N24" i="25"/>
  <c r="N12" i="25"/>
  <c r="K513" i="2"/>
  <c r="N514" i="2" s="1"/>
  <c r="J511" i="2"/>
  <c r="K511" i="2" s="1"/>
  <c r="N511" i="2" s="1"/>
  <c r="J512" i="2"/>
  <c r="K512" i="2" s="1"/>
  <c r="N512" i="2" s="1"/>
  <c r="J510" i="2"/>
  <c r="K510" i="2" s="1"/>
  <c r="N510" i="2" s="1"/>
  <c r="J509" i="2"/>
  <c r="K509" i="2" s="1"/>
  <c r="N509" i="2" s="1"/>
  <c r="J507" i="2"/>
  <c r="K507" i="2" s="1"/>
  <c r="N507" i="2" s="1"/>
  <c r="J508" i="2"/>
  <c r="K508" i="2" s="1"/>
  <c r="N508" i="2" s="1"/>
  <c r="J506" i="2"/>
  <c r="K506" i="2" s="1"/>
  <c r="N506" i="2" s="1"/>
  <c r="J505" i="2"/>
  <c r="K505" i="2" s="1"/>
  <c r="N505" i="2" s="1"/>
  <c r="J504" i="2"/>
  <c r="K504" i="2" s="1"/>
  <c r="N504" i="2" s="1"/>
  <c r="J502" i="2"/>
  <c r="K502" i="2" s="1"/>
  <c r="N502" i="2" s="1"/>
  <c r="J503" i="2"/>
  <c r="K503" i="2" s="1"/>
  <c r="N503" i="2" s="1"/>
  <c r="J501" i="2"/>
  <c r="K501" i="2" s="1"/>
  <c r="N501" i="2" s="1"/>
  <c r="J499" i="2"/>
  <c r="K499" i="2" s="1"/>
  <c r="N499" i="2" s="1"/>
  <c r="J500" i="2"/>
  <c r="K500" i="2" s="1"/>
  <c r="N500" i="2" s="1"/>
  <c r="J498" i="2"/>
  <c r="K498" i="2" s="1"/>
  <c r="N498" i="2" s="1"/>
  <c r="J497" i="2"/>
  <c r="K497" i="2" s="1"/>
  <c r="N497" i="2" s="1"/>
  <c r="J496" i="2"/>
  <c r="K496" i="2" s="1"/>
  <c r="N496" i="2" s="1"/>
  <c r="J492" i="2"/>
  <c r="K492" i="2" s="1"/>
  <c r="N492" i="2" s="1"/>
  <c r="J493" i="2"/>
  <c r="K493" i="2" s="1"/>
  <c r="N493" i="2" s="1"/>
  <c r="J494" i="2"/>
  <c r="K494" i="2" s="1"/>
  <c r="N494" i="2" s="1"/>
  <c r="J495" i="2"/>
  <c r="K495" i="2" s="1"/>
  <c r="N495" i="2" s="1"/>
  <c r="J491" i="2"/>
  <c r="K491" i="2" s="1"/>
  <c r="N491" i="2" s="1"/>
  <c r="J490" i="2"/>
  <c r="K490" i="2" s="1"/>
  <c r="N490" i="2" s="1"/>
  <c r="J489" i="2"/>
  <c r="K489" i="2" s="1"/>
  <c r="N489" i="2" s="1"/>
  <c r="J486" i="2"/>
  <c r="K486" i="2" s="1"/>
  <c r="N486" i="2" s="1"/>
  <c r="J487" i="2"/>
  <c r="K487" i="2" s="1"/>
  <c r="N487" i="2" s="1"/>
  <c r="J488" i="2"/>
  <c r="K488" i="2" s="1"/>
  <c r="N488" i="2" s="1"/>
  <c r="J483" i="2"/>
  <c r="K483" i="2" s="1"/>
  <c r="N483" i="2" s="1"/>
  <c r="J484" i="2"/>
  <c r="K484" i="2" s="1"/>
  <c r="N484" i="2" s="1"/>
  <c r="J485" i="2"/>
  <c r="K485" i="2" s="1"/>
  <c r="N485" i="2" s="1"/>
  <c r="J482" i="2"/>
  <c r="K482" i="2" s="1"/>
  <c r="N482" i="2" s="1"/>
  <c r="J481" i="2"/>
  <c r="K481" i="2" s="1"/>
  <c r="N481" i="2" s="1"/>
  <c r="J475" i="2"/>
  <c r="K475" i="2" s="1"/>
  <c r="N475" i="2" s="1"/>
  <c r="J476" i="2"/>
  <c r="K476" i="2" s="1"/>
  <c r="N476" i="2" s="1"/>
  <c r="J477" i="2"/>
  <c r="K477" i="2" s="1"/>
  <c r="N477" i="2" s="1"/>
  <c r="J478" i="2"/>
  <c r="K478" i="2" s="1"/>
  <c r="N478" i="2" s="1"/>
  <c r="J479" i="2"/>
  <c r="K479" i="2" s="1"/>
  <c r="N479" i="2" s="1"/>
  <c r="J480" i="2"/>
  <c r="K480" i="2" s="1"/>
  <c r="N480" i="2" s="1"/>
  <c r="J474" i="2"/>
  <c r="K474" i="2" s="1"/>
  <c r="N474" i="2" s="1"/>
  <c r="J473" i="2"/>
  <c r="K473" i="2" s="1"/>
  <c r="N473" i="2" s="1"/>
  <c r="J472" i="2"/>
  <c r="K472" i="2" s="1"/>
  <c r="J470" i="2"/>
  <c r="K470" i="2" s="1"/>
  <c r="N470" i="2" s="1"/>
  <c r="J471" i="2"/>
  <c r="K471" i="2" s="1"/>
  <c r="N471" i="2" s="1"/>
  <c r="J469" i="2"/>
  <c r="K469" i="2" s="1"/>
  <c r="N469" i="2" s="1"/>
  <c r="J468" i="2"/>
  <c r="K468" i="2" s="1"/>
  <c r="N468" i="2" s="1"/>
  <c r="J462" i="2"/>
  <c r="K462" i="2" s="1"/>
  <c r="N462" i="2" s="1"/>
  <c r="J464" i="2"/>
  <c r="K464" i="2" s="1"/>
  <c r="N464" i="2" s="1"/>
  <c r="J465" i="2"/>
  <c r="K465" i="2" s="1"/>
  <c r="N465" i="2" s="1"/>
  <c r="J466" i="2"/>
  <c r="K466" i="2" s="1"/>
  <c r="N466" i="2" s="1"/>
  <c r="J467" i="2"/>
  <c r="K467" i="2" s="1"/>
  <c r="N467" i="2" s="1"/>
  <c r="J463" i="2"/>
  <c r="K463" i="2" s="1"/>
  <c r="N463" i="2" s="1"/>
  <c r="J458" i="2"/>
  <c r="K458" i="2" s="1"/>
  <c r="N458" i="2" s="1"/>
  <c r="J459" i="2"/>
  <c r="K459" i="2" s="1"/>
  <c r="N459" i="2" s="1"/>
  <c r="J460" i="2"/>
  <c r="K460" i="2" s="1"/>
  <c r="N460" i="2" s="1"/>
  <c r="J461" i="2"/>
  <c r="K461" i="2" s="1"/>
  <c r="N461" i="2" s="1"/>
  <c r="J457" i="2"/>
  <c r="K457" i="2" s="1"/>
  <c r="N457" i="2" s="1"/>
  <c r="J454" i="2"/>
  <c r="K454" i="2" s="1"/>
  <c r="N454" i="2" s="1"/>
  <c r="J455" i="2"/>
  <c r="K455" i="2" s="1"/>
  <c r="N455" i="2" s="1"/>
  <c r="J456" i="2"/>
  <c r="K456" i="2" s="1"/>
  <c r="N456" i="2" s="1"/>
  <c r="J453" i="2"/>
  <c r="K453" i="2" s="1"/>
  <c r="N453" i="2" s="1"/>
  <c r="J452" i="2"/>
  <c r="K452" i="2" s="1"/>
  <c r="N452" i="2" s="1"/>
  <c r="J447" i="2"/>
  <c r="K447" i="2" s="1"/>
  <c r="N447" i="2" s="1"/>
  <c r="J448" i="2"/>
  <c r="K448" i="2" s="1"/>
  <c r="N448" i="2" s="1"/>
  <c r="J449" i="2"/>
  <c r="K449" i="2" s="1"/>
  <c r="N449" i="2" s="1"/>
  <c r="J450" i="2"/>
  <c r="K450" i="2" s="1"/>
  <c r="N450" i="2" s="1"/>
  <c r="J451" i="2"/>
  <c r="K451" i="2" s="1"/>
  <c r="N451" i="2" s="1"/>
  <c r="J446" i="2"/>
  <c r="K446" i="2" s="1"/>
  <c r="N446" i="2" s="1"/>
  <c r="J441" i="2"/>
  <c r="K441" i="2" s="1"/>
  <c r="N441" i="2" s="1"/>
  <c r="J442" i="2"/>
  <c r="K442" i="2" s="1"/>
  <c r="N442" i="2" s="1"/>
  <c r="J443" i="2"/>
  <c r="K443" i="2" s="1"/>
  <c r="N443" i="2" s="1"/>
  <c r="J444" i="2"/>
  <c r="K444" i="2" s="1"/>
  <c r="N444" i="2" s="1"/>
  <c r="J445" i="2"/>
  <c r="K445" i="2" s="1"/>
  <c r="N445" i="2" s="1"/>
  <c r="J440" i="2"/>
  <c r="K440" i="2" s="1"/>
  <c r="N440" i="2" s="1"/>
  <c r="J439" i="2"/>
  <c r="K439" i="2" s="1"/>
  <c r="N439" i="2" s="1"/>
  <c r="J438" i="2"/>
  <c r="K438" i="2" s="1"/>
  <c r="N438" i="2" s="1"/>
  <c r="J437" i="2"/>
  <c r="K437" i="2" s="1"/>
  <c r="N437" i="2" s="1"/>
  <c r="J436" i="2"/>
  <c r="K436" i="2" s="1"/>
  <c r="N436" i="2" s="1"/>
  <c r="J435" i="2"/>
  <c r="K435" i="2" s="1"/>
  <c r="N435" i="2" s="1"/>
  <c r="J434" i="2"/>
  <c r="K434" i="2" s="1"/>
  <c r="N434" i="2" s="1"/>
  <c r="J433" i="2"/>
  <c r="K433" i="2" s="1"/>
  <c r="N433" i="2" s="1"/>
  <c r="J427" i="2"/>
  <c r="K427" i="2" s="1"/>
  <c r="N427" i="2" s="1"/>
  <c r="J428" i="2"/>
  <c r="K428" i="2" s="1"/>
  <c r="N428" i="2" s="1"/>
  <c r="J429" i="2"/>
  <c r="K429" i="2" s="1"/>
  <c r="N429" i="2" s="1"/>
  <c r="J430" i="2"/>
  <c r="K430" i="2" s="1"/>
  <c r="N430" i="2" s="1"/>
  <c r="J431" i="2"/>
  <c r="K431" i="2" s="1"/>
  <c r="N431" i="2" s="1"/>
  <c r="J432" i="2"/>
  <c r="K432" i="2" s="1"/>
  <c r="N432" i="2" s="1"/>
  <c r="J426" i="2"/>
  <c r="K426" i="2" s="1"/>
  <c r="N426" i="2" s="1"/>
  <c r="J425" i="2"/>
  <c r="K425" i="2" s="1"/>
  <c r="N425" i="2" s="1"/>
  <c r="J424" i="2"/>
  <c r="K424" i="2" s="1"/>
  <c r="N424" i="2" s="1"/>
  <c r="J418" i="2"/>
  <c r="K418" i="2" s="1"/>
  <c r="N418" i="2" s="1"/>
  <c r="J419" i="2"/>
  <c r="K419" i="2" s="1"/>
  <c r="N419" i="2" s="1"/>
  <c r="J420" i="2"/>
  <c r="K420" i="2" s="1"/>
  <c r="N420" i="2" s="1"/>
  <c r="J421" i="2"/>
  <c r="K421" i="2" s="1"/>
  <c r="N421" i="2" s="1"/>
  <c r="J422" i="2"/>
  <c r="K422" i="2" s="1"/>
  <c r="N422" i="2" s="1"/>
  <c r="J423" i="2"/>
  <c r="K423" i="2" s="1"/>
  <c r="N423" i="2" s="1"/>
  <c r="J417" i="2"/>
  <c r="K417" i="2" s="1"/>
  <c r="N417" i="2" s="1"/>
  <c r="J411" i="2"/>
  <c r="K411" i="2" s="1"/>
  <c r="N411" i="2" s="1"/>
  <c r="J412" i="2"/>
  <c r="K412" i="2" s="1"/>
  <c r="N412" i="2" s="1"/>
  <c r="J413" i="2"/>
  <c r="K413" i="2" s="1"/>
  <c r="N413" i="2" s="1"/>
  <c r="J414" i="2"/>
  <c r="K414" i="2" s="1"/>
  <c r="N414" i="2" s="1"/>
  <c r="J415" i="2"/>
  <c r="K415" i="2" s="1"/>
  <c r="N415" i="2" s="1"/>
  <c r="J416" i="2"/>
  <c r="K416" i="2" s="1"/>
  <c r="N416" i="2" s="1"/>
  <c r="J410" i="2"/>
  <c r="K410" i="2" s="1"/>
  <c r="N410" i="2" s="1"/>
  <c r="J471" i="3"/>
  <c r="K471" i="3" s="1"/>
  <c r="N471" i="3" s="1"/>
  <c r="J472" i="3"/>
  <c r="K472" i="3" s="1"/>
  <c r="N472" i="3" s="1"/>
  <c r="J470" i="3"/>
  <c r="K470" i="3" s="1"/>
  <c r="N470" i="3" s="1"/>
  <c r="J469" i="3"/>
  <c r="K469" i="3" s="1"/>
  <c r="N469" i="3" s="1"/>
  <c r="J468" i="3"/>
  <c r="K468" i="3" s="1"/>
  <c r="J467" i="3"/>
  <c r="K467" i="3" s="1"/>
  <c r="N467" i="3" s="1"/>
  <c r="J466" i="3"/>
  <c r="K466" i="3" s="1"/>
  <c r="N466" i="3" s="1"/>
  <c r="J464" i="3"/>
  <c r="K464" i="3" s="1"/>
  <c r="N464" i="3" s="1"/>
  <c r="J465" i="3"/>
  <c r="K465" i="3" s="1"/>
  <c r="N465" i="3" s="1"/>
  <c r="J463" i="3"/>
  <c r="K463" i="3" s="1"/>
  <c r="N463" i="3" s="1"/>
  <c r="J462" i="3"/>
  <c r="K462" i="3" s="1"/>
  <c r="N462" i="3" s="1"/>
  <c r="I461" i="3"/>
  <c r="J461" i="3" s="1"/>
  <c r="K461" i="3" s="1"/>
  <c r="I458" i="3"/>
  <c r="J458" i="3" s="1"/>
  <c r="J457" i="3"/>
  <c r="K457" i="3" s="1"/>
  <c r="N457" i="3" s="1"/>
  <c r="J456" i="3"/>
  <c r="K456" i="3" s="1"/>
  <c r="N456" i="3" s="1"/>
  <c r="J455" i="3"/>
  <c r="K455" i="3" s="1"/>
  <c r="N455" i="3" s="1"/>
  <c r="J453" i="3"/>
  <c r="J452" i="3"/>
  <c r="J451" i="3"/>
  <c r="K451" i="3" s="1"/>
  <c r="N451" i="3" s="1"/>
  <c r="J450" i="3"/>
  <c r="K450" i="3" s="1"/>
  <c r="N450" i="3" s="1"/>
  <c r="J449" i="3"/>
  <c r="K449" i="3" s="1"/>
  <c r="N449" i="3" s="1"/>
  <c r="J448" i="3"/>
  <c r="K448" i="3" s="1"/>
  <c r="N448" i="3" s="1"/>
  <c r="J447" i="3"/>
  <c r="K447" i="3" s="1"/>
  <c r="N447" i="3" s="1"/>
  <c r="J445" i="3"/>
  <c r="K445" i="3" s="1"/>
  <c r="N445" i="3" s="1"/>
  <c r="I444" i="3"/>
  <c r="J444" i="3" s="1"/>
  <c r="K444" i="3" s="1"/>
  <c r="N444" i="3" s="1"/>
  <c r="I443" i="3"/>
  <c r="J443" i="3" s="1"/>
  <c r="K443" i="3" s="1"/>
  <c r="N443" i="3" s="1"/>
  <c r="K452" i="3" l="1"/>
  <c r="N452" i="3" s="1"/>
  <c r="K453" i="3"/>
  <c r="N453" i="3" s="1"/>
  <c r="N454" i="3"/>
  <c r="N513" i="2"/>
  <c r="N472" i="2"/>
  <c r="N461" i="3"/>
  <c r="N458" i="3"/>
  <c r="K439" i="3"/>
  <c r="N439" i="3" s="1"/>
  <c r="J409" i="2"/>
  <c r="K409" i="2" s="1"/>
  <c r="N409" i="2" s="1"/>
  <c r="J408" i="2"/>
  <c r="K408" i="2" s="1"/>
  <c r="N408" i="2" s="1"/>
  <c r="J407" i="2"/>
  <c r="K407" i="2" s="1"/>
  <c r="N407" i="2" s="1"/>
  <c r="J406" i="2"/>
  <c r="K406" i="2" s="1"/>
  <c r="N406" i="2" s="1"/>
  <c r="J405" i="2"/>
  <c r="K405" i="2" s="1"/>
  <c r="N405" i="2" s="1"/>
  <c r="N442" i="3"/>
  <c r="J441" i="3"/>
  <c r="K441" i="3" s="1"/>
  <c r="N441" i="3" s="1"/>
  <c r="J440" i="3"/>
  <c r="K440" i="3" s="1"/>
  <c r="N440" i="3" s="1"/>
  <c r="K438" i="3"/>
  <c r="N438" i="3" s="1"/>
  <c r="K437" i="3"/>
  <c r="K432" i="3"/>
  <c r="K433" i="3"/>
  <c r="K435" i="3"/>
  <c r="K436" i="3"/>
  <c r="K434" i="3"/>
  <c r="K431" i="3"/>
  <c r="K430" i="3"/>
  <c r="N430" i="3" s="1"/>
  <c r="I428" i="3"/>
  <c r="J428" i="3" s="1"/>
  <c r="J427" i="3"/>
  <c r="K427" i="3" s="1"/>
  <c r="N427" i="3" s="1"/>
  <c r="J426" i="3"/>
  <c r="K426" i="3" s="1"/>
  <c r="N426" i="3" s="1"/>
  <c r="J425" i="3"/>
  <c r="K425" i="3" s="1"/>
  <c r="N425" i="3" s="1"/>
  <c r="J424" i="3"/>
  <c r="K424" i="3" s="1"/>
  <c r="N424" i="3" s="1"/>
  <c r="J423" i="3"/>
  <c r="K423" i="3" s="1"/>
  <c r="N423" i="3" s="1"/>
  <c r="J387" i="3"/>
  <c r="K387" i="3" s="1"/>
  <c r="N387" i="3" s="1"/>
  <c r="J419" i="3"/>
  <c r="K419" i="3" s="1"/>
  <c r="N419" i="3" s="1"/>
  <c r="J186" i="3"/>
  <c r="K186" i="3" s="1"/>
  <c r="N186" i="3" s="1"/>
  <c r="J422" i="3"/>
  <c r="K422" i="3" s="1"/>
  <c r="N422" i="3" s="1"/>
  <c r="J421" i="3"/>
  <c r="K421" i="3" s="1"/>
  <c r="N421" i="3" s="1"/>
  <c r="J420" i="3"/>
  <c r="K420" i="3" s="1"/>
  <c r="N420" i="3" s="1"/>
  <c r="J418" i="3"/>
  <c r="K418" i="3" s="1"/>
  <c r="N418" i="3" s="1"/>
  <c r="I417" i="3"/>
  <c r="J417" i="3" s="1"/>
  <c r="J416" i="3"/>
  <c r="K416" i="3" s="1"/>
  <c r="N416" i="3" s="1"/>
  <c r="J415" i="3"/>
  <c r="K415" i="3" s="1"/>
  <c r="N415" i="3" s="1"/>
  <c r="I414" i="3"/>
  <c r="J414" i="3" s="1"/>
  <c r="K414" i="3" s="1"/>
  <c r="J413" i="3"/>
  <c r="K413" i="3" s="1"/>
  <c r="N413" i="3" s="1"/>
  <c r="J412" i="3"/>
  <c r="K412" i="3" s="1"/>
  <c r="N412" i="3" s="1"/>
  <c r="J411" i="3"/>
  <c r="K411" i="3" s="1"/>
  <c r="N411" i="3" s="1"/>
  <c r="J410" i="3"/>
  <c r="K410" i="3" s="1"/>
  <c r="N410" i="3" s="1"/>
  <c r="J409" i="3"/>
  <c r="K409" i="3" s="1"/>
  <c r="N409" i="3" s="1"/>
  <c r="J408" i="3"/>
  <c r="K408" i="3" s="1"/>
  <c r="N408" i="3" s="1"/>
  <c r="J407" i="3"/>
  <c r="K407" i="3" s="1"/>
  <c r="N407" i="3" s="1"/>
  <c r="J406" i="3"/>
  <c r="K406" i="3" s="1"/>
  <c r="N406" i="3" s="1"/>
  <c r="I405" i="3"/>
  <c r="J405" i="3" s="1"/>
  <c r="J404" i="3"/>
  <c r="K404" i="3" s="1"/>
  <c r="N404" i="3" s="1"/>
  <c r="J403" i="3"/>
  <c r="K403" i="3" s="1"/>
  <c r="N403" i="3" s="1"/>
  <c r="N435" i="3" l="1"/>
  <c r="N433" i="3"/>
  <c r="N432" i="3"/>
  <c r="N437" i="3"/>
  <c r="N436" i="3"/>
  <c r="N434" i="3"/>
  <c r="N431" i="3"/>
  <c r="K428" i="3"/>
  <c r="N428" i="3" s="1"/>
  <c r="N429" i="3"/>
  <c r="N417" i="3"/>
  <c r="N414" i="3"/>
  <c r="K405" i="3"/>
  <c r="N405" i="3" s="1"/>
  <c r="J402" i="3" l="1"/>
  <c r="K402" i="3" s="1"/>
  <c r="N402" i="3" s="1"/>
  <c r="J401" i="3"/>
  <c r="K401" i="3" s="1"/>
  <c r="N401" i="3" s="1"/>
  <c r="J400" i="3"/>
  <c r="K400" i="3" s="1"/>
  <c r="N400" i="3" s="1"/>
  <c r="K399" i="3"/>
  <c r="N399" i="3" s="1"/>
  <c r="I398" i="3"/>
  <c r="J398" i="3" s="1"/>
  <c r="K398" i="3" s="1"/>
  <c r="N398" i="3" s="1"/>
  <c r="J397" i="3"/>
  <c r="K397" i="3" s="1"/>
  <c r="N397" i="3" s="1"/>
  <c r="J396" i="3"/>
  <c r="K396" i="3" s="1"/>
  <c r="N396" i="3" s="1"/>
  <c r="J395" i="3"/>
  <c r="K395" i="3" s="1"/>
  <c r="N395" i="3" s="1"/>
  <c r="J394" i="3"/>
  <c r="K394" i="3" s="1"/>
  <c r="N394" i="3" s="1"/>
  <c r="J393" i="3"/>
  <c r="J392" i="3"/>
  <c r="K392" i="3" s="1"/>
  <c r="N392" i="3" s="1"/>
  <c r="J391" i="3"/>
  <c r="K391" i="3" s="1"/>
  <c r="N391" i="3" s="1"/>
  <c r="J390" i="3"/>
  <c r="K390" i="3" s="1"/>
  <c r="N390" i="3" s="1"/>
  <c r="J389" i="3"/>
  <c r="K389" i="3" s="1"/>
  <c r="N389" i="3" s="1"/>
  <c r="J388" i="3"/>
  <c r="K388" i="3" s="1"/>
  <c r="N388" i="3" s="1"/>
  <c r="J386" i="3"/>
  <c r="K386" i="3" s="1"/>
  <c r="N386" i="3" s="1"/>
  <c r="J404" i="2"/>
  <c r="K404" i="2" s="1"/>
  <c r="N404" i="2" s="1"/>
  <c r="J403" i="2"/>
  <c r="K403" i="2" s="1"/>
  <c r="N403" i="2" s="1"/>
  <c r="J401" i="2"/>
  <c r="K401" i="2" s="1"/>
  <c r="N401" i="2" s="1"/>
  <c r="J402" i="2"/>
  <c r="K402" i="2" s="1"/>
  <c r="N402" i="2" s="1"/>
  <c r="J400" i="2"/>
  <c r="K400" i="2" s="1"/>
  <c r="N400" i="2" s="1"/>
  <c r="J399" i="2"/>
  <c r="K399" i="2" s="1"/>
  <c r="J398" i="2"/>
  <c r="K398" i="2" s="1"/>
  <c r="J397" i="2"/>
  <c r="K397" i="2" s="1"/>
  <c r="N397" i="2" s="1"/>
  <c r="E65" i="24"/>
  <c r="E64" i="24"/>
  <c r="E63" i="24"/>
  <c r="E61" i="24"/>
  <c r="E60" i="24"/>
  <c r="E59" i="24"/>
  <c r="E58" i="24"/>
  <c r="E57" i="24"/>
  <c r="E55" i="24"/>
  <c r="E54" i="24"/>
  <c r="E53" i="24"/>
  <c r="D53" i="24"/>
  <c r="E52" i="24"/>
  <c r="E51" i="24"/>
  <c r="E50" i="24"/>
  <c r="E49" i="24"/>
  <c r="D48" i="24"/>
  <c r="E47" i="24"/>
  <c r="E46" i="24"/>
  <c r="E45" i="24"/>
  <c r="E44" i="24"/>
  <c r="D42" i="24"/>
  <c r="E41" i="24"/>
  <c r="E40" i="24"/>
  <c r="E39" i="24"/>
  <c r="E38" i="24"/>
  <c r="E37" i="24"/>
  <c r="E35" i="24"/>
  <c r="E34" i="24"/>
  <c r="E33" i="24"/>
  <c r="E32" i="24"/>
  <c r="E31" i="24"/>
  <c r="E30" i="24"/>
  <c r="D29" i="24"/>
  <c r="E28" i="24"/>
  <c r="E27" i="24"/>
  <c r="E26" i="24"/>
  <c r="AJ25" i="24"/>
  <c r="D24" i="24"/>
  <c r="D23" i="24"/>
  <c r="E22" i="24"/>
  <c r="E21" i="24"/>
  <c r="E20" i="24"/>
  <c r="E19" i="24"/>
  <c r="E18" i="24"/>
  <c r="E17" i="24"/>
  <c r="E16" i="24"/>
  <c r="E15" i="24"/>
  <c r="E14" i="24"/>
  <c r="D13" i="24"/>
  <c r="E12" i="24"/>
  <c r="D11" i="24"/>
  <c r="E10" i="24"/>
  <c r="E9" i="24"/>
  <c r="E8" i="24"/>
  <c r="E7" i="24"/>
  <c r="AJ6" i="24"/>
  <c r="D5" i="24"/>
  <c r="D4" i="24"/>
  <c r="F2" i="24"/>
  <c r="F18" i="24" s="1"/>
  <c r="E65" i="23"/>
  <c r="E64" i="23"/>
  <c r="E63" i="23"/>
  <c r="E61" i="23"/>
  <c r="E60" i="23"/>
  <c r="E59" i="23"/>
  <c r="E58" i="23"/>
  <c r="E57" i="23"/>
  <c r="E55" i="23"/>
  <c r="E54" i="23"/>
  <c r="E53" i="23"/>
  <c r="D53" i="23"/>
  <c r="E52" i="23"/>
  <c r="E51" i="23"/>
  <c r="E50" i="23"/>
  <c r="E49" i="23"/>
  <c r="D48" i="23"/>
  <c r="D42" i="23" s="1"/>
  <c r="E47" i="23"/>
  <c r="E46" i="23"/>
  <c r="E45" i="23"/>
  <c r="E44" i="23"/>
  <c r="E41" i="23"/>
  <c r="E40" i="23"/>
  <c r="E39" i="23"/>
  <c r="E38" i="23"/>
  <c r="E37" i="23"/>
  <c r="E35" i="23"/>
  <c r="E34" i="23"/>
  <c r="E33" i="23"/>
  <c r="E32" i="23"/>
  <c r="E31" i="23"/>
  <c r="E30" i="23"/>
  <c r="D29" i="23"/>
  <c r="E28" i="23"/>
  <c r="E27" i="23"/>
  <c r="E26" i="23"/>
  <c r="AI25" i="23"/>
  <c r="D24" i="23"/>
  <c r="E22" i="23"/>
  <c r="E21" i="23"/>
  <c r="E20" i="23"/>
  <c r="E19" i="23"/>
  <c r="E18" i="23"/>
  <c r="E17" i="23"/>
  <c r="E16" i="23"/>
  <c r="E15" i="23"/>
  <c r="E14" i="23"/>
  <c r="D13" i="23"/>
  <c r="D11" i="23" s="1"/>
  <c r="E12" i="23"/>
  <c r="E10" i="23"/>
  <c r="E9" i="23"/>
  <c r="E8" i="23"/>
  <c r="E7" i="23"/>
  <c r="AI6" i="23"/>
  <c r="D5" i="23"/>
  <c r="F2" i="23"/>
  <c r="F7" i="23" s="1"/>
  <c r="E65" i="22"/>
  <c r="E64" i="22"/>
  <c r="E63" i="22"/>
  <c r="E61" i="22"/>
  <c r="E60" i="22"/>
  <c r="E59" i="22"/>
  <c r="E58" i="22"/>
  <c r="E57" i="22"/>
  <c r="E55" i="22"/>
  <c r="E54" i="22"/>
  <c r="E53" i="22"/>
  <c r="D53" i="22"/>
  <c r="E52" i="22"/>
  <c r="E51" i="22"/>
  <c r="E50" i="22"/>
  <c r="E49" i="22"/>
  <c r="D48" i="22"/>
  <c r="E47" i="22"/>
  <c r="E46" i="22"/>
  <c r="E45" i="22"/>
  <c r="E44" i="22"/>
  <c r="E41" i="22"/>
  <c r="E40" i="22"/>
  <c r="E39" i="22"/>
  <c r="E38" i="22"/>
  <c r="E37" i="22"/>
  <c r="E35" i="22"/>
  <c r="E34" i="22"/>
  <c r="E33" i="22"/>
  <c r="E32" i="22"/>
  <c r="E31" i="22"/>
  <c r="E30" i="22"/>
  <c r="D29" i="22"/>
  <c r="E28" i="22"/>
  <c r="E27" i="22"/>
  <c r="E26" i="22"/>
  <c r="AJ25" i="22"/>
  <c r="D24" i="22"/>
  <c r="E22" i="22"/>
  <c r="E21" i="22"/>
  <c r="E20" i="22"/>
  <c r="E19" i="22"/>
  <c r="E18" i="22"/>
  <c r="E17" i="22"/>
  <c r="E16" i="22"/>
  <c r="E15" i="22"/>
  <c r="E14" i="22"/>
  <c r="D13" i="22"/>
  <c r="E12" i="22"/>
  <c r="E10" i="22"/>
  <c r="E9" i="22"/>
  <c r="E8" i="22"/>
  <c r="E7" i="22"/>
  <c r="AJ6" i="22"/>
  <c r="D5" i="22"/>
  <c r="F2" i="22"/>
  <c r="F9" i="22" s="1"/>
  <c r="E65" i="21"/>
  <c r="E64" i="21"/>
  <c r="E63" i="21"/>
  <c r="E61" i="21"/>
  <c r="E60" i="21"/>
  <c r="E59" i="21"/>
  <c r="E58" i="21"/>
  <c r="E57" i="21"/>
  <c r="E55" i="21"/>
  <c r="E54" i="21"/>
  <c r="E53" i="21"/>
  <c r="E52" i="21"/>
  <c r="E51" i="21"/>
  <c r="E50" i="21"/>
  <c r="E49" i="21"/>
  <c r="E47" i="21"/>
  <c r="E46" i="21"/>
  <c r="E45" i="21"/>
  <c r="E44" i="21"/>
  <c r="E41" i="21"/>
  <c r="E40" i="21"/>
  <c r="E39" i="21"/>
  <c r="E38" i="21"/>
  <c r="E37" i="21"/>
  <c r="E35" i="21"/>
  <c r="E34" i="21"/>
  <c r="E33" i="21"/>
  <c r="E32" i="21"/>
  <c r="E31" i="21"/>
  <c r="E30" i="21"/>
  <c r="D29" i="21"/>
  <c r="E28" i="21"/>
  <c r="E27" i="21"/>
  <c r="E26" i="21"/>
  <c r="AI25" i="21"/>
  <c r="D24" i="21"/>
  <c r="D23" i="21" s="1"/>
  <c r="E22" i="21"/>
  <c r="E21" i="21"/>
  <c r="E20" i="21"/>
  <c r="E19" i="21"/>
  <c r="E18" i="21"/>
  <c r="E17" i="21"/>
  <c r="E16" i="21"/>
  <c r="E15" i="21"/>
  <c r="E14" i="21"/>
  <c r="D13" i="21"/>
  <c r="E12" i="21"/>
  <c r="D11" i="21"/>
  <c r="E10" i="21"/>
  <c r="E9" i="21"/>
  <c r="E8" i="21"/>
  <c r="E7" i="21"/>
  <c r="AI6" i="21"/>
  <c r="D5" i="21"/>
  <c r="D4" i="21" s="1"/>
  <c r="F2" i="21"/>
  <c r="F7" i="21" s="1"/>
  <c r="E81" i="20"/>
  <c r="E80" i="20"/>
  <c r="E79" i="20"/>
  <c r="E77" i="20"/>
  <c r="E76" i="20"/>
  <c r="E75" i="20"/>
  <c r="E74" i="20"/>
  <c r="E73" i="20"/>
  <c r="E71" i="20"/>
  <c r="E70" i="20"/>
  <c r="E69" i="20"/>
  <c r="D69" i="20"/>
  <c r="E68" i="20"/>
  <c r="E67" i="20"/>
  <c r="E66" i="20"/>
  <c r="E65" i="20"/>
  <c r="D64" i="20"/>
  <c r="E63" i="20"/>
  <c r="E62" i="20"/>
  <c r="E61" i="20"/>
  <c r="E60" i="20"/>
  <c r="E57" i="20"/>
  <c r="E56" i="20"/>
  <c r="E55" i="20"/>
  <c r="E54" i="20"/>
  <c r="E53" i="20"/>
  <c r="E51" i="20"/>
  <c r="E50" i="20"/>
  <c r="E49" i="20"/>
  <c r="E48" i="20"/>
  <c r="E47" i="20"/>
  <c r="E46" i="20"/>
  <c r="D45" i="20"/>
  <c r="E44" i="20"/>
  <c r="E43" i="20"/>
  <c r="E42" i="20"/>
  <c r="AJ41" i="20"/>
  <c r="D40" i="20"/>
  <c r="E38" i="20"/>
  <c r="E37" i="20"/>
  <c r="E36" i="20"/>
  <c r="E35" i="20"/>
  <c r="E34" i="20"/>
  <c r="E33" i="20"/>
  <c r="E32" i="20"/>
  <c r="E31" i="20"/>
  <c r="E30" i="20"/>
  <c r="D29" i="20"/>
  <c r="D27" i="20" s="1"/>
  <c r="E28" i="20"/>
  <c r="E26" i="20"/>
  <c r="E9" i="20"/>
  <c r="E8" i="20"/>
  <c r="E7" i="20"/>
  <c r="AJ6" i="20"/>
  <c r="D5" i="20"/>
  <c r="D4" i="20" s="1"/>
  <c r="F2" i="20"/>
  <c r="E65" i="19"/>
  <c r="E64" i="19"/>
  <c r="E63" i="19"/>
  <c r="E61" i="19"/>
  <c r="E60" i="19"/>
  <c r="E59" i="19"/>
  <c r="E58" i="19"/>
  <c r="E57" i="19"/>
  <c r="E55" i="19"/>
  <c r="E54" i="19"/>
  <c r="E53" i="19"/>
  <c r="E52" i="19"/>
  <c r="E51" i="19"/>
  <c r="E50" i="19"/>
  <c r="E49" i="19"/>
  <c r="E47" i="19"/>
  <c r="E46" i="19"/>
  <c r="E45" i="19"/>
  <c r="E44" i="19"/>
  <c r="E41" i="19"/>
  <c r="E40" i="19"/>
  <c r="E39" i="19"/>
  <c r="E38" i="19"/>
  <c r="E37" i="19"/>
  <c r="E35" i="19"/>
  <c r="E34" i="19"/>
  <c r="E33" i="19"/>
  <c r="E32" i="19"/>
  <c r="E31" i="19"/>
  <c r="E30" i="19"/>
  <c r="D29" i="19"/>
  <c r="E28" i="19"/>
  <c r="E27" i="19"/>
  <c r="E26" i="19"/>
  <c r="AJ25" i="19"/>
  <c r="D24" i="19"/>
  <c r="E22" i="19"/>
  <c r="E21" i="19"/>
  <c r="E20" i="19"/>
  <c r="E19" i="19"/>
  <c r="E18" i="19"/>
  <c r="E17" i="19"/>
  <c r="E16" i="19"/>
  <c r="E15" i="19"/>
  <c r="E14" i="19"/>
  <c r="D13" i="19"/>
  <c r="D11" i="19" s="1"/>
  <c r="E12" i="19"/>
  <c r="E10" i="19"/>
  <c r="E9" i="19"/>
  <c r="E8" i="19"/>
  <c r="E7" i="19"/>
  <c r="AJ6" i="19"/>
  <c r="D5" i="19"/>
  <c r="D4" i="19" s="1"/>
  <c r="F2" i="19"/>
  <c r="F17" i="19" s="1"/>
  <c r="E65" i="18"/>
  <c r="E64" i="18"/>
  <c r="E63" i="18"/>
  <c r="E61" i="18"/>
  <c r="E60" i="18"/>
  <c r="E59" i="18"/>
  <c r="E58" i="18"/>
  <c r="E57" i="18"/>
  <c r="E55" i="18"/>
  <c r="E54" i="18"/>
  <c r="E53" i="18"/>
  <c r="E52" i="18"/>
  <c r="E51" i="18"/>
  <c r="E50" i="18"/>
  <c r="E49" i="18"/>
  <c r="D48" i="18"/>
  <c r="D42" i="18" s="1"/>
  <c r="E47" i="18"/>
  <c r="E46" i="18"/>
  <c r="E45" i="18"/>
  <c r="E44" i="18"/>
  <c r="E41" i="18"/>
  <c r="E40" i="18"/>
  <c r="E39" i="18"/>
  <c r="E38" i="18"/>
  <c r="E37" i="18"/>
  <c r="E35" i="18"/>
  <c r="E34" i="18"/>
  <c r="E33" i="18"/>
  <c r="E32" i="18"/>
  <c r="E31" i="18"/>
  <c r="E30" i="18"/>
  <c r="D29" i="18"/>
  <c r="D23" i="18" s="1"/>
  <c r="E28" i="18"/>
  <c r="E27" i="18"/>
  <c r="E26" i="18"/>
  <c r="AI25" i="18"/>
  <c r="E22" i="18"/>
  <c r="E21" i="18"/>
  <c r="E20" i="18"/>
  <c r="E19" i="18"/>
  <c r="E18" i="18"/>
  <c r="E17" i="18"/>
  <c r="E16" i="18"/>
  <c r="E15" i="18"/>
  <c r="E14" i="18"/>
  <c r="D13" i="18"/>
  <c r="E12" i="18"/>
  <c r="E10" i="18"/>
  <c r="E9" i="18"/>
  <c r="E8" i="18"/>
  <c r="E7" i="18"/>
  <c r="AI6" i="18"/>
  <c r="D5" i="18"/>
  <c r="D4" i="18" s="1"/>
  <c r="F2" i="18"/>
  <c r="F22" i="18" s="1"/>
  <c r="F10" i="20" l="1"/>
  <c r="F19" i="20"/>
  <c r="F22" i="20"/>
  <c r="F18" i="20"/>
  <c r="F14" i="20"/>
  <c r="F23" i="20"/>
  <c r="F15" i="20"/>
  <c r="F11" i="20"/>
  <c r="F25" i="20"/>
  <c r="F17" i="20"/>
  <c r="F20" i="20"/>
  <c r="F21" i="20"/>
  <c r="F13" i="20"/>
  <c r="F12" i="20"/>
  <c r="F16" i="20"/>
  <c r="F24" i="20"/>
  <c r="D58" i="20"/>
  <c r="D39" i="20" s="1"/>
  <c r="D3" i="20"/>
  <c r="AK6" i="20"/>
  <c r="K6" i="27"/>
  <c r="AK41" i="20"/>
  <c r="K25" i="27"/>
  <c r="AJ6" i="21"/>
  <c r="L6" i="27"/>
  <c r="AK6" i="22"/>
  <c r="M6" i="27"/>
  <c r="AJ6" i="23"/>
  <c r="N6" i="27"/>
  <c r="AJ25" i="23"/>
  <c r="N25" i="27"/>
  <c r="AK6" i="24"/>
  <c r="O6" i="27"/>
  <c r="AK25" i="22"/>
  <c r="M25" i="27"/>
  <c r="AK25" i="24"/>
  <c r="O25" i="27"/>
  <c r="AJ25" i="21"/>
  <c r="L25" i="27"/>
  <c r="AK6" i="19"/>
  <c r="J6" i="27"/>
  <c r="AK25" i="19"/>
  <c r="J25" i="27"/>
  <c r="AJ25" i="18"/>
  <c r="I25" i="27"/>
  <c r="AJ6" i="18"/>
  <c r="I6" i="27"/>
  <c r="K393" i="3"/>
  <c r="N393" i="3" s="1"/>
  <c r="E36" i="18"/>
  <c r="E24" i="22"/>
  <c r="N399" i="2"/>
  <c r="N398" i="2"/>
  <c r="E24" i="24"/>
  <c r="E48" i="24"/>
  <c r="E29" i="23"/>
  <c r="E56" i="22"/>
  <c r="E43" i="18"/>
  <c r="D3" i="24"/>
  <c r="D66" i="24" s="1"/>
  <c r="E29" i="20"/>
  <c r="E27" i="20" s="1"/>
  <c r="E5" i="18"/>
  <c r="E4" i="18" s="1"/>
  <c r="F7" i="24"/>
  <c r="E24" i="23"/>
  <c r="E5" i="24"/>
  <c r="E13" i="24"/>
  <c r="F17" i="24"/>
  <c r="F21" i="24"/>
  <c r="F9" i="24"/>
  <c r="F14" i="24"/>
  <c r="F65" i="24"/>
  <c r="F61" i="24"/>
  <c r="F57" i="24"/>
  <c r="F64" i="24"/>
  <c r="F59" i="24"/>
  <c r="F54" i="24"/>
  <c r="F52" i="24"/>
  <c r="F63" i="24"/>
  <c r="F55" i="24"/>
  <c r="F46" i="24"/>
  <c r="F39" i="24"/>
  <c r="F35" i="24"/>
  <c r="F60" i="24"/>
  <c r="F51" i="24"/>
  <c r="F45" i="24"/>
  <c r="F38" i="24"/>
  <c r="F50" i="24"/>
  <c r="F40" i="24"/>
  <c r="F49" i="24"/>
  <c r="F44" i="24"/>
  <c r="F53" i="24"/>
  <c r="F47" i="24"/>
  <c r="F32" i="24"/>
  <c r="F58" i="24"/>
  <c r="F41" i="24"/>
  <c r="F37" i="24"/>
  <c r="F20" i="24"/>
  <c r="F16" i="24"/>
  <c r="F31" i="24"/>
  <c r="F28" i="24"/>
  <c r="F19" i="24"/>
  <c r="F15" i="24"/>
  <c r="F34" i="24"/>
  <c r="F30" i="24"/>
  <c r="F27" i="24"/>
  <c r="F22" i="24"/>
  <c r="F33" i="24"/>
  <c r="F8" i="24"/>
  <c r="F12" i="24"/>
  <c r="G2" i="24"/>
  <c r="F10" i="24"/>
  <c r="F26" i="24"/>
  <c r="E29" i="24"/>
  <c r="E43" i="24"/>
  <c r="E36" i="24"/>
  <c r="E56" i="24"/>
  <c r="E62" i="24"/>
  <c r="F65" i="23"/>
  <c r="F61" i="23"/>
  <c r="F57" i="23"/>
  <c r="F64" i="23"/>
  <c r="F59" i="23"/>
  <c r="F63" i="23"/>
  <c r="F58" i="23"/>
  <c r="F55" i="23"/>
  <c r="F52" i="23"/>
  <c r="F54" i="23"/>
  <c r="F51" i="23"/>
  <c r="F53" i="23"/>
  <c r="F50" i="23"/>
  <c r="F47" i="23"/>
  <c r="F60" i="23"/>
  <c r="F49" i="23"/>
  <c r="F46" i="23"/>
  <c r="F44" i="23"/>
  <c r="F39" i="23"/>
  <c r="F35" i="23"/>
  <c r="F31" i="23"/>
  <c r="F28" i="23"/>
  <c r="F38" i="23"/>
  <c r="F41" i="23"/>
  <c r="F37" i="23"/>
  <c r="F33" i="23"/>
  <c r="F45" i="23"/>
  <c r="F34" i="23"/>
  <c r="F30" i="23"/>
  <c r="F27" i="23"/>
  <c r="F20" i="23"/>
  <c r="F26" i="23"/>
  <c r="F19" i="23"/>
  <c r="F15" i="23"/>
  <c r="F32" i="23"/>
  <c r="F22" i="23"/>
  <c r="F18" i="23"/>
  <c r="F40" i="23"/>
  <c r="F21" i="23"/>
  <c r="F16" i="23"/>
  <c r="F10" i="23"/>
  <c r="F12" i="23"/>
  <c r="F9" i="23"/>
  <c r="G2" i="23"/>
  <c r="F14" i="23"/>
  <c r="F17" i="23"/>
  <c r="D4" i="23"/>
  <c r="E5" i="23"/>
  <c r="F8" i="23"/>
  <c r="F5" i="23" s="1"/>
  <c r="E36" i="23"/>
  <c r="E13" i="23"/>
  <c r="D23" i="23"/>
  <c r="E43" i="23"/>
  <c r="E48" i="23"/>
  <c r="E56" i="23"/>
  <c r="E62" i="23"/>
  <c r="G2" i="22"/>
  <c r="F7" i="22"/>
  <c r="F15" i="22"/>
  <c r="F27" i="22"/>
  <c r="F30" i="22"/>
  <c r="F10" i="22"/>
  <c r="F19" i="22"/>
  <c r="G10" i="22"/>
  <c r="F65" i="22"/>
  <c r="F61" i="22"/>
  <c r="F57" i="22"/>
  <c r="F63" i="22"/>
  <c r="F60" i="22"/>
  <c r="F59" i="22"/>
  <c r="F64" i="22"/>
  <c r="F53" i="22"/>
  <c r="F49" i="22"/>
  <c r="F52" i="22"/>
  <c r="F45" i="22"/>
  <c r="F55" i="22"/>
  <c r="F51" i="22"/>
  <c r="F44" i="22"/>
  <c r="F41" i="22"/>
  <c r="F58" i="22"/>
  <c r="F39" i="22"/>
  <c r="F35" i="22"/>
  <c r="F31" i="22"/>
  <c r="F28" i="22"/>
  <c r="F54" i="22"/>
  <c r="F38" i="22"/>
  <c r="F34" i="22"/>
  <c r="F47" i="22"/>
  <c r="F46" i="22"/>
  <c r="F37" i="22"/>
  <c r="F33" i="22"/>
  <c r="F26" i="22"/>
  <c r="F22" i="22"/>
  <c r="F18" i="22"/>
  <c r="F14" i="22"/>
  <c r="F50" i="22"/>
  <c r="F40" i="22"/>
  <c r="F21" i="22"/>
  <c r="F32" i="22"/>
  <c r="F20" i="22"/>
  <c r="F16" i="22"/>
  <c r="D4" i="22"/>
  <c r="G7" i="22"/>
  <c r="F8" i="22"/>
  <c r="F12" i="22"/>
  <c r="D11" i="22"/>
  <c r="G16" i="22"/>
  <c r="G26" i="22"/>
  <c r="E29" i="22"/>
  <c r="E5" i="22"/>
  <c r="G65" i="22"/>
  <c r="G64" i="22"/>
  <c r="G60" i="22"/>
  <c r="G61" i="22"/>
  <c r="G57" i="22"/>
  <c r="G59" i="22"/>
  <c r="G58" i="22"/>
  <c r="G55" i="22"/>
  <c r="G52" i="22"/>
  <c r="G63" i="22"/>
  <c r="G51" i="22"/>
  <c r="G44" i="22"/>
  <c r="G41" i="22"/>
  <c r="G54" i="22"/>
  <c r="G50" i="22"/>
  <c r="G47" i="22"/>
  <c r="G40" i="22"/>
  <c r="G53" i="22"/>
  <c r="G49" i="22"/>
  <c r="G38" i="22"/>
  <c r="G34" i="22"/>
  <c r="G30" i="22"/>
  <c r="G27" i="22"/>
  <c r="G46" i="22"/>
  <c r="G37" i="22"/>
  <c r="G33" i="22"/>
  <c r="G32" i="22"/>
  <c r="G21" i="22"/>
  <c r="G17" i="22"/>
  <c r="G20" i="22"/>
  <c r="G45" i="22"/>
  <c r="G39" i="22"/>
  <c r="G31" i="22"/>
  <c r="G28" i="22"/>
  <c r="G19" i="22"/>
  <c r="G15" i="22"/>
  <c r="G12" i="22"/>
  <c r="G8" i="22"/>
  <c r="E13" i="22"/>
  <c r="F17" i="22"/>
  <c r="E36" i="22"/>
  <c r="E43" i="22"/>
  <c r="D42" i="22"/>
  <c r="E48" i="22"/>
  <c r="E62" i="22"/>
  <c r="E24" i="21"/>
  <c r="D3" i="21"/>
  <c r="F65" i="21"/>
  <c r="F61" i="21"/>
  <c r="F57" i="21"/>
  <c r="F64" i="21"/>
  <c r="F58" i="21"/>
  <c r="F55" i="21"/>
  <c r="F52" i="21"/>
  <c r="F60" i="21"/>
  <c r="F54" i="21"/>
  <c r="F47" i="21"/>
  <c r="F51" i="21"/>
  <c r="F50" i="21"/>
  <c r="F46" i="21"/>
  <c r="F39" i="21"/>
  <c r="F35" i="21"/>
  <c r="F59" i="21"/>
  <c r="F49" i="21"/>
  <c r="F34" i="21"/>
  <c r="F30" i="21"/>
  <c r="F27" i="21"/>
  <c r="F38" i="21"/>
  <c r="F33" i="21"/>
  <c r="F63" i="21"/>
  <c r="F45" i="21"/>
  <c r="F41" i="21"/>
  <c r="F37" i="21"/>
  <c r="F32" i="21"/>
  <c r="F20" i="21"/>
  <c r="F44" i="21"/>
  <c r="F26" i="21"/>
  <c r="F19" i="21"/>
  <c r="F40" i="21"/>
  <c r="F22" i="21"/>
  <c r="F18" i="21"/>
  <c r="F53" i="21"/>
  <c r="F28" i="21"/>
  <c r="F21" i="21"/>
  <c r="F31" i="21"/>
  <c r="F8" i="21"/>
  <c r="F5" i="21" s="1"/>
  <c r="G2" i="21"/>
  <c r="F9" i="21"/>
  <c r="F12" i="21"/>
  <c r="F15" i="21"/>
  <c r="E5" i="21"/>
  <c r="F10" i="21"/>
  <c r="E13" i="21"/>
  <c r="F16" i="21"/>
  <c r="F17" i="21"/>
  <c r="F14" i="21"/>
  <c r="E36" i="21"/>
  <c r="E29" i="21"/>
  <c r="E48" i="21"/>
  <c r="E43" i="21"/>
  <c r="E56" i="21"/>
  <c r="E62" i="21"/>
  <c r="E72" i="20"/>
  <c r="F81" i="20"/>
  <c r="F77" i="20"/>
  <c r="F73" i="20"/>
  <c r="F80" i="20"/>
  <c r="F74" i="20"/>
  <c r="F71" i="20"/>
  <c r="F68" i="20"/>
  <c r="F76" i="20"/>
  <c r="F69" i="20"/>
  <c r="F66" i="20"/>
  <c r="F75" i="20"/>
  <c r="F65" i="20"/>
  <c r="F61" i="20"/>
  <c r="F60" i="20"/>
  <c r="F56" i="20"/>
  <c r="F48" i="20"/>
  <c r="F67" i="20"/>
  <c r="F63" i="20"/>
  <c r="F55" i="20"/>
  <c r="F51" i="20"/>
  <c r="F62" i="20"/>
  <c r="F54" i="20"/>
  <c r="F50" i="20"/>
  <c r="F46" i="20"/>
  <c r="F57" i="20"/>
  <c r="F53" i="20"/>
  <c r="F44" i="20"/>
  <c r="F35" i="20"/>
  <c r="F31" i="20"/>
  <c r="F28" i="20"/>
  <c r="F47" i="20"/>
  <c r="F43" i="20"/>
  <c r="F38" i="20"/>
  <c r="F34" i="20"/>
  <c r="F30" i="20"/>
  <c r="F79" i="20"/>
  <c r="F42" i="20"/>
  <c r="F37" i="20"/>
  <c r="F33" i="20"/>
  <c r="F49" i="20"/>
  <c r="F36" i="20"/>
  <c r="F70" i="20"/>
  <c r="F9" i="20"/>
  <c r="G2" i="20"/>
  <c r="F7" i="20"/>
  <c r="F26" i="20"/>
  <c r="E5" i="20"/>
  <c r="F8" i="20"/>
  <c r="F32" i="20"/>
  <c r="E45" i="20"/>
  <c r="E40" i="20"/>
  <c r="E64" i="20"/>
  <c r="E52" i="20"/>
  <c r="E59" i="20"/>
  <c r="E78" i="20"/>
  <c r="G2" i="19"/>
  <c r="G14" i="19" s="1"/>
  <c r="F9" i="19"/>
  <c r="F7" i="19"/>
  <c r="D3" i="19"/>
  <c r="G16" i="19"/>
  <c r="G10" i="19"/>
  <c r="F65" i="19"/>
  <c r="F61" i="19"/>
  <c r="F57" i="19"/>
  <c r="F63" i="19"/>
  <c r="F59" i="19"/>
  <c r="F58" i="19"/>
  <c r="F55" i="19"/>
  <c r="F64" i="19"/>
  <c r="F51" i="19"/>
  <c r="F60" i="19"/>
  <c r="F49" i="19"/>
  <c r="F46" i="19"/>
  <c r="F39" i="19"/>
  <c r="F35" i="19"/>
  <c r="F54" i="19"/>
  <c r="F52" i="19"/>
  <c r="F45" i="19"/>
  <c r="F53" i="19"/>
  <c r="F47" i="19"/>
  <c r="F44" i="19"/>
  <c r="F41" i="19"/>
  <c r="F50" i="19"/>
  <c r="F38" i="19"/>
  <c r="F33" i="19"/>
  <c r="F32" i="19"/>
  <c r="F37" i="19"/>
  <c r="F31" i="19"/>
  <c r="F28" i="19"/>
  <c r="F19" i="19"/>
  <c r="F40" i="19"/>
  <c r="F27" i="19"/>
  <c r="F20" i="19"/>
  <c r="F30" i="19"/>
  <c r="F26" i="19"/>
  <c r="F22" i="19"/>
  <c r="F18" i="19"/>
  <c r="F14" i="19"/>
  <c r="F34" i="19"/>
  <c r="F21" i="19"/>
  <c r="G7" i="19"/>
  <c r="F8" i="19"/>
  <c r="F12" i="19"/>
  <c r="F15" i="19"/>
  <c r="E5" i="19"/>
  <c r="G65" i="19"/>
  <c r="G64" i="19"/>
  <c r="G60" i="19"/>
  <c r="G58" i="19"/>
  <c r="G55" i="19"/>
  <c r="G54" i="19"/>
  <c r="G50" i="19"/>
  <c r="G47" i="19"/>
  <c r="G63" i="19"/>
  <c r="G61" i="19"/>
  <c r="G57" i="19"/>
  <c r="G59" i="19"/>
  <c r="G52" i="19"/>
  <c r="G45" i="19"/>
  <c r="G38" i="19"/>
  <c r="G34" i="19"/>
  <c r="G53" i="19"/>
  <c r="G44" i="19"/>
  <c r="G41" i="19"/>
  <c r="G51" i="19"/>
  <c r="G40" i="19"/>
  <c r="G37" i="19"/>
  <c r="G31" i="19"/>
  <c r="G28" i="19"/>
  <c r="G46" i="19"/>
  <c r="G30" i="19"/>
  <c r="G27" i="19"/>
  <c r="G22" i="19"/>
  <c r="G33" i="19"/>
  <c r="G26" i="19"/>
  <c r="G39" i="19"/>
  <c r="G19" i="19"/>
  <c r="G18" i="19"/>
  <c r="G49" i="19"/>
  <c r="G35" i="19"/>
  <c r="G21" i="19"/>
  <c r="G17" i="19"/>
  <c r="G32" i="19"/>
  <c r="G20" i="19"/>
  <c r="G8" i="19"/>
  <c r="H2" i="19"/>
  <c r="G9" i="19"/>
  <c r="F10" i="19"/>
  <c r="G12" i="19"/>
  <c r="E13" i="19"/>
  <c r="G15" i="19"/>
  <c r="F16" i="19"/>
  <c r="D23" i="19"/>
  <c r="E29" i="19"/>
  <c r="E24" i="19"/>
  <c r="E36" i="19"/>
  <c r="E43" i="19"/>
  <c r="E48" i="19"/>
  <c r="E56" i="19"/>
  <c r="E62" i="19"/>
  <c r="E24" i="18"/>
  <c r="F12" i="18"/>
  <c r="F15" i="18"/>
  <c r="F21" i="18"/>
  <c r="F10" i="18"/>
  <c r="D11" i="18"/>
  <c r="D3" i="18" s="1"/>
  <c r="E13" i="18"/>
  <c r="E11" i="18" s="1"/>
  <c r="F16" i="18"/>
  <c r="F18" i="18"/>
  <c r="F58" i="18"/>
  <c r="F65" i="18"/>
  <c r="F61" i="18"/>
  <c r="F57" i="18"/>
  <c r="F64" i="18"/>
  <c r="F60" i="18"/>
  <c r="F63" i="18"/>
  <c r="F59" i="18"/>
  <c r="F55" i="18"/>
  <c r="F54" i="18"/>
  <c r="F53" i="18"/>
  <c r="F50" i="18"/>
  <c r="F52" i="18"/>
  <c r="F45" i="18"/>
  <c r="F51" i="18"/>
  <c r="F44" i="18"/>
  <c r="F41" i="18"/>
  <c r="F47" i="18"/>
  <c r="F40" i="18"/>
  <c r="F49" i="18"/>
  <c r="F46" i="18"/>
  <c r="F32" i="18"/>
  <c r="F20" i="18"/>
  <c r="F39" i="18"/>
  <c r="F35" i="18"/>
  <c r="F31" i="18"/>
  <c r="F28" i="18"/>
  <c r="F19" i="18"/>
  <c r="F38" i="18"/>
  <c r="F34" i="18"/>
  <c r="F30" i="18"/>
  <c r="F37" i="18"/>
  <c r="F33" i="18"/>
  <c r="G2" i="18"/>
  <c r="F9" i="18"/>
  <c r="F7" i="18"/>
  <c r="F17" i="18"/>
  <c r="F26" i="18"/>
  <c r="F8" i="18"/>
  <c r="F14" i="18"/>
  <c r="F27" i="18"/>
  <c r="E29" i="18"/>
  <c r="E48" i="18"/>
  <c r="E56" i="18"/>
  <c r="E62" i="18"/>
  <c r="E65" i="16"/>
  <c r="E64" i="16"/>
  <c r="E63" i="16"/>
  <c r="E61" i="16"/>
  <c r="E60" i="16"/>
  <c r="E59" i="16"/>
  <c r="E58" i="16"/>
  <c r="E57" i="16"/>
  <c r="E55" i="16"/>
  <c r="E54" i="16"/>
  <c r="E53" i="16"/>
  <c r="E52" i="16"/>
  <c r="E51" i="16"/>
  <c r="E50" i="16"/>
  <c r="E49" i="16"/>
  <c r="E47" i="16"/>
  <c r="E46" i="16"/>
  <c r="E45" i="16"/>
  <c r="E44" i="16"/>
  <c r="E41" i="16"/>
  <c r="E40" i="16"/>
  <c r="E39" i="16"/>
  <c r="E38" i="16"/>
  <c r="E37" i="16"/>
  <c r="E35" i="16"/>
  <c r="E34" i="16"/>
  <c r="E33" i="16"/>
  <c r="E32" i="16"/>
  <c r="E31" i="16"/>
  <c r="E30" i="16"/>
  <c r="D29" i="16"/>
  <c r="E28" i="16"/>
  <c r="E27" i="16"/>
  <c r="E26" i="16"/>
  <c r="AJ25" i="16"/>
  <c r="D24" i="16"/>
  <c r="D23" i="16" s="1"/>
  <c r="E22" i="16"/>
  <c r="E21" i="16"/>
  <c r="E20" i="16"/>
  <c r="E19" i="16"/>
  <c r="E18" i="16"/>
  <c r="E17" i="16"/>
  <c r="E16" i="16"/>
  <c r="E15" i="16"/>
  <c r="E14" i="16"/>
  <c r="D13" i="16"/>
  <c r="E12" i="16"/>
  <c r="D11" i="16"/>
  <c r="E10" i="16"/>
  <c r="E9" i="16"/>
  <c r="E8" i="16"/>
  <c r="E7" i="16"/>
  <c r="AJ6" i="16"/>
  <c r="D5" i="16"/>
  <c r="D4" i="16" s="1"/>
  <c r="F2" i="16"/>
  <c r="F10" i="16" s="1"/>
  <c r="E65" i="15"/>
  <c r="E64" i="15"/>
  <c r="E63" i="15"/>
  <c r="E61" i="15"/>
  <c r="E60" i="15"/>
  <c r="E59" i="15"/>
  <c r="E58" i="15"/>
  <c r="E57" i="15"/>
  <c r="E55" i="15"/>
  <c r="E54" i="15"/>
  <c r="E53" i="15"/>
  <c r="D53" i="15"/>
  <c r="D42" i="15" s="1"/>
  <c r="E52" i="15"/>
  <c r="E51" i="15"/>
  <c r="E50" i="15"/>
  <c r="E49" i="15"/>
  <c r="D48" i="15"/>
  <c r="E47" i="15"/>
  <c r="E46" i="15"/>
  <c r="E45" i="15"/>
  <c r="E44" i="15"/>
  <c r="E41" i="15"/>
  <c r="E40" i="15"/>
  <c r="E39" i="15"/>
  <c r="E38" i="15"/>
  <c r="E37" i="15"/>
  <c r="E35" i="15"/>
  <c r="E34" i="15"/>
  <c r="E33" i="15"/>
  <c r="E32" i="15"/>
  <c r="E31" i="15"/>
  <c r="E30" i="15"/>
  <c r="D29" i="15"/>
  <c r="E28" i="15"/>
  <c r="E27" i="15"/>
  <c r="E26" i="15"/>
  <c r="AJ25" i="15"/>
  <c r="D24" i="15"/>
  <c r="E22" i="15"/>
  <c r="E21" i="15"/>
  <c r="E20" i="15"/>
  <c r="E19" i="15"/>
  <c r="E18" i="15"/>
  <c r="E17" i="15"/>
  <c r="E16" i="15"/>
  <c r="E15" i="15"/>
  <c r="E14" i="15"/>
  <c r="D13" i="15"/>
  <c r="E12" i="15"/>
  <c r="D11" i="15"/>
  <c r="E10" i="15"/>
  <c r="E9" i="15"/>
  <c r="E8" i="15"/>
  <c r="E7" i="15"/>
  <c r="AJ6" i="15"/>
  <c r="D5" i="15"/>
  <c r="D4" i="15" s="1"/>
  <c r="F2" i="15"/>
  <c r="F7" i="15" s="1"/>
  <c r="E65" i="14"/>
  <c r="E64" i="14"/>
  <c r="E63" i="14"/>
  <c r="E61" i="14"/>
  <c r="E60" i="14"/>
  <c r="E59" i="14"/>
  <c r="E58" i="14"/>
  <c r="E57" i="14"/>
  <c r="E55" i="14"/>
  <c r="E54" i="14"/>
  <c r="E53" i="14"/>
  <c r="E52" i="14"/>
  <c r="E51" i="14"/>
  <c r="E50" i="14"/>
  <c r="E49" i="14"/>
  <c r="E47" i="14"/>
  <c r="E46" i="14"/>
  <c r="E45" i="14"/>
  <c r="E44" i="14"/>
  <c r="D42" i="14"/>
  <c r="E41" i="14"/>
  <c r="E40" i="14"/>
  <c r="E39" i="14"/>
  <c r="E38" i="14"/>
  <c r="E37" i="14"/>
  <c r="E35" i="14"/>
  <c r="E34" i="14"/>
  <c r="E33" i="14"/>
  <c r="E32" i="14"/>
  <c r="E31" i="14"/>
  <c r="E30" i="14"/>
  <c r="D29" i="14"/>
  <c r="E28" i="14"/>
  <c r="E27" i="14"/>
  <c r="E26" i="14"/>
  <c r="AH25" i="14"/>
  <c r="D24" i="14"/>
  <c r="E22" i="14"/>
  <c r="E21" i="14"/>
  <c r="E20" i="14"/>
  <c r="E19" i="14"/>
  <c r="E18" i="14"/>
  <c r="E17" i="14"/>
  <c r="E16" i="14"/>
  <c r="E15" i="14"/>
  <c r="E14" i="14"/>
  <c r="D13" i="14"/>
  <c r="D11" i="14" s="1"/>
  <c r="E12" i="14"/>
  <c r="E10" i="14"/>
  <c r="E9" i="14"/>
  <c r="E8" i="14"/>
  <c r="E7" i="14"/>
  <c r="AH6" i="14"/>
  <c r="D5" i="14"/>
  <c r="D4" i="14" s="1"/>
  <c r="F2" i="14"/>
  <c r="F18" i="14" s="1"/>
  <c r="D53" i="1"/>
  <c r="D48" i="1"/>
  <c r="E65" i="13"/>
  <c r="E64" i="13"/>
  <c r="E63" i="13"/>
  <c r="E61" i="13"/>
  <c r="E60" i="13"/>
  <c r="E59" i="13"/>
  <c r="E58" i="13"/>
  <c r="E57" i="13"/>
  <c r="E55" i="13"/>
  <c r="E54" i="13"/>
  <c r="E53" i="13"/>
  <c r="E52" i="13"/>
  <c r="E51" i="13"/>
  <c r="E50" i="13"/>
  <c r="E49" i="13"/>
  <c r="E47" i="13"/>
  <c r="E46" i="13"/>
  <c r="E45" i="13"/>
  <c r="E44" i="13"/>
  <c r="D42" i="13"/>
  <c r="E41" i="13"/>
  <c r="E40" i="13"/>
  <c r="E39" i="13"/>
  <c r="E38" i="13"/>
  <c r="E37" i="13"/>
  <c r="E35" i="13"/>
  <c r="E34" i="13"/>
  <c r="E33" i="13"/>
  <c r="E32" i="13"/>
  <c r="E31" i="13"/>
  <c r="E30" i="13"/>
  <c r="D29" i="13"/>
  <c r="E28" i="13"/>
  <c r="E27" i="13"/>
  <c r="E26" i="13"/>
  <c r="AI25" i="13"/>
  <c r="D24" i="13"/>
  <c r="E22" i="13"/>
  <c r="E21" i="13"/>
  <c r="E20" i="13"/>
  <c r="E19" i="13"/>
  <c r="E18" i="13"/>
  <c r="E17" i="13"/>
  <c r="E16" i="13"/>
  <c r="E15" i="13"/>
  <c r="E14" i="13"/>
  <c r="D13" i="13"/>
  <c r="E12" i="13"/>
  <c r="E10" i="13"/>
  <c r="E9" i="13"/>
  <c r="E8" i="13"/>
  <c r="F7" i="13"/>
  <c r="E7" i="13"/>
  <c r="AI6" i="13"/>
  <c r="D5" i="13"/>
  <c r="D4" i="13" s="1"/>
  <c r="F14" i="13"/>
  <c r="K385" i="3"/>
  <c r="N385" i="3" s="1"/>
  <c r="J384" i="3"/>
  <c r="K384" i="3" s="1"/>
  <c r="N384" i="3" s="1"/>
  <c r="J383" i="3"/>
  <c r="K383" i="3" s="1"/>
  <c r="N383" i="3" s="1"/>
  <c r="J381" i="3"/>
  <c r="K381" i="3" s="1"/>
  <c r="N381" i="3" s="1"/>
  <c r="J380" i="3"/>
  <c r="K380" i="3" s="1"/>
  <c r="N380" i="3" s="1"/>
  <c r="J379" i="3"/>
  <c r="K379" i="3" s="1"/>
  <c r="N379" i="3" s="1"/>
  <c r="J378" i="3"/>
  <c r="K378" i="3" s="1"/>
  <c r="N378" i="3" s="1"/>
  <c r="J377" i="3"/>
  <c r="K377" i="3" s="1"/>
  <c r="N377" i="3" s="1"/>
  <c r="J376" i="3"/>
  <c r="K376" i="3" s="1"/>
  <c r="N376" i="3" s="1"/>
  <c r="J375" i="3"/>
  <c r="K375" i="3" s="1"/>
  <c r="N375" i="3" s="1"/>
  <c r="J374" i="3"/>
  <c r="N374" i="3" s="1"/>
  <c r="J373" i="3"/>
  <c r="N373" i="3" s="1"/>
  <c r="J372" i="3"/>
  <c r="N372" i="3" s="1"/>
  <c r="N370" i="3"/>
  <c r="J370" i="3"/>
  <c r="J371" i="3"/>
  <c r="N371" i="3" s="1"/>
  <c r="I342" i="3"/>
  <c r="J369" i="3"/>
  <c r="N369" i="3" s="1"/>
  <c r="J368" i="3"/>
  <c r="K368" i="3" s="1"/>
  <c r="N368" i="3" s="1"/>
  <c r="J367" i="3"/>
  <c r="K367" i="3" s="1"/>
  <c r="N367" i="3" s="1"/>
  <c r="J366" i="3"/>
  <c r="K366" i="3" s="1"/>
  <c r="N366" i="3" s="1"/>
  <c r="J365" i="3"/>
  <c r="K365" i="3" s="1"/>
  <c r="N365" i="3" s="1"/>
  <c r="J362" i="3"/>
  <c r="K362" i="3" s="1"/>
  <c r="N362" i="3" s="1"/>
  <c r="J363" i="3"/>
  <c r="K363" i="3" s="1"/>
  <c r="N363" i="3" s="1"/>
  <c r="J364" i="3"/>
  <c r="K364" i="3" s="1"/>
  <c r="N364" i="3" s="1"/>
  <c r="J361" i="3"/>
  <c r="K361" i="3" s="1"/>
  <c r="N361" i="3" s="1"/>
  <c r="K360" i="3"/>
  <c r="N360" i="3" s="1"/>
  <c r="G22" i="20" l="1"/>
  <c r="G18" i="20"/>
  <c r="G14" i="20"/>
  <c r="G11" i="20"/>
  <c r="G23" i="20"/>
  <c r="G19" i="20"/>
  <c r="G15" i="20"/>
  <c r="G25" i="20"/>
  <c r="G17" i="20"/>
  <c r="G20" i="20"/>
  <c r="G13" i="20"/>
  <c r="G10" i="20"/>
  <c r="G21" i="20"/>
  <c r="G16" i="20"/>
  <c r="G24" i="20"/>
  <c r="G12" i="20"/>
  <c r="AJ6" i="13"/>
  <c r="G6" i="27"/>
  <c r="D6" i="27"/>
  <c r="AK6" i="15"/>
  <c r="AJ25" i="13"/>
  <c r="G25" i="27"/>
  <c r="AK6" i="16"/>
  <c r="H6" i="27"/>
  <c r="AI25" i="14"/>
  <c r="E25" i="27"/>
  <c r="AK25" i="15"/>
  <c r="D25" i="27"/>
  <c r="AK25" i="16"/>
  <c r="H25" i="27"/>
  <c r="E6" i="27"/>
  <c r="AI6" i="14"/>
  <c r="D23" i="13"/>
  <c r="E24" i="14"/>
  <c r="G62" i="22"/>
  <c r="E29" i="16"/>
  <c r="F62" i="21"/>
  <c r="E43" i="15"/>
  <c r="E43" i="14"/>
  <c r="F56" i="24"/>
  <c r="E48" i="15"/>
  <c r="F29" i="22"/>
  <c r="E36" i="15"/>
  <c r="G62" i="19"/>
  <c r="F43" i="19"/>
  <c r="F62" i="24"/>
  <c r="F5" i="19"/>
  <c r="F4" i="19" s="1"/>
  <c r="E13" i="16"/>
  <c r="E11" i="16" s="1"/>
  <c r="F4" i="23"/>
  <c r="E13" i="15"/>
  <c r="E11" i="15" s="1"/>
  <c r="F43" i="23"/>
  <c r="F62" i="23"/>
  <c r="F29" i="24"/>
  <c r="F36" i="24"/>
  <c r="E4" i="24"/>
  <c r="F5" i="24"/>
  <c r="F4" i="24" s="1"/>
  <c r="F13" i="24"/>
  <c r="F11" i="24" s="1"/>
  <c r="E11" i="24"/>
  <c r="F48" i="24"/>
  <c r="F24" i="24"/>
  <c r="E42" i="24"/>
  <c r="G65" i="24"/>
  <c r="G64" i="24"/>
  <c r="G60" i="24"/>
  <c r="G63" i="24"/>
  <c r="G61" i="24"/>
  <c r="G57" i="24"/>
  <c r="G53" i="24"/>
  <c r="G59" i="24"/>
  <c r="G55" i="24"/>
  <c r="G51" i="24"/>
  <c r="G58" i="24"/>
  <c r="G52" i="24"/>
  <c r="G45" i="24"/>
  <c r="G38" i="24"/>
  <c r="G50" i="24"/>
  <c r="G44" i="24"/>
  <c r="G41" i="24"/>
  <c r="G37" i="24"/>
  <c r="G54" i="24"/>
  <c r="G49" i="24"/>
  <c r="G47" i="24"/>
  <c r="G39" i="24"/>
  <c r="G46" i="24"/>
  <c r="G40" i="24"/>
  <c r="G32" i="24"/>
  <c r="G31" i="24"/>
  <c r="G28" i="24"/>
  <c r="G19" i="24"/>
  <c r="G15" i="24"/>
  <c r="G12" i="24"/>
  <c r="G35" i="24"/>
  <c r="G34" i="24"/>
  <c r="G30" i="24"/>
  <c r="G27" i="24"/>
  <c r="G22" i="24"/>
  <c r="G18" i="24"/>
  <c r="G14" i="24"/>
  <c r="G33" i="24"/>
  <c r="G26" i="24"/>
  <c r="G21" i="24"/>
  <c r="G9" i="24"/>
  <c r="H2" i="24"/>
  <c r="G7" i="24"/>
  <c r="G17" i="24"/>
  <c r="G8" i="24"/>
  <c r="G20" i="24"/>
  <c r="G16" i="24"/>
  <c r="G10" i="24"/>
  <c r="F43" i="24"/>
  <c r="F29" i="23"/>
  <c r="F36" i="23"/>
  <c r="E11" i="23"/>
  <c r="E4" i="23"/>
  <c r="F13" i="23"/>
  <c r="F11" i="23" s="1"/>
  <c r="G65" i="23"/>
  <c r="G64" i="23"/>
  <c r="G60" i="23"/>
  <c r="G63" i="23"/>
  <c r="G58" i="23"/>
  <c r="G55" i="23"/>
  <c r="G52" i="23"/>
  <c r="G54" i="23"/>
  <c r="G51" i="23"/>
  <c r="G61" i="23"/>
  <c r="G57" i="23"/>
  <c r="G53" i="23"/>
  <c r="G50" i="23"/>
  <c r="G47" i="23"/>
  <c r="G59" i="23"/>
  <c r="G49" i="23"/>
  <c r="G46" i="23"/>
  <c r="G45" i="23"/>
  <c r="G38" i="23"/>
  <c r="G34" i="23"/>
  <c r="G30" i="23"/>
  <c r="G27" i="23"/>
  <c r="G41" i="23"/>
  <c r="G37" i="23"/>
  <c r="G40" i="23"/>
  <c r="G32" i="23"/>
  <c r="G39" i="23"/>
  <c r="G26" i="23"/>
  <c r="G44" i="23"/>
  <c r="G33" i="23"/>
  <c r="G22" i="23"/>
  <c r="G18" i="23"/>
  <c r="G14" i="23"/>
  <c r="G21" i="23"/>
  <c r="G17" i="23"/>
  <c r="G12" i="23"/>
  <c r="G9" i="23"/>
  <c r="G20" i="23"/>
  <c r="G19" i="23"/>
  <c r="G15" i="23"/>
  <c r="G8" i="23"/>
  <c r="G35" i="23"/>
  <c r="G31" i="23"/>
  <c r="G28" i="23"/>
  <c r="G16" i="23"/>
  <c r="G10" i="23"/>
  <c r="G7" i="23"/>
  <c r="H2" i="23"/>
  <c r="F24" i="23"/>
  <c r="F48" i="23"/>
  <c r="E42" i="23"/>
  <c r="E23" i="23" s="1"/>
  <c r="D3" i="23"/>
  <c r="F56" i="23"/>
  <c r="G36" i="22"/>
  <c r="F24" i="22"/>
  <c r="G35" i="22"/>
  <c r="G29" i="22" s="1"/>
  <c r="G22" i="22"/>
  <c r="G14" i="22"/>
  <c r="G18" i="22"/>
  <c r="G9" i="22"/>
  <c r="H2" i="22"/>
  <c r="G56" i="22"/>
  <c r="F62" i="22"/>
  <c r="G43" i="22"/>
  <c r="E4" i="22"/>
  <c r="G5" i="22"/>
  <c r="F13" i="22"/>
  <c r="F11" i="22" s="1"/>
  <c r="F56" i="22"/>
  <c r="D23" i="22"/>
  <c r="E42" i="22"/>
  <c r="E23" i="22" s="1"/>
  <c r="E11" i="22"/>
  <c r="G48" i="22"/>
  <c r="G24" i="22"/>
  <c r="D3" i="22"/>
  <c r="F36" i="22"/>
  <c r="F43" i="22"/>
  <c r="F5" i="22"/>
  <c r="F4" i="22" s="1"/>
  <c r="F48" i="22"/>
  <c r="F4" i="21"/>
  <c r="F48" i="21"/>
  <c r="E42" i="21"/>
  <c r="E23" i="21" s="1"/>
  <c r="F29" i="21"/>
  <c r="F56" i="21"/>
  <c r="E4" i="21"/>
  <c r="F24" i="21"/>
  <c r="F36" i="21"/>
  <c r="F13" i="21"/>
  <c r="F11" i="21" s="1"/>
  <c r="E11" i="21"/>
  <c r="F43" i="21"/>
  <c r="G65" i="21"/>
  <c r="G61" i="21"/>
  <c r="G64" i="21"/>
  <c r="G60" i="21"/>
  <c r="G63" i="21"/>
  <c r="G54" i="21"/>
  <c r="G51" i="21"/>
  <c r="G55" i="21"/>
  <c r="G52" i="21"/>
  <c r="G50" i="21"/>
  <c r="G57" i="21"/>
  <c r="G59" i="21"/>
  <c r="G58" i="21"/>
  <c r="G46" i="21"/>
  <c r="G53" i="21"/>
  <c r="G49" i="21"/>
  <c r="G45" i="21"/>
  <c r="G38" i="21"/>
  <c r="G34" i="21"/>
  <c r="G47" i="21"/>
  <c r="G39" i="21"/>
  <c r="G33" i="21"/>
  <c r="G26" i="21"/>
  <c r="G41" i="21"/>
  <c r="G37" i="21"/>
  <c r="G32" i="21"/>
  <c r="G44" i="21"/>
  <c r="G40" i="21"/>
  <c r="G31" i="21"/>
  <c r="G28" i="21"/>
  <c r="G19" i="21"/>
  <c r="G30" i="21"/>
  <c r="G22" i="21"/>
  <c r="G18" i="21"/>
  <c r="G21" i="21"/>
  <c r="G17" i="21"/>
  <c r="G35" i="21"/>
  <c r="G27" i="21"/>
  <c r="G20" i="21"/>
  <c r="G16" i="21"/>
  <c r="G10" i="21"/>
  <c r="G15" i="21"/>
  <c r="G12" i="21"/>
  <c r="G9" i="21"/>
  <c r="H2" i="21"/>
  <c r="G14" i="21"/>
  <c r="G8" i="21"/>
  <c r="G7" i="21"/>
  <c r="D66" i="21"/>
  <c r="F40" i="20"/>
  <c r="E58" i="20"/>
  <c r="E39" i="20" s="1"/>
  <c r="E4" i="20"/>
  <c r="G81" i="20"/>
  <c r="G77" i="20"/>
  <c r="G80" i="20"/>
  <c r="G76" i="20"/>
  <c r="G79" i="20"/>
  <c r="G70" i="20"/>
  <c r="G67" i="20"/>
  <c r="G75" i="20"/>
  <c r="G74" i="20"/>
  <c r="G65" i="20"/>
  <c r="G71" i="20"/>
  <c r="G68" i="20"/>
  <c r="G60" i="20"/>
  <c r="G57" i="20"/>
  <c r="G73" i="20"/>
  <c r="G63" i="20"/>
  <c r="G55" i="20"/>
  <c r="G51" i="20"/>
  <c r="G47" i="20"/>
  <c r="G44" i="20"/>
  <c r="G62" i="20"/>
  <c r="G54" i="20"/>
  <c r="G50" i="20"/>
  <c r="G69" i="20"/>
  <c r="G66" i="20"/>
  <c r="G53" i="20"/>
  <c r="G49" i="20"/>
  <c r="G48" i="20"/>
  <c r="G43" i="20"/>
  <c r="G38" i="20"/>
  <c r="G34" i="20"/>
  <c r="G30" i="20"/>
  <c r="G61" i="20"/>
  <c r="G42" i="20"/>
  <c r="G37" i="20"/>
  <c r="G33" i="20"/>
  <c r="G46" i="20"/>
  <c r="G36" i="20"/>
  <c r="G32" i="20"/>
  <c r="G26" i="20"/>
  <c r="G56" i="20"/>
  <c r="G35" i="20"/>
  <c r="G31" i="20"/>
  <c r="G28" i="20"/>
  <c r="G8" i="20"/>
  <c r="G7" i="20"/>
  <c r="H2" i="20"/>
  <c r="G9" i="20"/>
  <c r="F78" i="20"/>
  <c r="F45" i="20"/>
  <c r="F64" i="20"/>
  <c r="F29" i="20"/>
  <c r="F27" i="20" s="1"/>
  <c r="F72" i="20"/>
  <c r="D82" i="20"/>
  <c r="F5" i="20"/>
  <c r="F4" i="20" s="1"/>
  <c r="F52" i="20"/>
  <c r="F59" i="20"/>
  <c r="G13" i="19"/>
  <c r="G11" i="19" s="1"/>
  <c r="G48" i="19"/>
  <c r="E42" i="19"/>
  <c r="E23" i="19" s="1"/>
  <c r="G24" i="19"/>
  <c r="G29" i="19"/>
  <c r="G36" i="19"/>
  <c r="G43" i="19"/>
  <c r="F48" i="19"/>
  <c r="F56" i="19"/>
  <c r="E11" i="19"/>
  <c r="H64" i="19"/>
  <c r="H63" i="19"/>
  <c r="H59" i="19"/>
  <c r="H54" i="19"/>
  <c r="H61" i="19"/>
  <c r="H57" i="19"/>
  <c r="H53" i="19"/>
  <c r="H58" i="19"/>
  <c r="H55" i="19"/>
  <c r="H49" i="19"/>
  <c r="H60" i="19"/>
  <c r="H65" i="19"/>
  <c r="H44" i="19"/>
  <c r="H41" i="19"/>
  <c r="H37" i="19"/>
  <c r="H33" i="19"/>
  <c r="H51" i="19"/>
  <c r="H47" i="19"/>
  <c r="H40" i="19"/>
  <c r="H50" i="19"/>
  <c r="H46" i="19"/>
  <c r="H39" i="19"/>
  <c r="H30" i="19"/>
  <c r="H27" i="19"/>
  <c r="H35" i="19"/>
  <c r="H26" i="19"/>
  <c r="H21" i="19"/>
  <c r="H52" i="19"/>
  <c r="H45" i="19"/>
  <c r="H31" i="19"/>
  <c r="H19" i="19"/>
  <c r="H18" i="19"/>
  <c r="H22" i="19"/>
  <c r="H17" i="19"/>
  <c r="H38" i="19"/>
  <c r="H34" i="19"/>
  <c r="H32" i="19"/>
  <c r="H20" i="19"/>
  <c r="H16" i="19"/>
  <c r="H10" i="19"/>
  <c r="H28" i="19"/>
  <c r="H8" i="19"/>
  <c r="H7" i="19"/>
  <c r="I2" i="19"/>
  <c r="H14" i="19"/>
  <c r="H12" i="19"/>
  <c r="H9" i="19"/>
  <c r="H15" i="19"/>
  <c r="F24" i="19"/>
  <c r="F36" i="19"/>
  <c r="E4" i="19"/>
  <c r="G5" i="19"/>
  <c r="G4" i="19" s="1"/>
  <c r="F13" i="19"/>
  <c r="F11" i="19" s="1"/>
  <c r="F29" i="19"/>
  <c r="G56" i="19"/>
  <c r="F62" i="19"/>
  <c r="D66" i="19"/>
  <c r="F29" i="18"/>
  <c r="E42" i="18"/>
  <c r="E23" i="18" s="1"/>
  <c r="F48" i="18"/>
  <c r="D66" i="18"/>
  <c r="F62" i="18"/>
  <c r="F13" i="18"/>
  <c r="F11" i="18" s="1"/>
  <c r="F5" i="18"/>
  <c r="G65" i="18"/>
  <c r="G61" i="18"/>
  <c r="G57" i="18"/>
  <c r="G64" i="18"/>
  <c r="G60" i="18"/>
  <c r="G63" i="18"/>
  <c r="G53" i="18"/>
  <c r="G59" i="18"/>
  <c r="G49" i="18"/>
  <c r="G58" i="18"/>
  <c r="G55" i="18"/>
  <c r="G52" i="18"/>
  <c r="G51" i="18"/>
  <c r="G44" i="18"/>
  <c r="G41" i="18"/>
  <c r="G54" i="18"/>
  <c r="G47" i="18"/>
  <c r="G40" i="18"/>
  <c r="G50" i="18"/>
  <c r="G46" i="18"/>
  <c r="G39" i="18"/>
  <c r="G45" i="18"/>
  <c r="G35" i="18"/>
  <c r="G31" i="18"/>
  <c r="G28" i="18"/>
  <c r="G19" i="18"/>
  <c r="G38" i="18"/>
  <c r="G34" i="18"/>
  <c r="G30" i="18"/>
  <c r="G27" i="18"/>
  <c r="G22" i="18"/>
  <c r="G18" i="18"/>
  <c r="G37" i="18"/>
  <c r="G33" i="18"/>
  <c r="G32" i="18"/>
  <c r="G26" i="18"/>
  <c r="G20" i="18"/>
  <c r="G17" i="18"/>
  <c r="G7" i="18"/>
  <c r="G16" i="18"/>
  <c r="G10" i="18"/>
  <c r="H2" i="18"/>
  <c r="G8" i="18"/>
  <c r="G21" i="18"/>
  <c r="G15" i="18"/>
  <c r="G12" i="18"/>
  <c r="G9" i="18"/>
  <c r="G14" i="18"/>
  <c r="E3" i="18"/>
  <c r="F24" i="18"/>
  <c r="F36" i="18"/>
  <c r="F43" i="18"/>
  <c r="F56" i="18"/>
  <c r="E56" i="16"/>
  <c r="F7" i="16"/>
  <c r="D3" i="16"/>
  <c r="F65" i="16"/>
  <c r="F61" i="16"/>
  <c r="F57" i="16"/>
  <c r="F64" i="16"/>
  <c r="F54" i="16"/>
  <c r="F63" i="16"/>
  <c r="F60" i="16"/>
  <c r="F59" i="16"/>
  <c r="F49" i="16"/>
  <c r="F55" i="16"/>
  <c r="F52" i="16"/>
  <c r="F58" i="16"/>
  <c r="F51" i="16"/>
  <c r="F44" i="16"/>
  <c r="F41" i="16"/>
  <c r="F53" i="16"/>
  <c r="F50" i="16"/>
  <c r="F47" i="16"/>
  <c r="F40" i="16"/>
  <c r="F46" i="16"/>
  <c r="F39" i="16"/>
  <c r="F35" i="16"/>
  <c r="F45" i="16"/>
  <c r="F38" i="16"/>
  <c r="F34" i="16"/>
  <c r="F37" i="16"/>
  <c r="F33" i="16"/>
  <c r="F31" i="16"/>
  <c r="F28" i="16"/>
  <c r="F19" i="16"/>
  <c r="F15" i="16"/>
  <c r="F12" i="16"/>
  <c r="F30" i="16"/>
  <c r="F27" i="16"/>
  <c r="F22" i="16"/>
  <c r="F18" i="16"/>
  <c r="F26" i="16"/>
  <c r="F21" i="16"/>
  <c r="F17" i="16"/>
  <c r="F32" i="16"/>
  <c r="F20" i="16"/>
  <c r="F8" i="16"/>
  <c r="F14" i="16"/>
  <c r="G2" i="16"/>
  <c r="F9" i="16"/>
  <c r="E5" i="16"/>
  <c r="F16" i="16"/>
  <c r="E24" i="16"/>
  <c r="E43" i="16"/>
  <c r="E36" i="16"/>
  <c r="E48" i="16"/>
  <c r="E62" i="16"/>
  <c r="D23" i="15"/>
  <c r="E5" i="15"/>
  <c r="D3" i="15"/>
  <c r="F65" i="15"/>
  <c r="F61" i="15"/>
  <c r="F57" i="15"/>
  <c r="F64" i="15"/>
  <c r="F54" i="15"/>
  <c r="F60" i="15"/>
  <c r="F63" i="15"/>
  <c r="F55" i="15"/>
  <c r="F58" i="15"/>
  <c r="F52" i="15"/>
  <c r="F51" i="15"/>
  <c r="F45" i="15"/>
  <c r="F38" i="15"/>
  <c r="F50" i="15"/>
  <c r="F44" i="15"/>
  <c r="F41" i="15"/>
  <c r="F37" i="15"/>
  <c r="F59" i="15"/>
  <c r="F47" i="15"/>
  <c r="F40" i="15"/>
  <c r="F32" i="15"/>
  <c r="F33" i="15"/>
  <c r="F26" i="15"/>
  <c r="F53" i="15"/>
  <c r="F20" i="15"/>
  <c r="F39" i="15"/>
  <c r="F35" i="15"/>
  <c r="F31" i="15"/>
  <c r="F28" i="15"/>
  <c r="F19" i="15"/>
  <c r="F15" i="15"/>
  <c r="F12" i="15"/>
  <c r="F49" i="15"/>
  <c r="F46" i="15"/>
  <c r="F30" i="15"/>
  <c r="F22" i="15"/>
  <c r="F34" i="15"/>
  <c r="F21" i="15"/>
  <c r="F17" i="15"/>
  <c r="F8" i="15"/>
  <c r="G2" i="15"/>
  <c r="F9" i="15"/>
  <c r="F27" i="15"/>
  <c r="F10" i="15"/>
  <c r="F14" i="15"/>
  <c r="F16" i="15"/>
  <c r="F18" i="15"/>
  <c r="E24" i="15"/>
  <c r="E29" i="15"/>
  <c r="E56" i="15"/>
  <c r="E62" i="15"/>
  <c r="D23" i="14"/>
  <c r="F10" i="14"/>
  <c r="F16" i="14"/>
  <c r="D3" i="14"/>
  <c r="E5" i="14"/>
  <c r="F7" i="14"/>
  <c r="F26" i="14"/>
  <c r="E13" i="14"/>
  <c r="E11" i="14" s="1"/>
  <c r="F14" i="14"/>
  <c r="F65" i="14"/>
  <c r="F61" i="14"/>
  <c r="F57" i="14"/>
  <c r="F64" i="14"/>
  <c r="F63" i="14"/>
  <c r="F54" i="14"/>
  <c r="F55" i="14"/>
  <c r="F51" i="14"/>
  <c r="F60" i="14"/>
  <c r="F58" i="14"/>
  <c r="F59" i="14"/>
  <c r="F53" i="14"/>
  <c r="F50" i="14"/>
  <c r="F49" i="14"/>
  <c r="F47" i="14"/>
  <c r="F40" i="14"/>
  <c r="F32" i="14"/>
  <c r="F52" i="14"/>
  <c r="F46" i="14"/>
  <c r="F39" i="14"/>
  <c r="F35" i="14"/>
  <c r="F45" i="14"/>
  <c r="F38" i="14"/>
  <c r="F34" i="14"/>
  <c r="F30" i="14"/>
  <c r="F41" i="14"/>
  <c r="F37" i="14"/>
  <c r="F28" i="14"/>
  <c r="F17" i="14"/>
  <c r="F27" i="14"/>
  <c r="F22" i="14"/>
  <c r="F20" i="14"/>
  <c r="F44" i="14"/>
  <c r="F33" i="14"/>
  <c r="F31" i="14"/>
  <c r="F8" i="14"/>
  <c r="G2" i="14"/>
  <c r="F9" i="14"/>
  <c r="F12" i="14"/>
  <c r="F15" i="14"/>
  <c r="F19" i="14"/>
  <c r="F21" i="14"/>
  <c r="E36" i="14"/>
  <c r="E29" i="14"/>
  <c r="E48" i="14"/>
  <c r="E56" i="14"/>
  <c r="E62" i="14"/>
  <c r="E29" i="13"/>
  <c r="E24" i="13"/>
  <c r="E13" i="13"/>
  <c r="E11" i="13" s="1"/>
  <c r="F65" i="13"/>
  <c r="F61" i="13"/>
  <c r="F57" i="13"/>
  <c r="F64" i="13"/>
  <c r="F54" i="13"/>
  <c r="F63" i="13"/>
  <c r="F59" i="13"/>
  <c r="F55" i="13"/>
  <c r="F51" i="13"/>
  <c r="F47" i="13"/>
  <c r="F60" i="13"/>
  <c r="F50" i="13"/>
  <c r="F46" i="13"/>
  <c r="F39" i="13"/>
  <c r="F53" i="13"/>
  <c r="F49" i="13"/>
  <c r="F58" i="13"/>
  <c r="F52" i="13"/>
  <c r="F45" i="13"/>
  <c r="F41" i="13"/>
  <c r="F37" i="13"/>
  <c r="F44" i="13"/>
  <c r="F40" i="13"/>
  <c r="F34" i="13"/>
  <c r="F38" i="13"/>
  <c r="F33" i="13"/>
  <c r="F30" i="13"/>
  <c r="F27" i="13"/>
  <c r="F22" i="13"/>
  <c r="F18" i="13"/>
  <c r="F32" i="13"/>
  <c r="F26" i="13"/>
  <c r="F21" i="13"/>
  <c r="F35" i="13"/>
  <c r="F20" i="13"/>
  <c r="F16" i="13"/>
  <c r="F31" i="13"/>
  <c r="F28" i="13"/>
  <c r="F19" i="13"/>
  <c r="F8" i="13"/>
  <c r="F5" i="13" s="1"/>
  <c r="F9" i="13"/>
  <c r="F12" i="13"/>
  <c r="F15" i="13"/>
  <c r="E5" i="13"/>
  <c r="F10" i="13"/>
  <c r="D11" i="13"/>
  <c r="F17" i="13"/>
  <c r="E36" i="13"/>
  <c r="E43" i="13"/>
  <c r="E48" i="13"/>
  <c r="E56" i="13"/>
  <c r="E62" i="13"/>
  <c r="K382" i="3"/>
  <c r="N382" i="3" s="1"/>
  <c r="I359" i="3"/>
  <c r="J358" i="3"/>
  <c r="K358" i="3" s="1"/>
  <c r="N358" i="3" s="1"/>
  <c r="J357" i="3"/>
  <c r="K357" i="3" s="1"/>
  <c r="N357" i="3" s="1"/>
  <c r="J356" i="3"/>
  <c r="K356" i="3" s="1"/>
  <c r="N356" i="3" s="1"/>
  <c r="J355" i="3"/>
  <c r="K355" i="3" s="1"/>
  <c r="N355" i="3" s="1"/>
  <c r="J354" i="3"/>
  <c r="K354" i="3" s="1"/>
  <c r="N354" i="3" s="1"/>
  <c r="I336" i="3"/>
  <c r="J336" i="3" s="1"/>
  <c r="I335" i="3"/>
  <c r="J335" i="3" s="1"/>
  <c r="J333" i="3"/>
  <c r="J353" i="3"/>
  <c r="K353" i="3" s="1"/>
  <c r="N353" i="3" s="1"/>
  <c r="J352" i="3"/>
  <c r="K352" i="3" s="1"/>
  <c r="N352" i="3" s="1"/>
  <c r="J351" i="3"/>
  <c r="K351" i="3" s="1"/>
  <c r="N351" i="3" s="1"/>
  <c r="J347" i="3"/>
  <c r="K347" i="3" s="1"/>
  <c r="N347" i="3" s="1"/>
  <c r="J348" i="3"/>
  <c r="K348" i="3" s="1"/>
  <c r="N348" i="3" s="1"/>
  <c r="J349" i="3"/>
  <c r="K349" i="3" s="1"/>
  <c r="N349" i="3" s="1"/>
  <c r="J350" i="3"/>
  <c r="K350" i="3" s="1"/>
  <c r="N350" i="3" s="1"/>
  <c r="J346" i="3"/>
  <c r="K346" i="3" s="1"/>
  <c r="N346" i="3" s="1"/>
  <c r="J345" i="3"/>
  <c r="K345" i="3" s="1"/>
  <c r="N345" i="3" s="1"/>
  <c r="J344" i="3"/>
  <c r="K344" i="3" s="1"/>
  <c r="N344" i="3" s="1"/>
  <c r="J343" i="3"/>
  <c r="K343" i="3" s="1"/>
  <c r="N343" i="3" s="1"/>
  <c r="J342" i="3"/>
  <c r="N342" i="3" s="1"/>
  <c r="J341" i="3"/>
  <c r="K341" i="3" s="1"/>
  <c r="N341" i="3" s="1"/>
  <c r="J340" i="3"/>
  <c r="K340" i="3" s="1"/>
  <c r="N340" i="3" s="1"/>
  <c r="J339" i="3"/>
  <c r="K339" i="3" s="1"/>
  <c r="N339" i="3" s="1"/>
  <c r="J338" i="3"/>
  <c r="K338" i="3" s="1"/>
  <c r="N338" i="3" s="1"/>
  <c r="J337" i="3"/>
  <c r="K337" i="3" s="1"/>
  <c r="N337" i="3" s="1"/>
  <c r="J317" i="2"/>
  <c r="K317" i="2" s="1"/>
  <c r="N317" i="2" s="1"/>
  <c r="H11" i="20" l="1"/>
  <c r="H20" i="20"/>
  <c r="H23" i="20"/>
  <c r="H19" i="20"/>
  <c r="H15" i="20"/>
  <c r="H24" i="20"/>
  <c r="H16" i="20"/>
  <c r="H12" i="20"/>
  <c r="H18" i="20"/>
  <c r="H13" i="20"/>
  <c r="H10" i="20"/>
  <c r="H21" i="20"/>
  <c r="H17" i="20"/>
  <c r="H14" i="20"/>
  <c r="H25" i="20"/>
  <c r="H22" i="20"/>
  <c r="F3" i="23"/>
  <c r="F42" i="23"/>
  <c r="F23" i="23" s="1"/>
  <c r="G48" i="24"/>
  <c r="G43" i="23"/>
  <c r="F42" i="22"/>
  <c r="F23" i="22" s="1"/>
  <c r="F42" i="19"/>
  <c r="F23" i="19" s="1"/>
  <c r="F42" i="24"/>
  <c r="F23" i="24" s="1"/>
  <c r="F3" i="21"/>
  <c r="F5" i="16"/>
  <c r="F4" i="16" s="1"/>
  <c r="G13" i="22"/>
  <c r="G11" i="22" s="1"/>
  <c r="G3" i="19"/>
  <c r="H5" i="19"/>
  <c r="H4" i="19" s="1"/>
  <c r="G5" i="24"/>
  <c r="G4" i="24" s="1"/>
  <c r="G24" i="24"/>
  <c r="E23" i="24"/>
  <c r="H64" i="24"/>
  <c r="H63" i="24"/>
  <c r="H59" i="24"/>
  <c r="H60" i="24"/>
  <c r="H58" i="24"/>
  <c r="H50" i="24"/>
  <c r="H57" i="24"/>
  <c r="H51" i="24"/>
  <c r="H44" i="24"/>
  <c r="H41" i="24"/>
  <c r="H37" i="24"/>
  <c r="H53" i="24"/>
  <c r="H49" i="24"/>
  <c r="H47" i="24"/>
  <c r="H40" i="24"/>
  <c r="H45" i="24"/>
  <c r="H39" i="24"/>
  <c r="H65" i="24"/>
  <c r="H55" i="24"/>
  <c r="H61" i="24"/>
  <c r="H52" i="24"/>
  <c r="H46" i="24"/>
  <c r="H38" i="24"/>
  <c r="H34" i="24"/>
  <c r="H54" i="24"/>
  <c r="H35" i="24"/>
  <c r="H30" i="24"/>
  <c r="H27" i="24"/>
  <c r="H22" i="24"/>
  <c r="H18" i="24"/>
  <c r="H14" i="24"/>
  <c r="H33" i="24"/>
  <c r="H26" i="24"/>
  <c r="H21" i="24"/>
  <c r="H17" i="24"/>
  <c r="H20" i="24"/>
  <c r="H32" i="24"/>
  <c r="H31" i="24"/>
  <c r="H28" i="24"/>
  <c r="H19" i="24"/>
  <c r="H15" i="24"/>
  <c r="H8" i="24"/>
  <c r="H10" i="24"/>
  <c r="H12" i="24"/>
  <c r="H7" i="24"/>
  <c r="H16" i="24"/>
  <c r="I2" i="24"/>
  <c r="H9" i="24"/>
  <c r="G36" i="24"/>
  <c r="G56" i="24"/>
  <c r="E3" i="24"/>
  <c r="G13" i="24"/>
  <c r="G29" i="24"/>
  <c r="F3" i="24"/>
  <c r="G43" i="24"/>
  <c r="G62" i="24"/>
  <c r="H64" i="23"/>
  <c r="H63" i="23"/>
  <c r="H59" i="23"/>
  <c r="H54" i="23"/>
  <c r="H61" i="23"/>
  <c r="H57" i="23"/>
  <c r="H53" i="23"/>
  <c r="H50" i="23"/>
  <c r="H60" i="23"/>
  <c r="H58" i="23"/>
  <c r="H49" i="23"/>
  <c r="H46" i="23"/>
  <c r="H45" i="23"/>
  <c r="H44" i="23"/>
  <c r="H65" i="23"/>
  <c r="H41" i="23"/>
  <c r="H37" i="23"/>
  <c r="H33" i="23"/>
  <c r="H26" i="23"/>
  <c r="H55" i="23"/>
  <c r="H51" i="23"/>
  <c r="H47" i="23"/>
  <c r="H40" i="23"/>
  <c r="H39" i="23"/>
  <c r="H35" i="23"/>
  <c r="H31" i="23"/>
  <c r="H52" i="23"/>
  <c r="H22" i="23"/>
  <c r="H38" i="23"/>
  <c r="H32" i="23"/>
  <c r="H21" i="23"/>
  <c r="H17" i="23"/>
  <c r="H28" i="23"/>
  <c r="H20" i="23"/>
  <c r="H16" i="23"/>
  <c r="H19" i="23"/>
  <c r="H15" i="23"/>
  <c r="H8" i="23"/>
  <c r="H27" i="23"/>
  <c r="H14" i="23"/>
  <c r="H7" i="23"/>
  <c r="H18" i="23"/>
  <c r="H10" i="23"/>
  <c r="H34" i="23"/>
  <c r="H30" i="23"/>
  <c r="H12" i="23"/>
  <c r="H9" i="23"/>
  <c r="I2" i="23"/>
  <c r="G24" i="23"/>
  <c r="G36" i="23"/>
  <c r="G48" i="23"/>
  <c r="G62" i="23"/>
  <c r="E3" i="23"/>
  <c r="D66" i="23"/>
  <c r="G5" i="23"/>
  <c r="G56" i="23"/>
  <c r="G13" i="23"/>
  <c r="G29" i="23"/>
  <c r="G4" i="22"/>
  <c r="H63" i="22"/>
  <c r="H54" i="22"/>
  <c r="H47" i="22"/>
  <c r="H53" i="22"/>
  <c r="H65" i="22"/>
  <c r="H26" i="22"/>
  <c r="H41" i="22"/>
  <c r="H34" i="22"/>
  <c r="H38" i="22"/>
  <c r="H22" i="22"/>
  <c r="H64" i="22"/>
  <c r="H58" i="22"/>
  <c r="H50" i="22"/>
  <c r="H57" i="22"/>
  <c r="H39" i="22"/>
  <c r="H33" i="22"/>
  <c r="H45" i="22"/>
  <c r="H28" i="22"/>
  <c r="H10" i="22"/>
  <c r="H27" i="22"/>
  <c r="H9" i="22"/>
  <c r="H15" i="22"/>
  <c r="H17" i="22"/>
  <c r="H59" i="22"/>
  <c r="H51" i="22"/>
  <c r="H40" i="22"/>
  <c r="H49" i="22"/>
  <c r="H44" i="22"/>
  <c r="H52" i="22"/>
  <c r="H35" i="22"/>
  <c r="H20" i="22"/>
  <c r="H19" i="22"/>
  <c r="H18" i="22"/>
  <c r="H7" i="22"/>
  <c r="H12" i="22"/>
  <c r="H60" i="22"/>
  <c r="H55" i="22"/>
  <c r="H61" i="22"/>
  <c r="H46" i="22"/>
  <c r="H37" i="22"/>
  <c r="H32" i="22"/>
  <c r="H31" i="22"/>
  <c r="H16" i="22"/>
  <c r="H30" i="22"/>
  <c r="H14" i="22"/>
  <c r="H8" i="22"/>
  <c r="I2" i="22"/>
  <c r="H21" i="22"/>
  <c r="F3" i="22"/>
  <c r="G42" i="22"/>
  <c r="G23" i="22" s="1"/>
  <c r="D66" i="22"/>
  <c r="E3" i="22"/>
  <c r="G13" i="21"/>
  <c r="G11" i="21" s="1"/>
  <c r="F42" i="21"/>
  <c r="F23" i="21" s="1"/>
  <c r="H64" i="21"/>
  <c r="H60" i="21"/>
  <c r="H63" i="21"/>
  <c r="H59" i="21"/>
  <c r="H57" i="21"/>
  <c r="H53" i="21"/>
  <c r="H54" i="21"/>
  <c r="H51" i="21"/>
  <c r="H49" i="21"/>
  <c r="H61" i="21"/>
  <c r="H58" i="21"/>
  <c r="H65" i="21"/>
  <c r="H55" i="21"/>
  <c r="H50" i="21"/>
  <c r="H45" i="21"/>
  <c r="H44" i="21"/>
  <c r="H41" i="21"/>
  <c r="H37" i="21"/>
  <c r="H33" i="21"/>
  <c r="H38" i="21"/>
  <c r="H32" i="21"/>
  <c r="H46" i="21"/>
  <c r="H40" i="21"/>
  <c r="H31" i="21"/>
  <c r="H28" i="21"/>
  <c r="H52" i="21"/>
  <c r="H35" i="21"/>
  <c r="H30" i="21"/>
  <c r="H27" i="21"/>
  <c r="H22" i="21"/>
  <c r="H18" i="21"/>
  <c r="H39" i="21"/>
  <c r="H21" i="21"/>
  <c r="H17" i="21"/>
  <c r="H47" i="21"/>
  <c r="H16" i="21"/>
  <c r="H34" i="21"/>
  <c r="H20" i="21"/>
  <c r="H26" i="21"/>
  <c r="H19" i="21"/>
  <c r="H10" i="21"/>
  <c r="H15" i="21"/>
  <c r="H12" i="21"/>
  <c r="H9" i="21"/>
  <c r="H14" i="21"/>
  <c r="H8" i="21"/>
  <c r="I2" i="21"/>
  <c r="H7" i="21"/>
  <c r="G36" i="21"/>
  <c r="G62" i="21"/>
  <c r="G5" i="21"/>
  <c r="G29" i="21"/>
  <c r="G48" i="21"/>
  <c r="G43" i="21"/>
  <c r="G24" i="21"/>
  <c r="G56" i="21"/>
  <c r="E3" i="21"/>
  <c r="F58" i="20"/>
  <c r="F39" i="20" s="1"/>
  <c r="G5" i="20"/>
  <c r="G4" i="20" s="1"/>
  <c r="G40" i="20"/>
  <c r="G52" i="20"/>
  <c r="G64" i="20"/>
  <c r="G45" i="20"/>
  <c r="G59" i="20"/>
  <c r="G78" i="20"/>
  <c r="G29" i="20"/>
  <c r="G27" i="20" s="1"/>
  <c r="F3" i="20"/>
  <c r="H80" i="20"/>
  <c r="H76" i="20"/>
  <c r="H79" i="20"/>
  <c r="H75" i="20"/>
  <c r="H73" i="20"/>
  <c r="H69" i="20"/>
  <c r="H71" i="20"/>
  <c r="H68" i="20"/>
  <c r="H70" i="20"/>
  <c r="H67" i="20"/>
  <c r="H66" i="20"/>
  <c r="H63" i="20"/>
  <c r="H56" i="20"/>
  <c r="H81" i="20"/>
  <c r="H77" i="20"/>
  <c r="H62" i="20"/>
  <c r="H54" i="20"/>
  <c r="H50" i="20"/>
  <c r="H46" i="20"/>
  <c r="H43" i="20"/>
  <c r="H53" i="20"/>
  <c r="H49" i="20"/>
  <c r="H74" i="20"/>
  <c r="H61" i="20"/>
  <c r="H57" i="20"/>
  <c r="H48" i="20"/>
  <c r="H65" i="20"/>
  <c r="H60" i="20"/>
  <c r="H47" i="20"/>
  <c r="H42" i="20"/>
  <c r="H37" i="20"/>
  <c r="H33" i="20"/>
  <c r="H51" i="20"/>
  <c r="H36" i="20"/>
  <c r="H32" i="20"/>
  <c r="H55" i="20"/>
  <c r="H35" i="20"/>
  <c r="H44" i="20"/>
  <c r="H9" i="20"/>
  <c r="H7" i="20"/>
  <c r="H34" i="20"/>
  <c r="H26" i="20"/>
  <c r="H38" i="20"/>
  <c r="H30" i="20"/>
  <c r="H8" i="20"/>
  <c r="H31" i="20"/>
  <c r="H28" i="20"/>
  <c r="I2" i="20"/>
  <c r="G72" i="20"/>
  <c r="E3" i="20"/>
  <c r="F3" i="19"/>
  <c r="H36" i="19"/>
  <c r="H24" i="19"/>
  <c r="H48" i="19"/>
  <c r="H56" i="19"/>
  <c r="H62" i="19"/>
  <c r="G42" i="19"/>
  <c r="G23" i="19" s="1"/>
  <c r="H29" i="19"/>
  <c r="H13" i="19"/>
  <c r="H11" i="19" s="1"/>
  <c r="H43" i="19"/>
  <c r="E3" i="19"/>
  <c r="I63" i="19"/>
  <c r="I58" i="19"/>
  <c r="I65" i="19"/>
  <c r="I61" i="19"/>
  <c r="I57" i="19"/>
  <c r="I53" i="19"/>
  <c r="I64" i="19"/>
  <c r="I60" i="19"/>
  <c r="I54" i="19"/>
  <c r="I52" i="19"/>
  <c r="I59" i="19"/>
  <c r="I55" i="19"/>
  <c r="I51" i="19"/>
  <c r="I47" i="19"/>
  <c r="I40" i="19"/>
  <c r="I50" i="19"/>
  <c r="I46" i="19"/>
  <c r="I39" i="19"/>
  <c r="I49" i="19"/>
  <c r="I45" i="19"/>
  <c r="I38" i="19"/>
  <c r="I35" i="19"/>
  <c r="I26" i="19"/>
  <c r="I41" i="19"/>
  <c r="I34" i="19"/>
  <c r="I32" i="19"/>
  <c r="I20" i="19"/>
  <c r="I30" i="19"/>
  <c r="I22" i="19"/>
  <c r="I17" i="19"/>
  <c r="I37" i="19"/>
  <c r="I21" i="19"/>
  <c r="I16" i="19"/>
  <c r="I28" i="19"/>
  <c r="I15" i="19"/>
  <c r="I12" i="19"/>
  <c r="I9" i="19"/>
  <c r="I44" i="19"/>
  <c r="I33" i="19"/>
  <c r="I31" i="19"/>
  <c r="I27" i="19"/>
  <c r="I19" i="19"/>
  <c r="I14" i="19"/>
  <c r="I7" i="19"/>
  <c r="I18" i="19"/>
  <c r="I10" i="19"/>
  <c r="J2" i="19"/>
  <c r="I8" i="19"/>
  <c r="G13" i="18"/>
  <c r="G11" i="18" s="1"/>
  <c r="G24" i="18"/>
  <c r="F4" i="18"/>
  <c r="G5" i="18"/>
  <c r="G4" i="18" s="1"/>
  <c r="G56" i="18"/>
  <c r="E66" i="18"/>
  <c r="H64" i="18"/>
  <c r="H60" i="18"/>
  <c r="H63" i="18"/>
  <c r="H59" i="18"/>
  <c r="H55" i="18"/>
  <c r="H58" i="18"/>
  <c r="H52" i="18"/>
  <c r="H61" i="18"/>
  <c r="H54" i="18"/>
  <c r="H51" i="18"/>
  <c r="H57" i="18"/>
  <c r="H47" i="18"/>
  <c r="H40" i="18"/>
  <c r="H50" i="18"/>
  <c r="H46" i="18"/>
  <c r="H39" i="18"/>
  <c r="H65" i="18"/>
  <c r="H53" i="18"/>
  <c r="H49" i="18"/>
  <c r="H45" i="18"/>
  <c r="H38" i="18"/>
  <c r="H44" i="18"/>
  <c r="H34" i="18"/>
  <c r="H30" i="18"/>
  <c r="H27" i="18"/>
  <c r="H22" i="18"/>
  <c r="H18" i="18"/>
  <c r="H37" i="18"/>
  <c r="H33" i="18"/>
  <c r="H26" i="18"/>
  <c r="H21" i="18"/>
  <c r="H32" i="18"/>
  <c r="H41" i="18"/>
  <c r="H35" i="18"/>
  <c r="H31" i="18"/>
  <c r="H28" i="18"/>
  <c r="H16" i="18"/>
  <c r="H10" i="18"/>
  <c r="H19" i="18"/>
  <c r="H15" i="18"/>
  <c r="H12" i="18"/>
  <c r="H9" i="18"/>
  <c r="I2" i="18"/>
  <c r="H7" i="18"/>
  <c r="H14" i="18"/>
  <c r="H8" i="18"/>
  <c r="H20" i="18"/>
  <c r="H17" i="18"/>
  <c r="G43" i="18"/>
  <c r="G62" i="18"/>
  <c r="F42" i="18"/>
  <c r="F23" i="18" s="1"/>
  <c r="G36" i="18"/>
  <c r="G29" i="18"/>
  <c r="G48" i="18"/>
  <c r="E42" i="16"/>
  <c r="E23" i="16" s="1"/>
  <c r="F29" i="16"/>
  <c r="F48" i="16"/>
  <c r="G65" i="16"/>
  <c r="G61" i="16"/>
  <c r="G64" i="16"/>
  <c r="G60" i="16"/>
  <c r="G63" i="16"/>
  <c r="G57" i="16"/>
  <c r="G53" i="16"/>
  <c r="G59" i="16"/>
  <c r="G58" i="16"/>
  <c r="G55" i="16"/>
  <c r="G52" i="16"/>
  <c r="G51" i="16"/>
  <c r="G54" i="16"/>
  <c r="G50" i="16"/>
  <c r="G47" i="16"/>
  <c r="G40" i="16"/>
  <c r="G49" i="16"/>
  <c r="G46" i="16"/>
  <c r="G44" i="16"/>
  <c r="G39" i="16"/>
  <c r="G35" i="16"/>
  <c r="G45" i="16"/>
  <c r="G38" i="16"/>
  <c r="G34" i="16"/>
  <c r="G37" i="16"/>
  <c r="G33" i="16"/>
  <c r="G41" i="16"/>
  <c r="G32" i="16"/>
  <c r="G30" i="16"/>
  <c r="G27" i="16"/>
  <c r="G22" i="16"/>
  <c r="G18" i="16"/>
  <c r="G14" i="16"/>
  <c r="G26" i="16"/>
  <c r="G21" i="16"/>
  <c r="G17" i="16"/>
  <c r="G20" i="16"/>
  <c r="G16" i="16"/>
  <c r="G10" i="16"/>
  <c r="G31" i="16"/>
  <c r="G28" i="16"/>
  <c r="G19" i="16"/>
  <c r="G9" i="16"/>
  <c r="H2" i="16"/>
  <c r="G15" i="16"/>
  <c r="G12" i="16"/>
  <c r="G8" i="16"/>
  <c r="G7" i="16"/>
  <c r="D66" i="16"/>
  <c r="E4" i="16"/>
  <c r="F13" i="16"/>
  <c r="F24" i="16"/>
  <c r="F56" i="16"/>
  <c r="F36" i="16"/>
  <c r="F43" i="16"/>
  <c r="F62" i="16"/>
  <c r="F62" i="15"/>
  <c r="E42" i="15"/>
  <c r="E23" i="15" s="1"/>
  <c r="E4" i="15"/>
  <c r="G65" i="15"/>
  <c r="G61" i="15"/>
  <c r="G64" i="15"/>
  <c r="G60" i="15"/>
  <c r="G63" i="15"/>
  <c r="G57" i="15"/>
  <c r="G53" i="15"/>
  <c r="G55" i="15"/>
  <c r="G58" i="15"/>
  <c r="G52" i="15"/>
  <c r="G59" i="15"/>
  <c r="G54" i="15"/>
  <c r="G51" i="15"/>
  <c r="G50" i="15"/>
  <c r="G44" i="15"/>
  <c r="G41" i="15"/>
  <c r="G37" i="15"/>
  <c r="G47" i="15"/>
  <c r="G40" i="15"/>
  <c r="G49" i="15"/>
  <c r="G46" i="15"/>
  <c r="G39" i="15"/>
  <c r="G35" i="15"/>
  <c r="G45" i="15"/>
  <c r="G32" i="15"/>
  <c r="G31" i="15"/>
  <c r="G28" i="15"/>
  <c r="G19" i="15"/>
  <c r="G34" i="15"/>
  <c r="G30" i="15"/>
  <c r="G27" i="15"/>
  <c r="G22" i="15"/>
  <c r="G18" i="15"/>
  <c r="G14" i="15"/>
  <c r="G38" i="15"/>
  <c r="G33" i="15"/>
  <c r="G26" i="15"/>
  <c r="G21" i="15"/>
  <c r="G20" i="15"/>
  <c r="G16" i="15"/>
  <c r="G12" i="15"/>
  <c r="G17" i="15"/>
  <c r="G15" i="15"/>
  <c r="G9" i="15"/>
  <c r="G8" i="15"/>
  <c r="G7" i="15"/>
  <c r="G10" i="15"/>
  <c r="H2" i="15"/>
  <c r="F48" i="15"/>
  <c r="F36" i="15"/>
  <c r="F5" i="15"/>
  <c r="F4" i="15" s="1"/>
  <c r="F13" i="15"/>
  <c r="F29" i="15"/>
  <c r="F24" i="15"/>
  <c r="F43" i="15"/>
  <c r="F56" i="15"/>
  <c r="D66" i="15"/>
  <c r="F24" i="14"/>
  <c r="E42" i="14"/>
  <c r="F36" i="14"/>
  <c r="F56" i="14"/>
  <c r="E4" i="14"/>
  <c r="F48" i="14"/>
  <c r="F13" i="14"/>
  <c r="F11" i="14" s="1"/>
  <c r="G65" i="14"/>
  <c r="G64" i="14"/>
  <c r="G60" i="14"/>
  <c r="G63" i="14"/>
  <c r="G61" i="14"/>
  <c r="G57" i="14"/>
  <c r="G53" i="14"/>
  <c r="G58" i="14"/>
  <c r="G50" i="14"/>
  <c r="G59" i="14"/>
  <c r="G54" i="14"/>
  <c r="G52" i="14"/>
  <c r="G55" i="14"/>
  <c r="G51" i="14"/>
  <c r="G49" i="14"/>
  <c r="G47" i="14"/>
  <c r="G46" i="14"/>
  <c r="G39" i="14"/>
  <c r="G35" i="14"/>
  <c r="G31" i="14"/>
  <c r="G40" i="14"/>
  <c r="G32" i="14"/>
  <c r="G28" i="14"/>
  <c r="G45" i="14"/>
  <c r="G38" i="14"/>
  <c r="G34" i="14"/>
  <c r="G44" i="14"/>
  <c r="G41" i="14"/>
  <c r="G37" i="14"/>
  <c r="G33" i="14"/>
  <c r="G30" i="14"/>
  <c r="G27" i="14"/>
  <c r="G22" i="14"/>
  <c r="G20" i="14"/>
  <c r="G16" i="14"/>
  <c r="G26" i="14"/>
  <c r="G21" i="14"/>
  <c r="G19" i="14"/>
  <c r="G18" i="14"/>
  <c r="G14" i="14"/>
  <c r="G8" i="14"/>
  <c r="G7" i="14"/>
  <c r="G15" i="14"/>
  <c r="G12" i="14"/>
  <c r="G9" i="14"/>
  <c r="G17" i="14"/>
  <c r="G10" i="14"/>
  <c r="H2" i="14"/>
  <c r="F43" i="14"/>
  <c r="F29" i="14"/>
  <c r="F62" i="14"/>
  <c r="F5" i="14"/>
  <c r="F4" i="14" s="1"/>
  <c r="D66" i="14"/>
  <c r="F43" i="13"/>
  <c r="F4" i="13"/>
  <c r="F48" i="13"/>
  <c r="E42" i="13"/>
  <c r="E23" i="13" s="1"/>
  <c r="E4" i="13"/>
  <c r="E3" i="13" s="1"/>
  <c r="F24" i="13"/>
  <c r="F29" i="13"/>
  <c r="F56" i="13"/>
  <c r="F62" i="13"/>
  <c r="G65" i="13"/>
  <c r="G61" i="13"/>
  <c r="G64" i="13"/>
  <c r="G60" i="13"/>
  <c r="G63" i="13"/>
  <c r="G57" i="13"/>
  <c r="G53" i="13"/>
  <c r="G58" i="13"/>
  <c r="G55" i="13"/>
  <c r="G50" i="13"/>
  <c r="G46" i="13"/>
  <c r="G54" i="13"/>
  <c r="G49" i="13"/>
  <c r="G45" i="13"/>
  <c r="G38" i="13"/>
  <c r="G59" i="13"/>
  <c r="G52" i="13"/>
  <c r="G51" i="13"/>
  <c r="G47" i="13"/>
  <c r="G44" i="13"/>
  <c r="G40" i="13"/>
  <c r="G35" i="13"/>
  <c r="G39" i="13"/>
  <c r="G33" i="13"/>
  <c r="G32" i="13"/>
  <c r="G26" i="13"/>
  <c r="G21" i="13"/>
  <c r="G17" i="13"/>
  <c r="G20" i="13"/>
  <c r="G31" i="13"/>
  <c r="G28" i="13"/>
  <c r="G19" i="13"/>
  <c r="G15" i="13"/>
  <c r="G41" i="13"/>
  <c r="G37" i="13"/>
  <c r="G34" i="13"/>
  <c r="G30" i="13"/>
  <c r="G27" i="13"/>
  <c r="G22" i="13"/>
  <c r="G18" i="13"/>
  <c r="G10" i="13"/>
  <c r="G16" i="13"/>
  <c r="G12" i="13"/>
  <c r="G9" i="13"/>
  <c r="G14" i="13"/>
  <c r="G8" i="13"/>
  <c r="G7" i="13"/>
  <c r="F36" i="13"/>
  <c r="D3" i="13"/>
  <c r="F13" i="13"/>
  <c r="N359" i="3"/>
  <c r="K333" i="3"/>
  <c r="N333" i="3" s="1"/>
  <c r="K336" i="3"/>
  <c r="N336" i="3" s="1"/>
  <c r="I23" i="20" l="1"/>
  <c r="I19" i="20"/>
  <c r="I15" i="20"/>
  <c r="I13" i="20"/>
  <c r="I12" i="20"/>
  <c r="I24" i="20"/>
  <c r="I20" i="20"/>
  <c r="I16" i="20"/>
  <c r="I18" i="20"/>
  <c r="I10" i="20"/>
  <c r="I21" i="20"/>
  <c r="I22" i="20"/>
  <c r="I11" i="20"/>
  <c r="I17" i="20"/>
  <c r="I14" i="20"/>
  <c r="I25" i="20"/>
  <c r="G66" i="19"/>
  <c r="F66" i="22"/>
  <c r="G24" i="14"/>
  <c r="I36" i="19"/>
  <c r="F66" i="21"/>
  <c r="F82" i="20"/>
  <c r="G36" i="15"/>
  <c r="H59" i="20"/>
  <c r="F66" i="19"/>
  <c r="G36" i="14"/>
  <c r="G3" i="22"/>
  <c r="G66" i="22" s="1"/>
  <c r="H5" i="23"/>
  <c r="H4" i="23" s="1"/>
  <c r="H13" i="18"/>
  <c r="H11" i="18" s="1"/>
  <c r="H5" i="24"/>
  <c r="H4" i="24" s="1"/>
  <c r="H5" i="20"/>
  <c r="H4" i="20" s="1"/>
  <c r="G42" i="23"/>
  <c r="G23" i="23" s="1"/>
  <c r="H29" i="23"/>
  <c r="I63" i="24"/>
  <c r="I58" i="24"/>
  <c r="I65" i="24"/>
  <c r="I61" i="24"/>
  <c r="I59" i="24"/>
  <c r="I55" i="24"/>
  <c r="I64" i="24"/>
  <c r="I57" i="24"/>
  <c r="I54" i="24"/>
  <c r="I49" i="24"/>
  <c r="I60" i="24"/>
  <c r="I53" i="24"/>
  <c r="I50" i="24"/>
  <c r="I47" i="24"/>
  <c r="I40" i="24"/>
  <c r="I46" i="24"/>
  <c r="I39" i="24"/>
  <c r="I35" i="24"/>
  <c r="I44" i="24"/>
  <c r="I52" i="24"/>
  <c r="I38" i="24"/>
  <c r="I34" i="24"/>
  <c r="I41" i="24"/>
  <c r="I37" i="24"/>
  <c r="I33" i="24"/>
  <c r="I51" i="24"/>
  <c r="I45" i="24"/>
  <c r="I26" i="24"/>
  <c r="I21" i="24"/>
  <c r="I17" i="24"/>
  <c r="I20" i="24"/>
  <c r="I16" i="24"/>
  <c r="I32" i="24"/>
  <c r="I31" i="24"/>
  <c r="I28" i="24"/>
  <c r="I19" i="24"/>
  <c r="I30" i="24"/>
  <c r="I27" i="24"/>
  <c r="I18" i="24"/>
  <c r="I14" i="24"/>
  <c r="I12" i="24"/>
  <c r="I7" i="24"/>
  <c r="I9" i="24"/>
  <c r="I22" i="24"/>
  <c r="I10" i="24"/>
  <c r="J2" i="24"/>
  <c r="I15" i="24"/>
  <c r="I8" i="24"/>
  <c r="G42" i="24"/>
  <c r="F66" i="24"/>
  <c r="G11" i="24"/>
  <c r="G3" i="24" s="1"/>
  <c r="H24" i="24"/>
  <c r="H48" i="24"/>
  <c r="H43" i="24"/>
  <c r="E66" i="24"/>
  <c r="H13" i="24"/>
  <c r="H29" i="24"/>
  <c r="H36" i="24"/>
  <c r="H56" i="24"/>
  <c r="H62" i="24"/>
  <c r="G4" i="23"/>
  <c r="E66" i="23"/>
  <c r="I63" i="23"/>
  <c r="I58" i="23"/>
  <c r="I65" i="23"/>
  <c r="I64" i="23"/>
  <c r="I61" i="23"/>
  <c r="I57" i="23"/>
  <c r="I53" i="23"/>
  <c r="I60" i="23"/>
  <c r="I49" i="23"/>
  <c r="I59" i="23"/>
  <c r="I55" i="23"/>
  <c r="I52" i="23"/>
  <c r="I54" i="23"/>
  <c r="I45" i="23"/>
  <c r="I44" i="23"/>
  <c r="I51" i="23"/>
  <c r="I47" i="23"/>
  <c r="I50" i="23"/>
  <c r="I40" i="23"/>
  <c r="I32" i="23"/>
  <c r="I39" i="23"/>
  <c r="I35" i="23"/>
  <c r="I46" i="23"/>
  <c r="I38" i="23"/>
  <c r="I34" i="23"/>
  <c r="I30" i="23"/>
  <c r="I33" i="23"/>
  <c r="I21" i="23"/>
  <c r="I28" i="23"/>
  <c r="I20" i="23"/>
  <c r="I16" i="23"/>
  <c r="I41" i="23"/>
  <c r="I37" i="23"/>
  <c r="I31" i="23"/>
  <c r="I27" i="23"/>
  <c r="I19" i="23"/>
  <c r="I15" i="23"/>
  <c r="I26" i="23"/>
  <c r="I14" i="23"/>
  <c r="I7" i="23"/>
  <c r="I18" i="23"/>
  <c r="I10" i="23"/>
  <c r="I17" i="23"/>
  <c r="I12" i="23"/>
  <c r="I9" i="23"/>
  <c r="I22" i="23"/>
  <c r="I8" i="23"/>
  <c r="J2" i="23"/>
  <c r="H13" i="23"/>
  <c r="H11" i="23" s="1"/>
  <c r="H24" i="23"/>
  <c r="H48" i="23"/>
  <c r="F66" i="23"/>
  <c r="H43" i="23"/>
  <c r="H56" i="23"/>
  <c r="H62" i="23"/>
  <c r="G11" i="23"/>
  <c r="H36" i="23"/>
  <c r="H13" i="22"/>
  <c r="H11" i="22" s="1"/>
  <c r="H62" i="22"/>
  <c r="H24" i="22"/>
  <c r="H29" i="22"/>
  <c r="H36" i="22"/>
  <c r="H43" i="22"/>
  <c r="H5" i="22"/>
  <c r="H4" i="22" s="1"/>
  <c r="H56" i="22"/>
  <c r="I63" i="22"/>
  <c r="I55" i="22"/>
  <c r="I53" i="22"/>
  <c r="I54" i="22"/>
  <c r="I52" i="22"/>
  <c r="I41" i="22"/>
  <c r="I34" i="22"/>
  <c r="I15" i="22"/>
  <c r="I31" i="22"/>
  <c r="I37" i="22"/>
  <c r="I44" i="22"/>
  <c r="I10" i="22"/>
  <c r="I12" i="22"/>
  <c r="I65" i="22"/>
  <c r="I47" i="22"/>
  <c r="I38" i="22"/>
  <c r="I27" i="22"/>
  <c r="I22" i="22"/>
  <c r="I7" i="22"/>
  <c r="I58" i="22"/>
  <c r="I64" i="22"/>
  <c r="I50" i="22"/>
  <c r="I49" i="22"/>
  <c r="I45" i="22"/>
  <c r="I35" i="22"/>
  <c r="I30" i="22"/>
  <c r="I28" i="22"/>
  <c r="I26" i="22"/>
  <c r="I16" i="22"/>
  <c r="J2" i="22"/>
  <c r="I61" i="22"/>
  <c r="I46" i="22"/>
  <c r="I51" i="22"/>
  <c r="I9" i="22"/>
  <c r="I21" i="22"/>
  <c r="I14" i="22"/>
  <c r="I59" i="22"/>
  <c r="I57" i="22"/>
  <c r="I60" i="22"/>
  <c r="I39" i="22"/>
  <c r="I32" i="22"/>
  <c r="I40" i="22"/>
  <c r="I19" i="22"/>
  <c r="I33" i="22"/>
  <c r="I18" i="22"/>
  <c r="I17" i="22"/>
  <c r="I20" i="22"/>
  <c r="I8" i="22"/>
  <c r="H48" i="22"/>
  <c r="E66" i="22"/>
  <c r="H13" i="21"/>
  <c r="H11" i="21" s="1"/>
  <c r="H48" i="21"/>
  <c r="H56" i="21"/>
  <c r="G42" i="21"/>
  <c r="G23" i="21" s="1"/>
  <c r="H29" i="21"/>
  <c r="H43" i="21"/>
  <c r="G4" i="21"/>
  <c r="H5" i="21"/>
  <c r="H4" i="21" s="1"/>
  <c r="E66" i="21"/>
  <c r="I63" i="21"/>
  <c r="I59" i="21"/>
  <c r="I58" i="21"/>
  <c r="I65" i="21"/>
  <c r="I64" i="21"/>
  <c r="I61" i="21"/>
  <c r="I57" i="21"/>
  <c r="I53" i="21"/>
  <c r="I60" i="21"/>
  <c r="I55" i="21"/>
  <c r="I51" i="21"/>
  <c r="I49" i="21"/>
  <c r="I44" i="21"/>
  <c r="I41" i="21"/>
  <c r="I52" i="21"/>
  <c r="I47" i="21"/>
  <c r="I40" i="21"/>
  <c r="I46" i="21"/>
  <c r="I37" i="21"/>
  <c r="I31" i="21"/>
  <c r="I28" i="21"/>
  <c r="I54" i="21"/>
  <c r="I45" i="21"/>
  <c r="I35" i="21"/>
  <c r="I30" i="21"/>
  <c r="I27" i="21"/>
  <c r="I39" i="21"/>
  <c r="I34" i="21"/>
  <c r="I26" i="21"/>
  <c r="I21" i="21"/>
  <c r="I17" i="21"/>
  <c r="I50" i="21"/>
  <c r="I16" i="21"/>
  <c r="I33" i="21"/>
  <c r="I20" i="21"/>
  <c r="I15" i="21"/>
  <c r="I32" i="21"/>
  <c r="I19" i="21"/>
  <c r="I38" i="21"/>
  <c r="I22" i="21"/>
  <c r="I18" i="21"/>
  <c r="I12" i="21"/>
  <c r="I9" i="21"/>
  <c r="I14" i="21"/>
  <c r="I8" i="21"/>
  <c r="I7" i="21"/>
  <c r="I10" i="21"/>
  <c r="J2" i="21"/>
  <c r="H24" i="21"/>
  <c r="H62" i="21"/>
  <c r="H36" i="21"/>
  <c r="I79" i="20"/>
  <c r="I75" i="20"/>
  <c r="I74" i="20"/>
  <c r="I81" i="20"/>
  <c r="I80" i="20"/>
  <c r="I77" i="20"/>
  <c r="I71" i="20"/>
  <c r="I68" i="20"/>
  <c r="I70" i="20"/>
  <c r="I67" i="20"/>
  <c r="I66" i="20"/>
  <c r="I63" i="20"/>
  <c r="I73" i="20"/>
  <c r="I69" i="20"/>
  <c r="I65" i="20"/>
  <c r="I62" i="20"/>
  <c r="I55" i="20"/>
  <c r="I76" i="20"/>
  <c r="I53" i="20"/>
  <c r="I49" i="20"/>
  <c r="I61" i="20"/>
  <c r="I57" i="20"/>
  <c r="I48" i="20"/>
  <c r="I60" i="20"/>
  <c r="I56" i="20"/>
  <c r="I51" i="20"/>
  <c r="I47" i="20"/>
  <c r="I44" i="20"/>
  <c r="I36" i="20"/>
  <c r="I32" i="20"/>
  <c r="I26" i="20"/>
  <c r="I46" i="20"/>
  <c r="I35" i="20"/>
  <c r="I31" i="20"/>
  <c r="I28" i="20"/>
  <c r="I50" i="20"/>
  <c r="I38" i="20"/>
  <c r="I34" i="20"/>
  <c r="I42" i="20"/>
  <c r="I37" i="20"/>
  <c r="I8" i="20"/>
  <c r="I30" i="20"/>
  <c r="I54" i="20"/>
  <c r="I33" i="20"/>
  <c r="I9" i="20"/>
  <c r="I43" i="20"/>
  <c r="I7" i="20"/>
  <c r="J2" i="20"/>
  <c r="H64" i="20"/>
  <c r="H45" i="20"/>
  <c r="H78" i="20"/>
  <c r="G3" i="20"/>
  <c r="H29" i="20"/>
  <c r="H27" i="20" s="1"/>
  <c r="H40" i="20"/>
  <c r="E82" i="20"/>
  <c r="H52" i="20"/>
  <c r="H72" i="20"/>
  <c r="G58" i="20"/>
  <c r="I48" i="19"/>
  <c r="H3" i="19"/>
  <c r="I43" i="19"/>
  <c r="H42" i="19"/>
  <c r="I56" i="19"/>
  <c r="I62" i="19"/>
  <c r="I5" i="19"/>
  <c r="I29" i="19"/>
  <c r="J65" i="19"/>
  <c r="J61" i="19"/>
  <c r="J57" i="19"/>
  <c r="J64" i="19"/>
  <c r="J60" i="19"/>
  <c r="J63" i="19"/>
  <c r="J59" i="19"/>
  <c r="J55" i="19"/>
  <c r="J53" i="19"/>
  <c r="J51" i="19"/>
  <c r="J58" i="19"/>
  <c r="J54" i="19"/>
  <c r="J50" i="19"/>
  <c r="J46" i="19"/>
  <c r="J39" i="19"/>
  <c r="J35" i="19"/>
  <c r="J49" i="19"/>
  <c r="J45" i="19"/>
  <c r="J52" i="19"/>
  <c r="J44" i="19"/>
  <c r="J41" i="19"/>
  <c r="J34" i="19"/>
  <c r="J32" i="19"/>
  <c r="J47" i="19"/>
  <c r="J40" i="19"/>
  <c r="J33" i="19"/>
  <c r="J31" i="19"/>
  <c r="J28" i="19"/>
  <c r="J19" i="19"/>
  <c r="J38" i="19"/>
  <c r="J37" i="19"/>
  <c r="J21" i="19"/>
  <c r="J20" i="19"/>
  <c r="J27" i="19"/>
  <c r="J18" i="19"/>
  <c r="J14" i="19"/>
  <c r="J30" i="19"/>
  <c r="J26" i="19"/>
  <c r="J22" i="19"/>
  <c r="K2" i="19"/>
  <c r="J10" i="19"/>
  <c r="J17" i="19"/>
  <c r="J16" i="19"/>
  <c r="J15" i="19"/>
  <c r="J12" i="19"/>
  <c r="J9" i="19"/>
  <c r="J8" i="19"/>
  <c r="J7" i="19"/>
  <c r="I13" i="19"/>
  <c r="I11" i="19" s="1"/>
  <c r="I24" i="19"/>
  <c r="E66" i="19"/>
  <c r="H23" i="19"/>
  <c r="G3" i="18"/>
  <c r="H24" i="18"/>
  <c r="H43" i="18"/>
  <c r="H5" i="18"/>
  <c r="H4" i="18" s="1"/>
  <c r="H36" i="18"/>
  <c r="H29" i="18"/>
  <c r="G42" i="18"/>
  <c r="I63" i="18"/>
  <c r="I59" i="18"/>
  <c r="I54" i="18"/>
  <c r="I65" i="18"/>
  <c r="I61" i="18"/>
  <c r="I57" i="18"/>
  <c r="I52" i="18"/>
  <c r="I60" i="18"/>
  <c r="I58" i="18"/>
  <c r="I55" i="18"/>
  <c r="I51" i="18"/>
  <c r="I64" i="18"/>
  <c r="I53" i="18"/>
  <c r="I50" i="18"/>
  <c r="I46" i="18"/>
  <c r="I39" i="18"/>
  <c r="I49" i="18"/>
  <c r="I45" i="18"/>
  <c r="I38" i="18"/>
  <c r="I44" i="18"/>
  <c r="I41" i="18"/>
  <c r="I37" i="18"/>
  <c r="I47" i="18"/>
  <c r="I40" i="18"/>
  <c r="I33" i="18"/>
  <c r="I26" i="18"/>
  <c r="I21" i="18"/>
  <c r="I32" i="18"/>
  <c r="I20" i="18"/>
  <c r="I35" i="18"/>
  <c r="I31" i="18"/>
  <c r="I28" i="18"/>
  <c r="I34" i="18"/>
  <c r="I30" i="18"/>
  <c r="I27" i="18"/>
  <c r="I19" i="18"/>
  <c r="I15" i="18"/>
  <c r="I12" i="18"/>
  <c r="I9" i="18"/>
  <c r="I22" i="18"/>
  <c r="I18" i="18"/>
  <c r="I14" i="18"/>
  <c r="I8" i="18"/>
  <c r="J2" i="18"/>
  <c r="I17" i="18"/>
  <c r="I7" i="18"/>
  <c r="I16" i="18"/>
  <c r="I10" i="18"/>
  <c r="H48" i="18"/>
  <c r="H56" i="18"/>
  <c r="H62" i="18"/>
  <c r="F3" i="18"/>
  <c r="G48" i="16"/>
  <c r="G43" i="16"/>
  <c r="G24" i="16"/>
  <c r="G56" i="16"/>
  <c r="G13" i="16"/>
  <c r="G11" i="16" s="1"/>
  <c r="G29" i="16"/>
  <c r="G36" i="16"/>
  <c r="G62" i="16"/>
  <c r="E3" i="16"/>
  <c r="F11" i="16"/>
  <c r="F42" i="16"/>
  <c r="F23" i="16" s="1"/>
  <c r="G5" i="16"/>
  <c r="H64" i="16"/>
  <c r="H63" i="16"/>
  <c r="H59" i="16"/>
  <c r="H60" i="16"/>
  <c r="H58" i="16"/>
  <c r="H61" i="16"/>
  <c r="H54" i="16"/>
  <c r="H51" i="16"/>
  <c r="H65" i="16"/>
  <c r="H55" i="16"/>
  <c r="H52" i="16"/>
  <c r="H57" i="16"/>
  <c r="H50" i="16"/>
  <c r="H47" i="16"/>
  <c r="H53" i="16"/>
  <c r="H49" i="16"/>
  <c r="H46" i="16"/>
  <c r="H39" i="16"/>
  <c r="H45" i="16"/>
  <c r="H38" i="16"/>
  <c r="H34" i="16"/>
  <c r="H37" i="16"/>
  <c r="H33" i="16"/>
  <c r="H41" i="16"/>
  <c r="H32" i="16"/>
  <c r="H44" i="16"/>
  <c r="H40" i="16"/>
  <c r="H35" i="16"/>
  <c r="H31" i="16"/>
  <c r="H28" i="16"/>
  <c r="H26" i="16"/>
  <c r="H21" i="16"/>
  <c r="H17" i="16"/>
  <c r="H20" i="16"/>
  <c r="H16" i="16"/>
  <c r="H19" i="16"/>
  <c r="H15" i="16"/>
  <c r="H12" i="16"/>
  <c r="H30" i="16"/>
  <c r="H27" i="16"/>
  <c r="H22" i="16"/>
  <c r="H18" i="16"/>
  <c r="H8" i="16"/>
  <c r="I2" i="16"/>
  <c r="H14" i="16"/>
  <c r="H7" i="16"/>
  <c r="H10" i="16"/>
  <c r="H9" i="16"/>
  <c r="G5" i="15"/>
  <c r="G4" i="15" s="1"/>
  <c r="G13" i="15"/>
  <c r="G11" i="15" s="1"/>
  <c r="G29" i="15"/>
  <c r="G56" i="15"/>
  <c r="E3" i="15"/>
  <c r="G62" i="15"/>
  <c r="G24" i="15"/>
  <c r="F42" i="15"/>
  <c r="F23" i="15" s="1"/>
  <c r="H64" i="15"/>
  <c r="H63" i="15"/>
  <c r="H59" i="15"/>
  <c r="H60" i="15"/>
  <c r="H58" i="15"/>
  <c r="H52" i="15"/>
  <c r="H57" i="15"/>
  <c r="H54" i="15"/>
  <c r="H51" i="15"/>
  <c r="H61" i="15"/>
  <c r="H53" i="15"/>
  <c r="H50" i="15"/>
  <c r="H47" i="15"/>
  <c r="H40" i="15"/>
  <c r="H65" i="15"/>
  <c r="H55" i="15"/>
  <c r="H49" i="15"/>
  <c r="H46" i="15"/>
  <c r="H39" i="15"/>
  <c r="H35" i="15"/>
  <c r="H45" i="15"/>
  <c r="H38" i="15"/>
  <c r="H34" i="15"/>
  <c r="H41" i="15"/>
  <c r="H37" i="15"/>
  <c r="H32" i="15"/>
  <c r="H31" i="15"/>
  <c r="H28" i="15"/>
  <c r="H44" i="15"/>
  <c r="H30" i="15"/>
  <c r="H27" i="15"/>
  <c r="H22" i="15"/>
  <c r="H18" i="15"/>
  <c r="H33" i="15"/>
  <c r="H26" i="15"/>
  <c r="H21" i="15"/>
  <c r="H17" i="15"/>
  <c r="H20" i="15"/>
  <c r="H16" i="15"/>
  <c r="H14" i="15"/>
  <c r="H10" i="15"/>
  <c r="H15" i="15"/>
  <c r="H8" i="15"/>
  <c r="H19" i="15"/>
  <c r="H12" i="15"/>
  <c r="H7" i="15"/>
  <c r="H9" i="15"/>
  <c r="I2" i="15"/>
  <c r="G48" i="15"/>
  <c r="F11" i="15"/>
  <c r="F3" i="15" s="1"/>
  <c r="G43" i="15"/>
  <c r="G43" i="14"/>
  <c r="G5" i="14"/>
  <c r="G4" i="14" s="1"/>
  <c r="G56" i="14"/>
  <c r="F42" i="14"/>
  <c r="F23" i="14" s="1"/>
  <c r="F3" i="14"/>
  <c r="H64" i="14"/>
  <c r="H63" i="14"/>
  <c r="H59" i="14"/>
  <c r="H61" i="14"/>
  <c r="H60" i="14"/>
  <c r="H57" i="14"/>
  <c r="H54" i="14"/>
  <c r="H49" i="14"/>
  <c r="H53" i="14"/>
  <c r="H52" i="14"/>
  <c r="H55" i="14"/>
  <c r="H51" i="14"/>
  <c r="H65" i="14"/>
  <c r="H58" i="14"/>
  <c r="H50" i="14"/>
  <c r="H47" i="14"/>
  <c r="H46" i="14"/>
  <c r="H45" i="14"/>
  <c r="H38" i="14"/>
  <c r="H34" i="14"/>
  <c r="H30" i="14"/>
  <c r="H39" i="14"/>
  <c r="H35" i="14"/>
  <c r="H31" i="14"/>
  <c r="H27" i="14"/>
  <c r="H22" i="14"/>
  <c r="H44" i="14"/>
  <c r="H41" i="14"/>
  <c r="H37" i="14"/>
  <c r="H33" i="14"/>
  <c r="H26" i="14"/>
  <c r="H21" i="14"/>
  <c r="H19" i="14"/>
  <c r="H15" i="14"/>
  <c r="H32" i="14"/>
  <c r="H40" i="14"/>
  <c r="H28" i="14"/>
  <c r="H20" i="14"/>
  <c r="H7" i="14"/>
  <c r="H17" i="14"/>
  <c r="H10" i="14"/>
  <c r="H14" i="14"/>
  <c r="H8" i="14"/>
  <c r="H16" i="14"/>
  <c r="H12" i="14"/>
  <c r="H9" i="14"/>
  <c r="I2" i="14"/>
  <c r="H18" i="14"/>
  <c r="G13" i="14"/>
  <c r="G11" i="14" s="1"/>
  <c r="G62" i="14"/>
  <c r="E3" i="14"/>
  <c r="E23" i="14"/>
  <c r="G29" i="14"/>
  <c r="G48" i="14"/>
  <c r="F42" i="13"/>
  <c r="F23" i="13" s="1"/>
  <c r="G29" i="13"/>
  <c r="G5" i="13"/>
  <c r="G43" i="13"/>
  <c r="G36" i="13"/>
  <c r="D66" i="13"/>
  <c r="G24" i="13"/>
  <c r="G56" i="13"/>
  <c r="F11" i="13"/>
  <c r="G13" i="13"/>
  <c r="G11" i="13" s="1"/>
  <c r="H64" i="13"/>
  <c r="H60" i="13"/>
  <c r="H63" i="13"/>
  <c r="H59" i="13"/>
  <c r="H61" i="13"/>
  <c r="H52" i="13"/>
  <c r="H54" i="13"/>
  <c r="H57" i="13"/>
  <c r="H49" i="13"/>
  <c r="H45" i="13"/>
  <c r="H53" i="13"/>
  <c r="H44" i="13"/>
  <c r="H41" i="13"/>
  <c r="H37" i="13"/>
  <c r="H58" i="13"/>
  <c r="H51" i="13"/>
  <c r="H47" i="13"/>
  <c r="H65" i="13"/>
  <c r="H55" i="13"/>
  <c r="H50" i="13"/>
  <c r="H46" i="13"/>
  <c r="H34" i="13"/>
  <c r="H39" i="13"/>
  <c r="H38" i="13"/>
  <c r="H32" i="13"/>
  <c r="H20" i="13"/>
  <c r="H16" i="13"/>
  <c r="H35" i="13"/>
  <c r="H31" i="13"/>
  <c r="H28" i="13"/>
  <c r="H19" i="13"/>
  <c r="H40" i="13"/>
  <c r="H30" i="13"/>
  <c r="H27" i="13"/>
  <c r="H22" i="13"/>
  <c r="H18" i="13"/>
  <c r="H14" i="13"/>
  <c r="H33" i="13"/>
  <c r="H26" i="13"/>
  <c r="H21" i="13"/>
  <c r="H17" i="13"/>
  <c r="H12" i="13"/>
  <c r="H9" i="13"/>
  <c r="H15" i="13"/>
  <c r="H8" i="13"/>
  <c r="H7" i="13"/>
  <c r="H10" i="13"/>
  <c r="G48" i="13"/>
  <c r="G62" i="13"/>
  <c r="I329" i="3"/>
  <c r="J329" i="3" s="1"/>
  <c r="K329" i="3" s="1"/>
  <c r="J296" i="3"/>
  <c r="I264" i="3"/>
  <c r="J264" i="3" s="1"/>
  <c r="K264" i="3" s="1"/>
  <c r="K228" i="3"/>
  <c r="K229" i="3"/>
  <c r="K230" i="3"/>
  <c r="K247" i="3"/>
  <c r="K254" i="3"/>
  <c r="K255" i="3"/>
  <c r="K256" i="3"/>
  <c r="K257" i="3"/>
  <c r="K258" i="3"/>
  <c r="K259" i="3"/>
  <c r="K260" i="3"/>
  <c r="K261" i="3"/>
  <c r="K262" i="3"/>
  <c r="K263" i="3"/>
  <c r="J334" i="3"/>
  <c r="K334" i="3" s="1"/>
  <c r="J332" i="3"/>
  <c r="J331" i="3"/>
  <c r="K331" i="3" s="1"/>
  <c r="J396" i="2"/>
  <c r="K396" i="2" s="1"/>
  <c r="N396" i="2" s="1"/>
  <c r="J395" i="2"/>
  <c r="K395" i="2" s="1"/>
  <c r="N395" i="2" s="1"/>
  <c r="J394" i="2"/>
  <c r="K394" i="2" s="1"/>
  <c r="N394" i="2" s="1"/>
  <c r="J393" i="2"/>
  <c r="K393" i="2" s="1"/>
  <c r="N393" i="2" s="1"/>
  <c r="J391" i="2"/>
  <c r="K391" i="2" s="1"/>
  <c r="N391" i="2" s="1"/>
  <c r="J392" i="2"/>
  <c r="K392" i="2" s="1"/>
  <c r="N392" i="2" s="1"/>
  <c r="J390" i="2"/>
  <c r="K390" i="2" s="1"/>
  <c r="N390" i="2" s="1"/>
  <c r="J389" i="2"/>
  <c r="K389" i="2" s="1"/>
  <c r="N389" i="2" s="1"/>
  <c r="J388" i="2"/>
  <c r="K388" i="2" s="1"/>
  <c r="N388" i="2" s="1"/>
  <c r="J387" i="2"/>
  <c r="K387" i="2" s="1"/>
  <c r="N387" i="2" s="1"/>
  <c r="J386" i="2"/>
  <c r="K386" i="2" s="1"/>
  <c r="N386" i="2" s="1"/>
  <c r="J385" i="2"/>
  <c r="K385" i="2" s="1"/>
  <c r="N385" i="2" s="1"/>
  <c r="J384" i="2"/>
  <c r="K384" i="2" s="1"/>
  <c r="N384" i="2" s="1"/>
  <c r="J383" i="2"/>
  <c r="K383" i="2" s="1"/>
  <c r="N383" i="2" s="1"/>
  <c r="J382" i="2"/>
  <c r="K382" i="2" s="1"/>
  <c r="N382" i="2" s="1"/>
  <c r="J381" i="2"/>
  <c r="K381" i="2" s="1"/>
  <c r="N381" i="2" s="1"/>
  <c r="J380" i="2"/>
  <c r="K380" i="2" s="1"/>
  <c r="N380" i="2" s="1"/>
  <c r="J379" i="2"/>
  <c r="K379" i="2" s="1"/>
  <c r="N379" i="2" s="1"/>
  <c r="J376" i="2"/>
  <c r="K376" i="2" s="1"/>
  <c r="N376" i="2" s="1"/>
  <c r="J377" i="2"/>
  <c r="K377" i="2" s="1"/>
  <c r="N377" i="2" s="1"/>
  <c r="J378" i="2"/>
  <c r="K378" i="2" s="1"/>
  <c r="N378" i="2" s="1"/>
  <c r="J375" i="2"/>
  <c r="K375" i="2" s="1"/>
  <c r="N375" i="2" s="1"/>
  <c r="J374" i="2"/>
  <c r="K374" i="2" s="1"/>
  <c r="N374" i="2" s="1"/>
  <c r="J373" i="2"/>
  <c r="K373" i="2" s="1"/>
  <c r="N373" i="2" s="1"/>
  <c r="J372" i="2"/>
  <c r="K372" i="2" s="1"/>
  <c r="N372" i="2" s="1"/>
  <c r="J371" i="2"/>
  <c r="K371" i="2" s="1"/>
  <c r="N371" i="2" s="1"/>
  <c r="J330" i="3"/>
  <c r="K330" i="3" s="1"/>
  <c r="N330" i="3" s="1"/>
  <c r="J328" i="3"/>
  <c r="K328" i="3" s="1"/>
  <c r="J327" i="3"/>
  <c r="K327" i="3" s="1"/>
  <c r="J326" i="3"/>
  <c r="K326" i="3" s="1"/>
  <c r="J325" i="3"/>
  <c r="N325" i="3"/>
  <c r="J324" i="3"/>
  <c r="K324" i="3" s="1"/>
  <c r="J323" i="3"/>
  <c r="K323" i="3" s="1"/>
  <c r="J322" i="3"/>
  <c r="K322" i="3" s="1"/>
  <c r="J321" i="3"/>
  <c r="J320" i="3"/>
  <c r="K320" i="3" s="1"/>
  <c r="J319" i="3"/>
  <c r="K319" i="3" s="1"/>
  <c r="J318" i="3"/>
  <c r="K318" i="3" s="1"/>
  <c r="AJ6" i="1"/>
  <c r="AJ25" i="1"/>
  <c r="E65" i="1"/>
  <c r="E64" i="1"/>
  <c r="E63" i="1"/>
  <c r="E61" i="1"/>
  <c r="E60" i="1"/>
  <c r="E59" i="1"/>
  <c r="E58" i="1"/>
  <c r="E57" i="1"/>
  <c r="E55" i="1"/>
  <c r="E54" i="1"/>
  <c r="E52" i="1"/>
  <c r="E51" i="1"/>
  <c r="E50" i="1"/>
  <c r="E49" i="1"/>
  <c r="E47" i="1"/>
  <c r="E46" i="1"/>
  <c r="E45" i="1"/>
  <c r="E44" i="1"/>
  <c r="D42" i="1"/>
  <c r="D5" i="1"/>
  <c r="J230" i="2"/>
  <c r="K230" i="2" s="1"/>
  <c r="J231" i="2"/>
  <c r="K231" i="2" s="1"/>
  <c r="N231" i="2" s="1"/>
  <c r="J232" i="2"/>
  <c r="K232" i="2" s="1"/>
  <c r="N232" i="2" s="1"/>
  <c r="J233" i="2"/>
  <c r="K233" i="2" s="1"/>
  <c r="N233" i="2" s="1"/>
  <c r="J234" i="2"/>
  <c r="K234" i="2" s="1"/>
  <c r="N234" i="2" s="1"/>
  <c r="J343" i="2"/>
  <c r="K343" i="2" s="1"/>
  <c r="N343" i="2" s="1"/>
  <c r="J345" i="2"/>
  <c r="K345" i="2" s="1"/>
  <c r="N345" i="2" s="1"/>
  <c r="J344" i="2"/>
  <c r="K344" i="2" s="1"/>
  <c r="N344" i="2" s="1"/>
  <c r="J338" i="2"/>
  <c r="K338" i="2" s="1"/>
  <c r="J335" i="2"/>
  <c r="K335" i="2" s="1"/>
  <c r="N335" i="2" s="1"/>
  <c r="J337" i="2"/>
  <c r="K337" i="2" s="1"/>
  <c r="N337" i="2" s="1"/>
  <c r="J336" i="2"/>
  <c r="K336" i="2" s="1"/>
  <c r="N336" i="2" s="1"/>
  <c r="J339" i="2"/>
  <c r="K339" i="2" s="1"/>
  <c r="N339" i="2" s="1"/>
  <c r="J340" i="2"/>
  <c r="K340" i="2" s="1"/>
  <c r="N340" i="2" s="1"/>
  <c r="J341" i="2"/>
  <c r="K341" i="2" s="1"/>
  <c r="N341" i="2" s="1"/>
  <c r="J342" i="2"/>
  <c r="K342" i="2" s="1"/>
  <c r="N342" i="2" s="1"/>
  <c r="J333" i="2"/>
  <c r="K333" i="2" s="1"/>
  <c r="N333" i="2" s="1"/>
  <c r="J334" i="2"/>
  <c r="K334" i="2" s="1"/>
  <c r="N334" i="2" s="1"/>
  <c r="J332" i="2"/>
  <c r="K332" i="2" s="1"/>
  <c r="N332" i="2" s="1"/>
  <c r="J331" i="2"/>
  <c r="K331" i="2" s="1"/>
  <c r="N331" i="2" s="1"/>
  <c r="J328" i="2"/>
  <c r="K328" i="2" s="1"/>
  <c r="N328" i="2" s="1"/>
  <c r="J329" i="2"/>
  <c r="K329" i="2" s="1"/>
  <c r="N329" i="2" s="1"/>
  <c r="J330" i="2"/>
  <c r="K330" i="2" s="1"/>
  <c r="N330" i="2" s="1"/>
  <c r="J326" i="2"/>
  <c r="K326" i="2" s="1"/>
  <c r="N326" i="2" s="1"/>
  <c r="J327" i="2"/>
  <c r="K327" i="2" s="1"/>
  <c r="N327" i="2" s="1"/>
  <c r="J66" i="2"/>
  <c r="J12" i="20" l="1"/>
  <c r="J21" i="20"/>
  <c r="J24" i="20"/>
  <c r="J20" i="20"/>
  <c r="J16" i="20"/>
  <c r="J25" i="20"/>
  <c r="J17" i="20"/>
  <c r="J13" i="20"/>
  <c r="J10" i="20"/>
  <c r="J19" i="20"/>
  <c r="J22" i="20"/>
  <c r="J14" i="20"/>
  <c r="J18" i="20"/>
  <c r="J15" i="20"/>
  <c r="J23" i="20"/>
  <c r="J11" i="20"/>
  <c r="AK6" i="1"/>
  <c r="F6" i="27"/>
  <c r="P6" i="27" s="1"/>
  <c r="AK25" i="1"/>
  <c r="F25" i="27"/>
  <c r="P25" i="27" s="1"/>
  <c r="H3" i="20"/>
  <c r="H66" i="19"/>
  <c r="H56" i="16"/>
  <c r="J36" i="19"/>
  <c r="H58" i="20"/>
  <c r="H39" i="20" s="1"/>
  <c r="I48" i="22"/>
  <c r="H43" i="16"/>
  <c r="J24" i="19"/>
  <c r="H36" i="15"/>
  <c r="G42" i="14"/>
  <c r="G23" i="14" s="1"/>
  <c r="I24" i="22"/>
  <c r="H5" i="16"/>
  <c r="H4" i="16" s="1"/>
  <c r="I13" i="22"/>
  <c r="I11" i="22" s="1"/>
  <c r="I29" i="24"/>
  <c r="H42" i="24"/>
  <c r="H23" i="24" s="1"/>
  <c r="H11" i="24"/>
  <c r="H3" i="24" s="1"/>
  <c r="I43" i="24"/>
  <c r="I5" i="24"/>
  <c r="I48" i="24"/>
  <c r="J65" i="24"/>
  <c r="J61" i="24"/>
  <c r="J57" i="24"/>
  <c r="J60" i="24"/>
  <c r="J64" i="24"/>
  <c r="J58" i="24"/>
  <c r="J54" i="24"/>
  <c r="J63" i="24"/>
  <c r="J53" i="24"/>
  <c r="J52" i="24"/>
  <c r="J59" i="24"/>
  <c r="J49" i="24"/>
  <c r="J46" i="24"/>
  <c r="J39" i="24"/>
  <c r="J35" i="24"/>
  <c r="J45" i="24"/>
  <c r="J38" i="24"/>
  <c r="J55" i="24"/>
  <c r="J47" i="24"/>
  <c r="J41" i="24"/>
  <c r="J37" i="24"/>
  <c r="J51" i="24"/>
  <c r="J40" i="24"/>
  <c r="J32" i="24"/>
  <c r="J50" i="24"/>
  <c r="J44" i="24"/>
  <c r="J34" i="24"/>
  <c r="J33" i="24"/>
  <c r="J20" i="24"/>
  <c r="J16" i="24"/>
  <c r="J31" i="24"/>
  <c r="J28" i="24"/>
  <c r="J19" i="24"/>
  <c r="J15" i="24"/>
  <c r="J30" i="24"/>
  <c r="J27" i="24"/>
  <c r="J22" i="24"/>
  <c r="J17" i="24"/>
  <c r="J10" i="24"/>
  <c r="J7" i="24"/>
  <c r="J21" i="24"/>
  <c r="J9" i="24"/>
  <c r="K2" i="24"/>
  <c r="J8" i="24"/>
  <c r="J26" i="24"/>
  <c r="J18" i="24"/>
  <c r="J14" i="24"/>
  <c r="J12" i="24"/>
  <c r="G23" i="24"/>
  <c r="I62" i="24"/>
  <c r="I13" i="24"/>
  <c r="I11" i="24" s="1"/>
  <c r="I24" i="24"/>
  <c r="I36" i="24"/>
  <c r="I56" i="24"/>
  <c r="I36" i="23"/>
  <c r="I48" i="23"/>
  <c r="I62" i="23"/>
  <c r="G3" i="23"/>
  <c r="J65" i="23"/>
  <c r="J61" i="23"/>
  <c r="J57" i="23"/>
  <c r="J64" i="23"/>
  <c r="J63" i="23"/>
  <c r="J60" i="23"/>
  <c r="J59" i="23"/>
  <c r="J55" i="23"/>
  <c r="J52" i="23"/>
  <c r="J58" i="23"/>
  <c r="J54" i="23"/>
  <c r="J53" i="23"/>
  <c r="J51" i="23"/>
  <c r="J47" i="23"/>
  <c r="J50" i="23"/>
  <c r="J46" i="23"/>
  <c r="J39" i="23"/>
  <c r="J35" i="23"/>
  <c r="J31" i="23"/>
  <c r="J28" i="23"/>
  <c r="J38" i="23"/>
  <c r="J45" i="23"/>
  <c r="J44" i="23"/>
  <c r="J41" i="23"/>
  <c r="J37" i="23"/>
  <c r="J33" i="23"/>
  <c r="J49" i="23"/>
  <c r="J32" i="23"/>
  <c r="J20" i="23"/>
  <c r="J27" i="23"/>
  <c r="J19" i="23"/>
  <c r="J15" i="23"/>
  <c r="J40" i="23"/>
  <c r="J34" i="23"/>
  <c r="J30" i="23"/>
  <c r="J26" i="23"/>
  <c r="J22" i="23"/>
  <c r="J18" i="23"/>
  <c r="J10" i="23"/>
  <c r="J17" i="23"/>
  <c r="J12" i="23"/>
  <c r="J9" i="23"/>
  <c r="K2" i="23"/>
  <c r="J16" i="23"/>
  <c r="J21" i="23"/>
  <c r="J14" i="23"/>
  <c r="J7" i="23"/>
  <c r="J8" i="23"/>
  <c r="I5" i="23"/>
  <c r="H3" i="23"/>
  <c r="I13" i="23"/>
  <c r="I11" i="23" s="1"/>
  <c r="I43" i="23"/>
  <c r="H42" i="23"/>
  <c r="I24" i="23"/>
  <c r="I29" i="23"/>
  <c r="I56" i="23"/>
  <c r="I5" i="22"/>
  <c r="I4" i="22" s="1"/>
  <c r="I43" i="22"/>
  <c r="I56" i="22"/>
  <c r="J65" i="22"/>
  <c r="J64" i="22"/>
  <c r="J55" i="22"/>
  <c r="J52" i="22"/>
  <c r="J41" i="22"/>
  <c r="J28" i="22"/>
  <c r="J50" i="22"/>
  <c r="J33" i="22"/>
  <c r="J32" i="22"/>
  <c r="J21" i="22"/>
  <c r="J10" i="22"/>
  <c r="J8" i="22"/>
  <c r="J61" i="22"/>
  <c r="J63" i="22"/>
  <c r="J54" i="22"/>
  <c r="J45" i="22"/>
  <c r="J46" i="22"/>
  <c r="J47" i="22"/>
  <c r="J39" i="22"/>
  <c r="J22" i="22"/>
  <c r="J30" i="22"/>
  <c r="J20" i="22"/>
  <c r="K2" i="22"/>
  <c r="J17" i="22"/>
  <c r="J57" i="22"/>
  <c r="J60" i="22"/>
  <c r="J49" i="22"/>
  <c r="J51" i="22"/>
  <c r="J35" i="22"/>
  <c r="J40" i="22"/>
  <c r="J38" i="22"/>
  <c r="J18" i="22"/>
  <c r="J27" i="22"/>
  <c r="J16" i="22"/>
  <c r="J19" i="22"/>
  <c r="J7" i="22"/>
  <c r="J58" i="22"/>
  <c r="J59" i="22"/>
  <c r="J53" i="22"/>
  <c r="J44" i="22"/>
  <c r="J31" i="22"/>
  <c r="J34" i="22"/>
  <c r="J37" i="22"/>
  <c r="J14" i="22"/>
  <c r="J26" i="22"/>
  <c r="J15" i="22"/>
  <c r="J9" i="22"/>
  <c r="J12" i="22"/>
  <c r="I29" i="22"/>
  <c r="I36" i="22"/>
  <c r="H42" i="22"/>
  <c r="H23" i="22" s="1"/>
  <c r="I62" i="22"/>
  <c r="H3" i="22"/>
  <c r="I24" i="21"/>
  <c r="I56" i="21"/>
  <c r="G3" i="21"/>
  <c r="H42" i="21"/>
  <c r="H23" i="21" s="1"/>
  <c r="I36" i="21"/>
  <c r="I5" i="21"/>
  <c r="I4" i="21" s="1"/>
  <c r="I29" i="21"/>
  <c r="I43" i="21"/>
  <c r="I62" i="21"/>
  <c r="H3" i="21"/>
  <c r="J65" i="21"/>
  <c r="J61" i="21"/>
  <c r="J57" i="21"/>
  <c r="J64" i="21"/>
  <c r="J63" i="21"/>
  <c r="J60" i="21"/>
  <c r="J55" i="21"/>
  <c r="J52" i="21"/>
  <c r="J58" i="21"/>
  <c r="J59" i="21"/>
  <c r="J53" i="21"/>
  <c r="J47" i="21"/>
  <c r="J54" i="21"/>
  <c r="J46" i="21"/>
  <c r="J39" i="21"/>
  <c r="J35" i="21"/>
  <c r="J45" i="21"/>
  <c r="J41" i="21"/>
  <c r="J40" i="21"/>
  <c r="J30" i="21"/>
  <c r="J27" i="21"/>
  <c r="J44" i="21"/>
  <c r="J34" i="21"/>
  <c r="J50" i="21"/>
  <c r="J38" i="21"/>
  <c r="J33" i="21"/>
  <c r="J32" i="21"/>
  <c r="J20" i="21"/>
  <c r="J51" i="21"/>
  <c r="J49" i="21"/>
  <c r="J28" i="21"/>
  <c r="J19" i="21"/>
  <c r="J37" i="21"/>
  <c r="J31" i="21"/>
  <c r="J26" i="21"/>
  <c r="J22" i="21"/>
  <c r="J18" i="21"/>
  <c r="J21" i="21"/>
  <c r="J17" i="21"/>
  <c r="J16" i="21"/>
  <c r="J15" i="21"/>
  <c r="J14" i="21"/>
  <c r="J10" i="21"/>
  <c r="J12" i="21"/>
  <c r="J9" i="21"/>
  <c r="K2" i="21"/>
  <c r="J8" i="21"/>
  <c r="J7" i="21"/>
  <c r="I13" i="21"/>
  <c r="I11" i="21" s="1"/>
  <c r="I48" i="21"/>
  <c r="I64" i="20"/>
  <c r="I72" i="20"/>
  <c r="I78" i="20"/>
  <c r="J81" i="20"/>
  <c r="J77" i="20"/>
  <c r="J73" i="20"/>
  <c r="J80" i="20"/>
  <c r="J79" i="20"/>
  <c r="J76" i="20"/>
  <c r="J71" i="20"/>
  <c r="J68" i="20"/>
  <c r="J70" i="20"/>
  <c r="J67" i="20"/>
  <c r="J66" i="20"/>
  <c r="J69" i="20"/>
  <c r="J65" i="20"/>
  <c r="J74" i="20"/>
  <c r="J61" i="20"/>
  <c r="J75" i="20"/>
  <c r="J57" i="20"/>
  <c r="J48" i="20"/>
  <c r="J60" i="20"/>
  <c r="J56" i="20"/>
  <c r="J51" i="20"/>
  <c r="J55" i="20"/>
  <c r="J54" i="20"/>
  <c r="J50" i="20"/>
  <c r="J46" i="20"/>
  <c r="J35" i="20"/>
  <c r="J31" i="20"/>
  <c r="J28" i="20"/>
  <c r="J38" i="20"/>
  <c r="J34" i="20"/>
  <c r="J30" i="20"/>
  <c r="J62" i="20"/>
  <c r="J49" i="20"/>
  <c r="J44" i="20"/>
  <c r="J43" i="20"/>
  <c r="J42" i="20"/>
  <c r="J37" i="20"/>
  <c r="J36" i="20"/>
  <c r="J63" i="20"/>
  <c r="J47" i="20"/>
  <c r="J53" i="20"/>
  <c r="J33" i="20"/>
  <c r="J26" i="20"/>
  <c r="J9" i="20"/>
  <c r="K2" i="20"/>
  <c r="J32" i="20"/>
  <c r="J8" i="20"/>
  <c r="J7" i="20"/>
  <c r="I45" i="20"/>
  <c r="I59" i="20"/>
  <c r="I5" i="20"/>
  <c r="I40" i="20"/>
  <c r="I52" i="20"/>
  <c r="G39" i="20"/>
  <c r="G82" i="20" s="1"/>
  <c r="I29" i="20"/>
  <c r="I27" i="20" s="1"/>
  <c r="J62" i="19"/>
  <c r="J29" i="19"/>
  <c r="J48" i="19"/>
  <c r="J5" i="19"/>
  <c r="J4" i="19" s="1"/>
  <c r="K65" i="19"/>
  <c r="K64" i="19"/>
  <c r="K60" i="19"/>
  <c r="K61" i="19"/>
  <c r="K63" i="19"/>
  <c r="K59" i="19"/>
  <c r="K55" i="19"/>
  <c r="K58" i="19"/>
  <c r="K54" i="19"/>
  <c r="K57" i="19"/>
  <c r="K50" i="19"/>
  <c r="K47" i="19"/>
  <c r="K53" i="19"/>
  <c r="K49" i="19"/>
  <c r="K45" i="19"/>
  <c r="K38" i="19"/>
  <c r="K34" i="19"/>
  <c r="K52" i="19"/>
  <c r="K44" i="19"/>
  <c r="K41" i="19"/>
  <c r="K40" i="19"/>
  <c r="K46" i="19"/>
  <c r="K33" i="19"/>
  <c r="K31" i="19"/>
  <c r="K28" i="19"/>
  <c r="K51" i="19"/>
  <c r="K37" i="19"/>
  <c r="K30" i="19"/>
  <c r="K27" i="19"/>
  <c r="K22" i="19"/>
  <c r="K39" i="19"/>
  <c r="K20" i="19"/>
  <c r="K35" i="19"/>
  <c r="K32" i="19"/>
  <c r="K18" i="19"/>
  <c r="K26" i="19"/>
  <c r="K19" i="19"/>
  <c r="K17" i="19"/>
  <c r="K21" i="19"/>
  <c r="K10" i="19"/>
  <c r="L2" i="19"/>
  <c r="K8" i="19"/>
  <c r="K16" i="19"/>
  <c r="K15" i="19"/>
  <c r="K12" i="19"/>
  <c r="K9" i="19"/>
  <c r="K7" i="19"/>
  <c r="K14" i="19"/>
  <c r="J13" i="19"/>
  <c r="J11" i="19" s="1"/>
  <c r="J43" i="19"/>
  <c r="I42" i="19"/>
  <c r="I23" i="19" s="1"/>
  <c r="J56" i="19"/>
  <c r="I4" i="19"/>
  <c r="I5" i="18"/>
  <c r="I13" i="18"/>
  <c r="I11" i="18" s="1"/>
  <c r="I29" i="18"/>
  <c r="I24" i="18"/>
  <c r="I36" i="18"/>
  <c r="I56" i="18"/>
  <c r="H3" i="18"/>
  <c r="I48" i="18"/>
  <c r="I62" i="18"/>
  <c r="H42" i="18"/>
  <c r="H23" i="18" s="1"/>
  <c r="G23" i="18"/>
  <c r="F66" i="18"/>
  <c r="J58" i="18"/>
  <c r="J65" i="18"/>
  <c r="J61" i="18"/>
  <c r="J64" i="18"/>
  <c r="J60" i="18"/>
  <c r="J55" i="18"/>
  <c r="J59" i="18"/>
  <c r="J63" i="18"/>
  <c r="J54" i="18"/>
  <c r="J53" i="18"/>
  <c r="J50" i="18"/>
  <c r="J57" i="18"/>
  <c r="J49" i="18"/>
  <c r="J45" i="18"/>
  <c r="J44" i="18"/>
  <c r="J41" i="18"/>
  <c r="J47" i="18"/>
  <c r="J40" i="18"/>
  <c r="J52" i="18"/>
  <c r="J51" i="18"/>
  <c r="J46" i="18"/>
  <c r="J39" i="18"/>
  <c r="J38" i="18"/>
  <c r="J37" i="18"/>
  <c r="J32" i="18"/>
  <c r="J20" i="18"/>
  <c r="J35" i="18"/>
  <c r="J31" i="18"/>
  <c r="J28" i="18"/>
  <c r="J19" i="18"/>
  <c r="J34" i="18"/>
  <c r="J30" i="18"/>
  <c r="J33" i="18"/>
  <c r="J22" i="18"/>
  <c r="J18" i="18"/>
  <c r="J14" i="18"/>
  <c r="J8" i="18"/>
  <c r="J21" i="18"/>
  <c r="J17" i="18"/>
  <c r="J7" i="18"/>
  <c r="J9" i="18"/>
  <c r="K2" i="18"/>
  <c r="J16" i="18"/>
  <c r="J10" i="18"/>
  <c r="J27" i="18"/>
  <c r="J26" i="18"/>
  <c r="J15" i="18"/>
  <c r="J12" i="18"/>
  <c r="I43" i="18"/>
  <c r="H29" i="16"/>
  <c r="I63" i="16"/>
  <c r="I58" i="16"/>
  <c r="I65" i="16"/>
  <c r="I61" i="16"/>
  <c r="I64" i="16"/>
  <c r="I59" i="16"/>
  <c r="I55" i="16"/>
  <c r="I52" i="16"/>
  <c r="I57" i="16"/>
  <c r="I53" i="16"/>
  <c r="I60" i="16"/>
  <c r="I51" i="16"/>
  <c r="I50" i="16"/>
  <c r="I47" i="16"/>
  <c r="I54" i="16"/>
  <c r="I49" i="16"/>
  <c r="I46" i="16"/>
  <c r="I45" i="16"/>
  <c r="I38" i="16"/>
  <c r="I37" i="16"/>
  <c r="I41" i="16"/>
  <c r="I32" i="16"/>
  <c r="I44" i="16"/>
  <c r="I40" i="16"/>
  <c r="I35" i="16"/>
  <c r="I31" i="16"/>
  <c r="I39" i="16"/>
  <c r="I34" i="16"/>
  <c r="I30" i="16"/>
  <c r="I27" i="16"/>
  <c r="I20" i="16"/>
  <c r="I16" i="16"/>
  <c r="I10" i="16"/>
  <c r="I19" i="16"/>
  <c r="I15" i="16"/>
  <c r="I33" i="16"/>
  <c r="I28" i="16"/>
  <c r="I22" i="16"/>
  <c r="I18" i="16"/>
  <c r="I14" i="16"/>
  <c r="I26" i="16"/>
  <c r="I21" i="16"/>
  <c r="I17" i="16"/>
  <c r="I12" i="16"/>
  <c r="I7" i="16"/>
  <c r="I9" i="16"/>
  <c r="J2" i="16"/>
  <c r="I8" i="16"/>
  <c r="H48" i="16"/>
  <c r="H24" i="16"/>
  <c r="G4" i="16"/>
  <c r="F3" i="16"/>
  <c r="F66" i="16" s="1"/>
  <c r="E66" i="16"/>
  <c r="G42" i="16"/>
  <c r="H36" i="16"/>
  <c r="H62" i="16"/>
  <c r="H13" i="16"/>
  <c r="F66" i="15"/>
  <c r="H24" i="15"/>
  <c r="H56" i="15"/>
  <c r="E66" i="15"/>
  <c r="I63" i="15"/>
  <c r="I58" i="15"/>
  <c r="I59" i="15"/>
  <c r="I55" i="15"/>
  <c r="I64" i="15"/>
  <c r="I57" i="15"/>
  <c r="I54" i="15"/>
  <c r="I51" i="15"/>
  <c r="I61" i="15"/>
  <c r="I53" i="15"/>
  <c r="I65" i="15"/>
  <c r="I60" i="15"/>
  <c r="I49" i="15"/>
  <c r="I46" i="15"/>
  <c r="I39" i="15"/>
  <c r="I35" i="15"/>
  <c r="I45" i="15"/>
  <c r="I38" i="15"/>
  <c r="I34" i="15"/>
  <c r="I44" i="15"/>
  <c r="I41" i="15"/>
  <c r="I37" i="15"/>
  <c r="I33" i="15"/>
  <c r="I30" i="15"/>
  <c r="I27" i="15"/>
  <c r="I22" i="15"/>
  <c r="I52" i="15"/>
  <c r="I40" i="15"/>
  <c r="I26" i="15"/>
  <c r="I21" i="15"/>
  <c r="I17" i="15"/>
  <c r="I50" i="15"/>
  <c r="I47" i="15"/>
  <c r="I20" i="15"/>
  <c r="I16" i="15"/>
  <c r="I10" i="15"/>
  <c r="I32" i="15"/>
  <c r="I31" i="15"/>
  <c r="I28" i="15"/>
  <c r="I19" i="15"/>
  <c r="I15" i="15"/>
  <c r="I12" i="15"/>
  <c r="I9" i="15"/>
  <c r="I7" i="15"/>
  <c r="I18" i="15"/>
  <c r="I14" i="15"/>
  <c r="J2" i="15"/>
  <c r="I8" i="15"/>
  <c r="G3" i="15"/>
  <c r="G42" i="15"/>
  <c r="G23" i="15" s="1"/>
  <c r="H5" i="15"/>
  <c r="H4" i="15" s="1"/>
  <c r="H29" i="15"/>
  <c r="H62" i="15"/>
  <c r="H13" i="15"/>
  <c r="H11" i="15" s="1"/>
  <c r="H43" i="15"/>
  <c r="H48" i="15"/>
  <c r="H36" i="14"/>
  <c r="F66" i="14"/>
  <c r="H29" i="14"/>
  <c r="H48" i="14"/>
  <c r="G3" i="14"/>
  <c r="H5" i="14"/>
  <c r="H24" i="14"/>
  <c r="H43" i="14"/>
  <c r="I63" i="14"/>
  <c r="I58" i="14"/>
  <c r="I61" i="14"/>
  <c r="I60" i="14"/>
  <c r="I65" i="14"/>
  <c r="I59" i="14"/>
  <c r="I55" i="14"/>
  <c r="I64" i="14"/>
  <c r="I53" i="14"/>
  <c r="I52" i="14"/>
  <c r="I51" i="14"/>
  <c r="I50" i="14"/>
  <c r="I57" i="14"/>
  <c r="I54" i="14"/>
  <c r="I49" i="14"/>
  <c r="I46" i="14"/>
  <c r="I45" i="14"/>
  <c r="I44" i="14"/>
  <c r="I41" i="14"/>
  <c r="I37" i="14"/>
  <c r="I33" i="14"/>
  <c r="I47" i="14"/>
  <c r="I38" i="14"/>
  <c r="I34" i="14"/>
  <c r="I30" i="14"/>
  <c r="I26" i="14"/>
  <c r="I21" i="14"/>
  <c r="I40" i="14"/>
  <c r="I32" i="14"/>
  <c r="I28" i="14"/>
  <c r="I18" i="14"/>
  <c r="I14" i="14"/>
  <c r="I35" i="14"/>
  <c r="I39" i="14"/>
  <c r="I31" i="14"/>
  <c r="I27" i="14"/>
  <c r="I22" i="14"/>
  <c r="I20" i="14"/>
  <c r="I17" i="14"/>
  <c r="I10" i="14"/>
  <c r="J2" i="14"/>
  <c r="I19" i="14"/>
  <c r="I16" i="14"/>
  <c r="I12" i="14"/>
  <c r="I9" i="14"/>
  <c r="I7" i="14"/>
  <c r="I15" i="14"/>
  <c r="I8" i="14"/>
  <c r="E66" i="14"/>
  <c r="H13" i="14"/>
  <c r="H11" i="14" s="1"/>
  <c r="H56" i="14"/>
  <c r="H62" i="14"/>
  <c r="H5" i="13"/>
  <c r="H4" i="13" s="1"/>
  <c r="H13" i="13"/>
  <c r="H11" i="13" s="1"/>
  <c r="H29" i="13"/>
  <c r="H48" i="13"/>
  <c r="F3" i="13"/>
  <c r="F66" i="13" s="1"/>
  <c r="H43" i="13"/>
  <c r="H56" i="13"/>
  <c r="G4" i="13"/>
  <c r="H24" i="13"/>
  <c r="H62" i="13"/>
  <c r="G42" i="13"/>
  <c r="G23" i="13" s="1"/>
  <c r="I63" i="13"/>
  <c r="I59" i="13"/>
  <c r="I58" i="13"/>
  <c r="I65" i="13"/>
  <c r="I64" i="13"/>
  <c r="I60" i="13"/>
  <c r="I55" i="13"/>
  <c r="I51" i="13"/>
  <c r="I57" i="13"/>
  <c r="I53" i="13"/>
  <c r="I61" i="13"/>
  <c r="I54" i="13"/>
  <c r="I44" i="13"/>
  <c r="I41" i="13"/>
  <c r="I52" i="13"/>
  <c r="I47" i="13"/>
  <c r="I40" i="13"/>
  <c r="I50" i="13"/>
  <c r="I46" i="13"/>
  <c r="I49" i="13"/>
  <c r="I39" i="13"/>
  <c r="I33" i="13"/>
  <c r="I38" i="13"/>
  <c r="I37" i="13"/>
  <c r="I35" i="13"/>
  <c r="I31" i="13"/>
  <c r="I28" i="13"/>
  <c r="I19" i="13"/>
  <c r="I15" i="13"/>
  <c r="I30" i="13"/>
  <c r="I27" i="13"/>
  <c r="I22" i="13"/>
  <c r="I18" i="13"/>
  <c r="I34" i="13"/>
  <c r="I26" i="13"/>
  <c r="I21" i="13"/>
  <c r="I17" i="13"/>
  <c r="I45" i="13"/>
  <c r="I32" i="13"/>
  <c r="I20" i="13"/>
  <c r="I16" i="13"/>
  <c r="I8" i="13"/>
  <c r="I14" i="13"/>
  <c r="I7" i="13"/>
  <c r="I10" i="13"/>
  <c r="I12" i="13"/>
  <c r="I9" i="13"/>
  <c r="H36" i="13"/>
  <c r="E66" i="13"/>
  <c r="K296" i="3"/>
  <c r="N296" i="3" s="1"/>
  <c r="N318" i="3"/>
  <c r="N335" i="3"/>
  <c r="N324" i="3"/>
  <c r="K321" i="3"/>
  <c r="N321" i="3" s="1"/>
  <c r="N329" i="3"/>
  <c r="N326" i="3"/>
  <c r="N328" i="3"/>
  <c r="N322" i="3"/>
  <c r="N334" i="3"/>
  <c r="N323" i="3"/>
  <c r="N331" i="3"/>
  <c r="N319" i="3"/>
  <c r="N320" i="3"/>
  <c r="N327" i="3"/>
  <c r="N332" i="3"/>
  <c r="E43" i="1"/>
  <c r="E48" i="1"/>
  <c r="E62" i="1"/>
  <c r="E56" i="1"/>
  <c r="J370" i="2"/>
  <c r="K370" i="2" s="1"/>
  <c r="N317" i="3"/>
  <c r="J312" i="3"/>
  <c r="K312" i="3" s="1"/>
  <c r="K24" i="20" l="1"/>
  <c r="K20" i="20"/>
  <c r="K16" i="20"/>
  <c r="K13" i="20"/>
  <c r="K25" i="20"/>
  <c r="K21" i="20"/>
  <c r="K17" i="20"/>
  <c r="K19" i="20"/>
  <c r="K22" i="20"/>
  <c r="K14" i="20"/>
  <c r="K12" i="20"/>
  <c r="K23" i="20"/>
  <c r="K15" i="20"/>
  <c r="K10" i="20"/>
  <c r="K18" i="20"/>
  <c r="K11" i="20"/>
  <c r="J5" i="22"/>
  <c r="J4" i="22" s="1"/>
  <c r="H66" i="22"/>
  <c r="H82" i="20"/>
  <c r="K62" i="19"/>
  <c r="J36" i="22"/>
  <c r="H42" i="16"/>
  <c r="H23" i="16" s="1"/>
  <c r="J62" i="22"/>
  <c r="J43" i="21"/>
  <c r="I48" i="16"/>
  <c r="J36" i="18"/>
  <c r="J24" i="23"/>
  <c r="G66" i="14"/>
  <c r="J43" i="22"/>
  <c r="I24" i="13"/>
  <c r="J62" i="21"/>
  <c r="J24" i="22"/>
  <c r="J43" i="24"/>
  <c r="I42" i="18"/>
  <c r="I23" i="18" s="1"/>
  <c r="J62" i="24"/>
  <c r="I36" i="13"/>
  <c r="I5" i="16"/>
  <c r="I4" i="16" s="1"/>
  <c r="H3" i="13"/>
  <c r="K5" i="19"/>
  <c r="K4" i="19" s="1"/>
  <c r="J5" i="20"/>
  <c r="J4" i="20" s="1"/>
  <c r="J13" i="22"/>
  <c r="J11" i="22" s="1"/>
  <c r="J13" i="23"/>
  <c r="J11" i="23" s="1"/>
  <c r="J62" i="23"/>
  <c r="H66" i="24"/>
  <c r="J24" i="24"/>
  <c r="J36" i="24"/>
  <c r="J48" i="24"/>
  <c r="G66" i="24"/>
  <c r="J5" i="24"/>
  <c r="J4" i="24" s="1"/>
  <c r="J13" i="24"/>
  <c r="J11" i="24" s="1"/>
  <c r="K65" i="24"/>
  <c r="K64" i="24"/>
  <c r="K60" i="24"/>
  <c r="K59" i="24"/>
  <c r="K63" i="24"/>
  <c r="K53" i="24"/>
  <c r="K51" i="24"/>
  <c r="K61" i="24"/>
  <c r="K45" i="24"/>
  <c r="K38" i="24"/>
  <c r="K58" i="24"/>
  <c r="K55" i="24"/>
  <c r="K54" i="24"/>
  <c r="K52" i="24"/>
  <c r="K44" i="24"/>
  <c r="K41" i="24"/>
  <c r="K37" i="24"/>
  <c r="K57" i="24"/>
  <c r="K46" i="24"/>
  <c r="K40" i="24"/>
  <c r="K50" i="24"/>
  <c r="K35" i="24"/>
  <c r="K49" i="24"/>
  <c r="K47" i="24"/>
  <c r="K39" i="24"/>
  <c r="K31" i="24"/>
  <c r="K28" i="24"/>
  <c r="K19" i="24"/>
  <c r="K15" i="24"/>
  <c r="K12" i="24"/>
  <c r="K32" i="24"/>
  <c r="K30" i="24"/>
  <c r="K27" i="24"/>
  <c r="K22" i="24"/>
  <c r="K18" i="24"/>
  <c r="K14" i="24"/>
  <c r="K26" i="24"/>
  <c r="K21" i="24"/>
  <c r="K34" i="24"/>
  <c r="K33" i="24"/>
  <c r="K9" i="24"/>
  <c r="L2" i="24"/>
  <c r="K16" i="24"/>
  <c r="K8" i="24"/>
  <c r="K20" i="24"/>
  <c r="K7" i="24"/>
  <c r="K17" i="24"/>
  <c r="K10" i="24"/>
  <c r="J29" i="24"/>
  <c r="J56" i="24"/>
  <c r="I4" i="24"/>
  <c r="I42" i="24"/>
  <c r="I23" i="24" s="1"/>
  <c r="I4" i="23"/>
  <c r="J36" i="23"/>
  <c r="G66" i="23"/>
  <c r="I42" i="23"/>
  <c r="I23" i="23" s="1"/>
  <c r="J5" i="23"/>
  <c r="J4" i="23" s="1"/>
  <c r="K65" i="23"/>
  <c r="K64" i="23"/>
  <c r="K60" i="23"/>
  <c r="K63" i="23"/>
  <c r="K59" i="23"/>
  <c r="K55" i="23"/>
  <c r="K52" i="23"/>
  <c r="K58" i="23"/>
  <c r="K54" i="23"/>
  <c r="K51" i="23"/>
  <c r="K53" i="23"/>
  <c r="K47" i="23"/>
  <c r="K50" i="23"/>
  <c r="K46" i="23"/>
  <c r="K49" i="23"/>
  <c r="K45" i="23"/>
  <c r="K57" i="23"/>
  <c r="K38" i="23"/>
  <c r="K34" i="23"/>
  <c r="K30" i="23"/>
  <c r="K27" i="23"/>
  <c r="K44" i="23"/>
  <c r="K41" i="23"/>
  <c r="K37" i="23"/>
  <c r="K61" i="23"/>
  <c r="K40" i="23"/>
  <c r="K32" i="23"/>
  <c r="K28" i="23"/>
  <c r="K31" i="23"/>
  <c r="K26" i="23"/>
  <c r="K22" i="23"/>
  <c r="K18" i="23"/>
  <c r="K14" i="23"/>
  <c r="K35" i="23"/>
  <c r="K21" i="23"/>
  <c r="K17" i="23"/>
  <c r="K33" i="23"/>
  <c r="K20" i="23"/>
  <c r="K12" i="23"/>
  <c r="K9" i="23"/>
  <c r="K16" i="23"/>
  <c r="K8" i="23"/>
  <c r="K39" i="23"/>
  <c r="K19" i="23"/>
  <c r="K15" i="23"/>
  <c r="K10" i="23"/>
  <c r="K7" i="23"/>
  <c r="L2" i="23"/>
  <c r="J29" i="23"/>
  <c r="J48" i="23"/>
  <c r="J43" i="23"/>
  <c r="J56" i="23"/>
  <c r="H23" i="23"/>
  <c r="H66" i="23" s="1"/>
  <c r="J48" i="22"/>
  <c r="K65" i="22"/>
  <c r="K61" i="22"/>
  <c r="K53" i="22"/>
  <c r="K41" i="22"/>
  <c r="K40" i="22"/>
  <c r="K27" i="22"/>
  <c r="K37" i="22"/>
  <c r="K31" i="22"/>
  <c r="K17" i="22"/>
  <c r="K19" i="22"/>
  <c r="K8" i="22"/>
  <c r="K18" i="22"/>
  <c r="K63" i="22"/>
  <c r="K55" i="22"/>
  <c r="K44" i="22"/>
  <c r="K30" i="22"/>
  <c r="K38" i="22"/>
  <c r="K49" i="22"/>
  <c r="K35" i="22"/>
  <c r="K7" i="22"/>
  <c r="K64" i="22"/>
  <c r="K57" i="22"/>
  <c r="K52" i="22"/>
  <c r="K58" i="22"/>
  <c r="K54" i="22"/>
  <c r="K45" i="22"/>
  <c r="K33" i="22"/>
  <c r="K28" i="22"/>
  <c r="K46" i="22"/>
  <c r="K15" i="22"/>
  <c r="K16" i="22"/>
  <c r="K22" i="22"/>
  <c r="K60" i="22"/>
  <c r="K59" i="22"/>
  <c r="K51" i="22"/>
  <c r="K50" i="22"/>
  <c r="K34" i="22"/>
  <c r="K39" i="22"/>
  <c r="K32" i="22"/>
  <c r="K26" i="22"/>
  <c r="K20" i="22"/>
  <c r="K12" i="22"/>
  <c r="K14" i="22"/>
  <c r="K10" i="22"/>
  <c r="K47" i="22"/>
  <c r="K21" i="22"/>
  <c r="K9" i="22"/>
  <c r="L2" i="22"/>
  <c r="I42" i="22"/>
  <c r="I23" i="22" s="1"/>
  <c r="I3" i="22"/>
  <c r="J56" i="22"/>
  <c r="J29" i="22"/>
  <c r="J56" i="21"/>
  <c r="I42" i="21"/>
  <c r="I23" i="21" s="1"/>
  <c r="K65" i="21"/>
  <c r="K61" i="21"/>
  <c r="K64" i="21"/>
  <c r="K60" i="21"/>
  <c r="K63" i="21"/>
  <c r="K59" i="21"/>
  <c r="K58" i="21"/>
  <c r="K54" i="21"/>
  <c r="K51" i="21"/>
  <c r="K50" i="21"/>
  <c r="K55" i="21"/>
  <c r="K53" i="21"/>
  <c r="K57" i="21"/>
  <c r="K52" i="21"/>
  <c r="K46" i="21"/>
  <c r="K45" i="21"/>
  <c r="K38" i="21"/>
  <c r="K34" i="21"/>
  <c r="K44" i="21"/>
  <c r="K35" i="21"/>
  <c r="K26" i="21"/>
  <c r="K39" i="21"/>
  <c r="K33" i="21"/>
  <c r="K32" i="21"/>
  <c r="K49" i="21"/>
  <c r="K47" i="21"/>
  <c r="K37" i="21"/>
  <c r="K31" i="21"/>
  <c r="K28" i="21"/>
  <c r="K19" i="21"/>
  <c r="K20" i="21"/>
  <c r="K22" i="21"/>
  <c r="K18" i="21"/>
  <c r="K41" i="21"/>
  <c r="K27" i="21"/>
  <c r="K21" i="21"/>
  <c r="K30" i="21"/>
  <c r="K10" i="21"/>
  <c r="K12" i="21"/>
  <c r="K9" i="21"/>
  <c r="L2" i="21"/>
  <c r="K17" i="21"/>
  <c r="K16" i="21"/>
  <c r="K15" i="21"/>
  <c r="K14" i="21"/>
  <c r="K8" i="21"/>
  <c r="K7" i="21"/>
  <c r="J13" i="21"/>
  <c r="J11" i="21" s="1"/>
  <c r="J48" i="21"/>
  <c r="J24" i="21"/>
  <c r="J36" i="21"/>
  <c r="H66" i="21"/>
  <c r="I3" i="21"/>
  <c r="G66" i="21"/>
  <c r="J5" i="21"/>
  <c r="J29" i="21"/>
  <c r="I4" i="20"/>
  <c r="I58" i="20"/>
  <c r="I39" i="20" s="1"/>
  <c r="J40" i="20"/>
  <c r="J29" i="20"/>
  <c r="J27" i="20" s="1"/>
  <c r="J59" i="20"/>
  <c r="J72" i="20"/>
  <c r="K81" i="20"/>
  <c r="K77" i="20"/>
  <c r="K80" i="20"/>
  <c r="K76" i="20"/>
  <c r="K79" i="20"/>
  <c r="K75" i="20"/>
  <c r="K74" i="20"/>
  <c r="K70" i="20"/>
  <c r="K67" i="20"/>
  <c r="K69" i="20"/>
  <c r="K65" i="20"/>
  <c r="K73" i="20"/>
  <c r="K60" i="20"/>
  <c r="K57" i="20"/>
  <c r="K71" i="20"/>
  <c r="K61" i="20"/>
  <c r="K56" i="20"/>
  <c r="K51" i="20"/>
  <c r="K47" i="20"/>
  <c r="K44" i="20"/>
  <c r="K66" i="20"/>
  <c r="K55" i="20"/>
  <c r="K54" i="20"/>
  <c r="K50" i="20"/>
  <c r="K68" i="20"/>
  <c r="K63" i="20"/>
  <c r="K62" i="20"/>
  <c r="K53" i="20"/>
  <c r="K49" i="20"/>
  <c r="K46" i="20"/>
  <c r="K38" i="20"/>
  <c r="K34" i="20"/>
  <c r="K30" i="20"/>
  <c r="K43" i="20"/>
  <c r="K42" i="20"/>
  <c r="K37" i="20"/>
  <c r="K33" i="20"/>
  <c r="K36" i="20"/>
  <c r="K48" i="20"/>
  <c r="K31" i="20"/>
  <c r="K28" i="20"/>
  <c r="K35" i="20"/>
  <c r="K32" i="20"/>
  <c r="K8" i="20"/>
  <c r="K26" i="20"/>
  <c r="K9" i="20"/>
  <c r="K7" i="20"/>
  <c r="L2" i="20"/>
  <c r="J52" i="20"/>
  <c r="J45" i="20"/>
  <c r="J64" i="20"/>
  <c r="J78" i="20"/>
  <c r="K43" i="19"/>
  <c r="L64" i="19"/>
  <c r="L63" i="19"/>
  <c r="L59" i="19"/>
  <c r="L58" i="19"/>
  <c r="L54" i="19"/>
  <c r="L65" i="19"/>
  <c r="L53" i="19"/>
  <c r="L61" i="19"/>
  <c r="L60" i="19"/>
  <c r="L49" i="19"/>
  <c r="L57" i="19"/>
  <c r="L52" i="19"/>
  <c r="L44" i="19"/>
  <c r="L41" i="19"/>
  <c r="L37" i="19"/>
  <c r="L33" i="19"/>
  <c r="L40" i="19"/>
  <c r="L51" i="19"/>
  <c r="L47" i="19"/>
  <c r="L46" i="19"/>
  <c r="L39" i="19"/>
  <c r="L30" i="19"/>
  <c r="L27" i="19"/>
  <c r="L45" i="19"/>
  <c r="L38" i="19"/>
  <c r="L26" i="19"/>
  <c r="L21" i="19"/>
  <c r="L35" i="19"/>
  <c r="L32" i="19"/>
  <c r="L18" i="19"/>
  <c r="L34" i="19"/>
  <c r="L28" i="19"/>
  <c r="L19" i="19"/>
  <c r="L17" i="19"/>
  <c r="L31" i="19"/>
  <c r="L22" i="19"/>
  <c r="L16" i="19"/>
  <c r="L10" i="19"/>
  <c r="L55" i="19"/>
  <c r="L50" i="19"/>
  <c r="L20" i="19"/>
  <c r="L15" i="19"/>
  <c r="L12" i="19"/>
  <c r="L9" i="19"/>
  <c r="L8" i="19"/>
  <c r="L7" i="19"/>
  <c r="M2" i="19"/>
  <c r="L14" i="19"/>
  <c r="I3" i="19"/>
  <c r="K13" i="19"/>
  <c r="K11" i="19" s="1"/>
  <c r="K24" i="19"/>
  <c r="K29" i="19"/>
  <c r="J3" i="19"/>
  <c r="K36" i="19"/>
  <c r="J42" i="19"/>
  <c r="J23" i="19" s="1"/>
  <c r="K48" i="19"/>
  <c r="K56" i="19"/>
  <c r="J5" i="18"/>
  <c r="J4" i="18" s="1"/>
  <c r="J13" i="18"/>
  <c r="J11" i="18" s="1"/>
  <c r="J29" i="18"/>
  <c r="J62" i="18"/>
  <c r="J43" i="18"/>
  <c r="J56" i="18"/>
  <c r="J24" i="18"/>
  <c r="K65" i="18"/>
  <c r="K61" i="18"/>
  <c r="K57" i="18"/>
  <c r="K58" i="18"/>
  <c r="K64" i="18"/>
  <c r="K60" i="18"/>
  <c r="K63" i="18"/>
  <c r="K59" i="18"/>
  <c r="K54" i="18"/>
  <c r="K55" i="18"/>
  <c r="K53" i="18"/>
  <c r="K49" i="18"/>
  <c r="K52" i="18"/>
  <c r="K50" i="18"/>
  <c r="K44" i="18"/>
  <c r="K41" i="18"/>
  <c r="K47" i="18"/>
  <c r="K40" i="18"/>
  <c r="K51" i="18"/>
  <c r="K46" i="18"/>
  <c r="K39" i="18"/>
  <c r="K45" i="18"/>
  <c r="K35" i="18"/>
  <c r="K31" i="18"/>
  <c r="K28" i="18"/>
  <c r="K19" i="18"/>
  <c r="K34" i="18"/>
  <c r="K30" i="18"/>
  <c r="K27" i="18"/>
  <c r="K22" i="18"/>
  <c r="K18" i="18"/>
  <c r="K33" i="18"/>
  <c r="K38" i="18"/>
  <c r="K37" i="18"/>
  <c r="K32" i="18"/>
  <c r="K21" i="18"/>
  <c r="K17" i="18"/>
  <c r="K7" i="18"/>
  <c r="K16" i="18"/>
  <c r="K10" i="18"/>
  <c r="L2" i="18"/>
  <c r="K8" i="18"/>
  <c r="K26" i="18"/>
  <c r="K20" i="18"/>
  <c r="K15" i="18"/>
  <c r="K12" i="18"/>
  <c r="K9" i="18"/>
  <c r="K14" i="18"/>
  <c r="G66" i="18"/>
  <c r="H66" i="18"/>
  <c r="J48" i="18"/>
  <c r="I4" i="18"/>
  <c r="I24" i="16"/>
  <c r="I43" i="16"/>
  <c r="I29" i="16"/>
  <c r="I56" i="16"/>
  <c r="I62" i="16"/>
  <c r="G3" i="16"/>
  <c r="G23" i="16"/>
  <c r="I13" i="16"/>
  <c r="I11" i="16" s="1"/>
  <c r="I36" i="16"/>
  <c r="H11" i="16"/>
  <c r="J65" i="16"/>
  <c r="J61" i="16"/>
  <c r="J57" i="16"/>
  <c r="J64" i="16"/>
  <c r="J63" i="16"/>
  <c r="J58" i="16"/>
  <c r="J54" i="16"/>
  <c r="J60" i="16"/>
  <c r="J49" i="16"/>
  <c r="J53" i="16"/>
  <c r="J44" i="16"/>
  <c r="J41" i="16"/>
  <c r="J59" i="16"/>
  <c r="J55" i="16"/>
  <c r="J52" i="16"/>
  <c r="J51" i="16"/>
  <c r="J50" i="16"/>
  <c r="J47" i="16"/>
  <c r="J46" i="16"/>
  <c r="J45" i="16"/>
  <c r="J40" i="16"/>
  <c r="J35" i="16"/>
  <c r="J39" i="16"/>
  <c r="J34" i="16"/>
  <c r="J38" i="16"/>
  <c r="J37" i="16"/>
  <c r="J33" i="16"/>
  <c r="J19" i="16"/>
  <c r="J15" i="16"/>
  <c r="J12" i="16"/>
  <c r="J28" i="16"/>
  <c r="J22" i="16"/>
  <c r="J18" i="16"/>
  <c r="J32" i="16"/>
  <c r="J31" i="16"/>
  <c r="J30" i="16"/>
  <c r="J27" i="16"/>
  <c r="J26" i="16"/>
  <c r="J21" i="16"/>
  <c r="J17" i="16"/>
  <c r="J20" i="16"/>
  <c r="J14" i="16"/>
  <c r="J7" i="16"/>
  <c r="J10" i="16"/>
  <c r="J9" i="16"/>
  <c r="K2" i="16"/>
  <c r="J8" i="16"/>
  <c r="J16" i="16"/>
  <c r="G66" i="15"/>
  <c r="I13" i="15"/>
  <c r="I11" i="15" s="1"/>
  <c r="I36" i="15"/>
  <c r="I56" i="15"/>
  <c r="J65" i="15"/>
  <c r="J61" i="15"/>
  <c r="J57" i="15"/>
  <c r="J58" i="15"/>
  <c r="J54" i="15"/>
  <c r="J63" i="15"/>
  <c r="J53" i="15"/>
  <c r="J59" i="15"/>
  <c r="J60" i="15"/>
  <c r="J55" i="15"/>
  <c r="J52" i="15"/>
  <c r="J45" i="15"/>
  <c r="J38" i="15"/>
  <c r="J64" i="15"/>
  <c r="J44" i="15"/>
  <c r="J41" i="15"/>
  <c r="J37" i="15"/>
  <c r="J50" i="15"/>
  <c r="J47" i="15"/>
  <c r="J40" i="15"/>
  <c r="J32" i="15"/>
  <c r="J51" i="15"/>
  <c r="J26" i="15"/>
  <c r="J39" i="15"/>
  <c r="J35" i="15"/>
  <c r="J34" i="15"/>
  <c r="J33" i="15"/>
  <c r="J20" i="15"/>
  <c r="J49" i="15"/>
  <c r="J46" i="15"/>
  <c r="J31" i="15"/>
  <c r="J28" i="15"/>
  <c r="J19" i="15"/>
  <c r="J15" i="15"/>
  <c r="J12" i="15"/>
  <c r="J30" i="15"/>
  <c r="J27" i="15"/>
  <c r="J18" i="15"/>
  <c r="J14" i="15"/>
  <c r="J22" i="15"/>
  <c r="J17" i="15"/>
  <c r="J16" i="15"/>
  <c r="J21" i="15"/>
  <c r="J10" i="15"/>
  <c r="J9" i="15"/>
  <c r="K2" i="15"/>
  <c r="J8" i="15"/>
  <c r="J7" i="15"/>
  <c r="H42" i="15"/>
  <c r="H3" i="15"/>
  <c r="I24" i="15"/>
  <c r="I48" i="15"/>
  <c r="I62" i="15"/>
  <c r="I5" i="15"/>
  <c r="I29" i="15"/>
  <c r="I43" i="15"/>
  <c r="I56" i="14"/>
  <c r="I48" i="14"/>
  <c r="I5" i="14"/>
  <c r="I4" i="14" s="1"/>
  <c r="I24" i="14"/>
  <c r="I43" i="14"/>
  <c r="H42" i="14"/>
  <c r="H23" i="14" s="1"/>
  <c r="J65" i="14"/>
  <c r="J61" i="14"/>
  <c r="J57" i="14"/>
  <c r="J60" i="14"/>
  <c r="J59" i="14"/>
  <c r="J64" i="14"/>
  <c r="J58" i="14"/>
  <c r="J54" i="14"/>
  <c r="J51" i="14"/>
  <c r="J63" i="14"/>
  <c r="J55" i="14"/>
  <c r="J53" i="14"/>
  <c r="J52" i="14"/>
  <c r="J47" i="14"/>
  <c r="J40" i="14"/>
  <c r="J32" i="14"/>
  <c r="J49" i="14"/>
  <c r="J46" i="14"/>
  <c r="J45" i="14"/>
  <c r="J44" i="14"/>
  <c r="J41" i="14"/>
  <c r="J37" i="14"/>
  <c r="J33" i="14"/>
  <c r="J50" i="14"/>
  <c r="J39" i="14"/>
  <c r="J35" i="14"/>
  <c r="J31" i="14"/>
  <c r="J34" i="14"/>
  <c r="J17" i="14"/>
  <c r="J38" i="14"/>
  <c r="J20" i="14"/>
  <c r="J28" i="14"/>
  <c r="J27" i="14"/>
  <c r="J30" i="14"/>
  <c r="J26" i="14"/>
  <c r="J21" i="14"/>
  <c r="J16" i="14"/>
  <c r="J12" i="14"/>
  <c r="J9" i="14"/>
  <c r="K2" i="14"/>
  <c r="J8" i="14"/>
  <c r="J22" i="14"/>
  <c r="J15" i="14"/>
  <c r="J10" i="14"/>
  <c r="J19" i="14"/>
  <c r="J18" i="14"/>
  <c r="J14" i="14"/>
  <c r="J7" i="14"/>
  <c r="I29" i="14"/>
  <c r="I62" i="14"/>
  <c r="I13" i="14"/>
  <c r="I11" i="14" s="1"/>
  <c r="I36" i="14"/>
  <c r="H4" i="14"/>
  <c r="I13" i="13"/>
  <c r="I11" i="13" s="1"/>
  <c r="I43" i="13"/>
  <c r="I56" i="13"/>
  <c r="I62" i="13"/>
  <c r="J65" i="13"/>
  <c r="J61" i="13"/>
  <c r="J57" i="13"/>
  <c r="J64" i="13"/>
  <c r="J63" i="13"/>
  <c r="J59" i="13"/>
  <c r="J58" i="13"/>
  <c r="J54" i="13"/>
  <c r="J60" i="13"/>
  <c r="J53" i="13"/>
  <c r="J52" i="13"/>
  <c r="J47" i="13"/>
  <c r="J51" i="13"/>
  <c r="J50" i="13"/>
  <c r="J46" i="13"/>
  <c r="J39" i="13"/>
  <c r="J55" i="13"/>
  <c r="J49" i="13"/>
  <c r="J38" i="13"/>
  <c r="J37" i="13"/>
  <c r="J45" i="13"/>
  <c r="J41" i="13"/>
  <c r="J40" i="13"/>
  <c r="J34" i="13"/>
  <c r="J44" i="13"/>
  <c r="J35" i="13"/>
  <c r="J30" i="13"/>
  <c r="J27" i="13"/>
  <c r="J22" i="13"/>
  <c r="J18" i="13"/>
  <c r="J26" i="13"/>
  <c r="J21" i="13"/>
  <c r="J33" i="13"/>
  <c r="J32" i="13"/>
  <c r="J20" i="13"/>
  <c r="J16" i="13"/>
  <c r="J31" i="13"/>
  <c r="J28" i="13"/>
  <c r="J19" i="13"/>
  <c r="J15" i="13"/>
  <c r="J14" i="13"/>
  <c r="J10" i="13"/>
  <c r="J12" i="13"/>
  <c r="J9" i="13"/>
  <c r="J8" i="13"/>
  <c r="J7" i="13"/>
  <c r="J17" i="13"/>
  <c r="I5" i="13"/>
  <c r="I48" i="13"/>
  <c r="I29" i="13"/>
  <c r="G3" i="13"/>
  <c r="H42" i="13"/>
  <c r="H23" i="13" s="1"/>
  <c r="N370" i="2"/>
  <c r="J241" i="3"/>
  <c r="K241" i="3" s="1"/>
  <c r="J240" i="3"/>
  <c r="K240" i="3" s="1"/>
  <c r="J243" i="3"/>
  <c r="K243" i="3" s="1"/>
  <c r="N243" i="3" s="1"/>
  <c r="J242" i="3"/>
  <c r="K242" i="3" s="1"/>
  <c r="J244" i="3"/>
  <c r="K244" i="3" s="1"/>
  <c r="J273" i="3"/>
  <c r="K273" i="3" s="1"/>
  <c r="J239" i="3"/>
  <c r="K239" i="3" s="1"/>
  <c r="J252" i="3"/>
  <c r="K252" i="3" s="1"/>
  <c r="J226" i="3"/>
  <c r="K226" i="3" s="1"/>
  <c r="J225" i="3"/>
  <c r="K225" i="3" s="1"/>
  <c r="J221" i="3"/>
  <c r="K221" i="3" s="1"/>
  <c r="J214" i="3"/>
  <c r="K214" i="3" s="1"/>
  <c r="N312" i="3"/>
  <c r="N313" i="3"/>
  <c r="N314" i="3"/>
  <c r="J323" i="2"/>
  <c r="K323" i="2" s="1"/>
  <c r="J177" i="3"/>
  <c r="K177" i="3" s="1"/>
  <c r="L13" i="20" l="1"/>
  <c r="L22" i="20"/>
  <c r="L14" i="20"/>
  <c r="L25" i="20"/>
  <c r="L21" i="20"/>
  <c r="L17" i="20"/>
  <c r="L18" i="20"/>
  <c r="L10" i="20"/>
  <c r="L20" i="20"/>
  <c r="L12" i="20"/>
  <c r="L23" i="20"/>
  <c r="L15" i="20"/>
  <c r="L19" i="20"/>
  <c r="L16" i="20"/>
  <c r="L11" i="20"/>
  <c r="L24" i="20"/>
  <c r="H66" i="13"/>
  <c r="J62" i="14"/>
  <c r="K42" i="19"/>
  <c r="K23" i="19" s="1"/>
  <c r="K48" i="21"/>
  <c r="J42" i="21"/>
  <c r="J23" i="21" s="1"/>
  <c r="J42" i="24"/>
  <c r="J23" i="24" s="1"/>
  <c r="I66" i="21"/>
  <c r="K78" i="20"/>
  <c r="I42" i="16"/>
  <c r="I23" i="16" s="1"/>
  <c r="K48" i="23"/>
  <c r="K62" i="21"/>
  <c r="K48" i="24"/>
  <c r="K52" i="20"/>
  <c r="K24" i="24"/>
  <c r="J29" i="14"/>
  <c r="K24" i="18"/>
  <c r="K24" i="22"/>
  <c r="J42" i="22"/>
  <c r="J23" i="22" s="1"/>
  <c r="J3" i="20"/>
  <c r="J3" i="22"/>
  <c r="J3" i="23"/>
  <c r="K3" i="19"/>
  <c r="K5" i="23"/>
  <c r="K4" i="23" s="1"/>
  <c r="K5" i="22"/>
  <c r="K4" i="22" s="1"/>
  <c r="K13" i="22"/>
  <c r="K11" i="22" s="1"/>
  <c r="K43" i="23"/>
  <c r="K13" i="24"/>
  <c r="K11" i="24" s="1"/>
  <c r="K29" i="24"/>
  <c r="K43" i="24"/>
  <c r="I3" i="24"/>
  <c r="K5" i="24"/>
  <c r="L64" i="24"/>
  <c r="L63" i="24"/>
  <c r="L59" i="24"/>
  <c r="L65" i="24"/>
  <c r="L61" i="24"/>
  <c r="L57" i="24"/>
  <c r="L55" i="24"/>
  <c r="L50" i="24"/>
  <c r="L60" i="24"/>
  <c r="L58" i="24"/>
  <c r="L54" i="24"/>
  <c r="L52" i="24"/>
  <c r="L44" i="24"/>
  <c r="L41" i="24"/>
  <c r="L37" i="24"/>
  <c r="L51" i="24"/>
  <c r="L47" i="24"/>
  <c r="L40" i="24"/>
  <c r="L46" i="24"/>
  <c r="L38" i="24"/>
  <c r="L53" i="24"/>
  <c r="L35" i="24"/>
  <c r="L49" i="24"/>
  <c r="L45" i="24"/>
  <c r="L39" i="24"/>
  <c r="L34" i="24"/>
  <c r="L32" i="24"/>
  <c r="L30" i="24"/>
  <c r="L27" i="24"/>
  <c r="L22" i="24"/>
  <c r="L18" i="24"/>
  <c r="L14" i="24"/>
  <c r="L26" i="24"/>
  <c r="L21" i="24"/>
  <c r="L17" i="24"/>
  <c r="L33" i="24"/>
  <c r="L20" i="24"/>
  <c r="L31" i="24"/>
  <c r="L28" i="24"/>
  <c r="L16" i="24"/>
  <c r="L8" i="24"/>
  <c r="L12" i="24"/>
  <c r="L7" i="24"/>
  <c r="L15" i="24"/>
  <c r="L10" i="24"/>
  <c r="M2" i="24"/>
  <c r="L19" i="24"/>
  <c r="L9" i="24"/>
  <c r="K56" i="24"/>
  <c r="J3" i="24"/>
  <c r="K36" i="24"/>
  <c r="K62" i="24"/>
  <c r="K24" i="23"/>
  <c r="I3" i="23"/>
  <c r="J42" i="23"/>
  <c r="J23" i="23" s="1"/>
  <c r="K13" i="23"/>
  <c r="K11" i="23" s="1"/>
  <c r="K56" i="23"/>
  <c r="L64" i="23"/>
  <c r="L63" i="23"/>
  <c r="L59" i="23"/>
  <c r="L58" i="23"/>
  <c r="L54" i="23"/>
  <c r="L53" i="23"/>
  <c r="L50" i="23"/>
  <c r="L65" i="23"/>
  <c r="L61" i="23"/>
  <c r="L57" i="23"/>
  <c r="L51" i="23"/>
  <c r="L46" i="23"/>
  <c r="L60" i="23"/>
  <c r="L49" i="23"/>
  <c r="L45" i="23"/>
  <c r="L55" i="23"/>
  <c r="L52" i="23"/>
  <c r="L44" i="23"/>
  <c r="L47" i="23"/>
  <c r="L41" i="23"/>
  <c r="L37" i="23"/>
  <c r="L33" i="23"/>
  <c r="L26" i="23"/>
  <c r="L40" i="23"/>
  <c r="L39" i="23"/>
  <c r="L35" i="23"/>
  <c r="L31" i="23"/>
  <c r="L38" i="23"/>
  <c r="L27" i="23"/>
  <c r="L22" i="23"/>
  <c r="L34" i="23"/>
  <c r="L30" i="23"/>
  <c r="L21" i="23"/>
  <c r="L17" i="23"/>
  <c r="L20" i="23"/>
  <c r="L16" i="23"/>
  <c r="L18" i="23"/>
  <c r="L8" i="23"/>
  <c r="L32" i="23"/>
  <c r="L28" i="23"/>
  <c r="L7" i="23"/>
  <c r="L19" i="23"/>
  <c r="L15" i="23"/>
  <c r="L14" i="23"/>
  <c r="L10" i="23"/>
  <c r="L12" i="23"/>
  <c r="L9" i="23"/>
  <c r="M2" i="23"/>
  <c r="K36" i="23"/>
  <c r="K29" i="23"/>
  <c r="K62" i="23"/>
  <c r="L59" i="22"/>
  <c r="L65" i="22"/>
  <c r="L50" i="22"/>
  <c r="L46" i="22"/>
  <c r="L41" i="22"/>
  <c r="L26" i="22"/>
  <c r="L35" i="22"/>
  <c r="L27" i="22"/>
  <c r="L19" i="22"/>
  <c r="L53" i="22"/>
  <c r="L15" i="22"/>
  <c r="L21" i="22"/>
  <c r="L61" i="22"/>
  <c r="L58" i="22"/>
  <c r="L47" i="22"/>
  <c r="L39" i="22"/>
  <c r="L38" i="22"/>
  <c r="L32" i="22"/>
  <c r="L31" i="22"/>
  <c r="L20" i="22"/>
  <c r="L22" i="22"/>
  <c r="L34" i="22"/>
  <c r="L8" i="22"/>
  <c r="L9" i="22"/>
  <c r="L64" i="22"/>
  <c r="L57" i="22"/>
  <c r="L54" i="22"/>
  <c r="L40" i="22"/>
  <c r="L52" i="22"/>
  <c r="L37" i="22"/>
  <c r="L55" i="22"/>
  <c r="L28" i="22"/>
  <c r="L16" i="22"/>
  <c r="L18" i="22"/>
  <c r="L7" i="22"/>
  <c r="L17" i="22"/>
  <c r="L63" i="22"/>
  <c r="L60" i="22"/>
  <c r="L51" i="22"/>
  <c r="L49" i="22"/>
  <c r="L45" i="22"/>
  <c r="L33" i="22"/>
  <c r="L44" i="22"/>
  <c r="L30" i="22"/>
  <c r="L10" i="22"/>
  <c r="L14" i="22"/>
  <c r="M2" i="22"/>
  <c r="L12" i="22"/>
  <c r="K29" i="22"/>
  <c r="K43" i="22"/>
  <c r="K36" i="22"/>
  <c r="K56" i="22"/>
  <c r="K48" i="22"/>
  <c r="I66" i="22"/>
  <c r="K62" i="22"/>
  <c r="K5" i="21"/>
  <c r="K4" i="21" s="1"/>
  <c r="K36" i="21"/>
  <c r="K43" i="21"/>
  <c r="K13" i="21"/>
  <c r="K11" i="21" s="1"/>
  <c r="L64" i="21"/>
  <c r="L60" i="21"/>
  <c r="L63" i="21"/>
  <c r="L59" i="21"/>
  <c r="L65" i="21"/>
  <c r="L53" i="21"/>
  <c r="L61" i="21"/>
  <c r="L55" i="21"/>
  <c r="L52" i="21"/>
  <c r="L49" i="21"/>
  <c r="L57" i="21"/>
  <c r="L58" i="21"/>
  <c r="L54" i="21"/>
  <c r="L45" i="21"/>
  <c r="L50" i="21"/>
  <c r="L44" i="21"/>
  <c r="L41" i="21"/>
  <c r="L37" i="21"/>
  <c r="L33" i="21"/>
  <c r="L39" i="21"/>
  <c r="L34" i="21"/>
  <c r="L32" i="21"/>
  <c r="L47" i="21"/>
  <c r="L38" i="21"/>
  <c r="L31" i="21"/>
  <c r="L28" i="21"/>
  <c r="L51" i="21"/>
  <c r="L40" i="21"/>
  <c r="L30" i="21"/>
  <c r="L27" i="21"/>
  <c r="L22" i="21"/>
  <c r="L18" i="21"/>
  <c r="L19" i="21"/>
  <c r="L26" i="21"/>
  <c r="L21" i="21"/>
  <c r="L17" i="21"/>
  <c r="L16" i="21"/>
  <c r="L46" i="21"/>
  <c r="L35" i="21"/>
  <c r="L20" i="21"/>
  <c r="L10" i="21"/>
  <c r="L12" i="21"/>
  <c r="L9" i="21"/>
  <c r="L15" i="21"/>
  <c r="L14" i="21"/>
  <c r="L8" i="21"/>
  <c r="M2" i="21"/>
  <c r="L7" i="21"/>
  <c r="K29" i="21"/>
  <c r="J4" i="21"/>
  <c r="K24" i="21"/>
  <c r="K56" i="21"/>
  <c r="K5" i="20"/>
  <c r="K40" i="20"/>
  <c r="K64" i="20"/>
  <c r="J58" i="20"/>
  <c r="J39" i="20" s="1"/>
  <c r="I3" i="20"/>
  <c r="K45" i="20"/>
  <c r="L80" i="20"/>
  <c r="L76" i="20"/>
  <c r="L79" i="20"/>
  <c r="L75" i="20"/>
  <c r="L81" i="20"/>
  <c r="L69" i="20"/>
  <c r="L73" i="20"/>
  <c r="L74" i="20"/>
  <c r="L77" i="20"/>
  <c r="L71" i="20"/>
  <c r="L68" i="20"/>
  <c r="L66" i="20"/>
  <c r="L63" i="20"/>
  <c r="L56" i="20"/>
  <c r="L67" i="20"/>
  <c r="L60" i="20"/>
  <c r="L55" i="20"/>
  <c r="L54" i="20"/>
  <c r="L50" i="20"/>
  <c r="L46" i="20"/>
  <c r="L43" i="20"/>
  <c r="L62" i="20"/>
  <c r="L53" i="20"/>
  <c r="L49" i="20"/>
  <c r="L70" i="20"/>
  <c r="L65" i="20"/>
  <c r="L48" i="20"/>
  <c r="L61" i="20"/>
  <c r="L51" i="20"/>
  <c r="L42" i="20"/>
  <c r="L37" i="20"/>
  <c r="L33" i="20"/>
  <c r="L44" i="20"/>
  <c r="L36" i="20"/>
  <c r="L32" i="20"/>
  <c r="L47" i="20"/>
  <c r="L35" i="20"/>
  <c r="L26" i="20"/>
  <c r="L9" i="20"/>
  <c r="L38" i="20"/>
  <c r="L34" i="20"/>
  <c r="L7" i="20"/>
  <c r="L57" i="20"/>
  <c r="L31" i="20"/>
  <c r="L28" i="20"/>
  <c r="L30" i="20"/>
  <c r="M2" i="20"/>
  <c r="L8" i="20"/>
  <c r="K72" i="20"/>
  <c r="K29" i="20"/>
  <c r="K27" i="20" s="1"/>
  <c r="K59" i="20"/>
  <c r="J66" i="19"/>
  <c r="L13" i="19"/>
  <c r="L11" i="19" s="1"/>
  <c r="I66" i="19"/>
  <c r="M63" i="19"/>
  <c r="M58" i="19"/>
  <c r="M65" i="19"/>
  <c r="M64" i="19"/>
  <c r="M53" i="19"/>
  <c r="M61" i="19"/>
  <c r="M57" i="19"/>
  <c r="M52" i="19"/>
  <c r="M59" i="19"/>
  <c r="M55" i="19"/>
  <c r="M60" i="19"/>
  <c r="M40" i="19"/>
  <c r="M51" i="19"/>
  <c r="M47" i="19"/>
  <c r="M46" i="19"/>
  <c r="M39" i="19"/>
  <c r="M50" i="19"/>
  <c r="M45" i="19"/>
  <c r="M38" i="19"/>
  <c r="M41" i="19"/>
  <c r="M37" i="19"/>
  <c r="M26" i="19"/>
  <c r="M35" i="19"/>
  <c r="M32" i="19"/>
  <c r="M20" i="19"/>
  <c r="M49" i="19"/>
  <c r="M44" i="19"/>
  <c r="M34" i="19"/>
  <c r="M28" i="19"/>
  <c r="M19" i="19"/>
  <c r="M17" i="19"/>
  <c r="M54" i="19"/>
  <c r="M31" i="19"/>
  <c r="M27" i="19"/>
  <c r="M22" i="19"/>
  <c r="M16" i="19"/>
  <c r="M33" i="19"/>
  <c r="M30" i="19"/>
  <c r="M21" i="19"/>
  <c r="M15" i="19"/>
  <c r="M12" i="19"/>
  <c r="M9" i="19"/>
  <c r="M7" i="19"/>
  <c r="M18" i="19"/>
  <c r="M14" i="19"/>
  <c r="N2" i="19"/>
  <c r="M10" i="19"/>
  <c r="M8" i="19"/>
  <c r="L36" i="19"/>
  <c r="L56" i="19"/>
  <c r="L43" i="19"/>
  <c r="L5" i="19"/>
  <c r="L24" i="19"/>
  <c r="L29" i="19"/>
  <c r="L48" i="19"/>
  <c r="L62" i="19"/>
  <c r="J3" i="18"/>
  <c r="K48" i="18"/>
  <c r="K43" i="18"/>
  <c r="K62" i="18"/>
  <c r="K56" i="18"/>
  <c r="K29" i="18"/>
  <c r="K5" i="18"/>
  <c r="K36" i="18"/>
  <c r="J42" i="18"/>
  <c r="J23" i="18" s="1"/>
  <c r="K13" i="18"/>
  <c r="K11" i="18" s="1"/>
  <c r="I3" i="18"/>
  <c r="L64" i="18"/>
  <c r="L60" i="18"/>
  <c r="L65" i="18"/>
  <c r="L61" i="18"/>
  <c r="L57" i="18"/>
  <c r="L55" i="18"/>
  <c r="L63" i="18"/>
  <c r="L58" i="18"/>
  <c r="L54" i="18"/>
  <c r="L52" i="18"/>
  <c r="L51" i="18"/>
  <c r="L59" i="18"/>
  <c r="L47" i="18"/>
  <c r="L40" i="18"/>
  <c r="L53" i="18"/>
  <c r="L46" i="18"/>
  <c r="L39" i="18"/>
  <c r="L45" i="18"/>
  <c r="L38" i="18"/>
  <c r="L50" i="18"/>
  <c r="L49" i="18"/>
  <c r="L44" i="18"/>
  <c r="L41" i="18"/>
  <c r="L34" i="18"/>
  <c r="L30" i="18"/>
  <c r="L27" i="18"/>
  <c r="L22" i="18"/>
  <c r="L18" i="18"/>
  <c r="L33" i="18"/>
  <c r="L26" i="18"/>
  <c r="L21" i="18"/>
  <c r="L17" i="18"/>
  <c r="L37" i="18"/>
  <c r="L32" i="18"/>
  <c r="L35" i="18"/>
  <c r="L31" i="18"/>
  <c r="L28" i="18"/>
  <c r="L16" i="18"/>
  <c r="L10" i="18"/>
  <c r="L20" i="18"/>
  <c r="L15" i="18"/>
  <c r="L12" i="18"/>
  <c r="L9" i="18"/>
  <c r="M2" i="18"/>
  <c r="L7" i="18"/>
  <c r="L14" i="18"/>
  <c r="L8" i="18"/>
  <c r="L19" i="18"/>
  <c r="J62" i="16"/>
  <c r="J29" i="16"/>
  <c r="H3" i="16"/>
  <c r="H66" i="16" s="1"/>
  <c r="J43" i="16"/>
  <c r="J56" i="16"/>
  <c r="G66" i="16"/>
  <c r="I3" i="16"/>
  <c r="J48" i="16"/>
  <c r="J5" i="16"/>
  <c r="K65" i="16"/>
  <c r="K61" i="16"/>
  <c r="K64" i="16"/>
  <c r="K60" i="16"/>
  <c r="K63" i="16"/>
  <c r="K53" i="16"/>
  <c r="K57" i="16"/>
  <c r="K59" i="16"/>
  <c r="K55" i="16"/>
  <c r="K52" i="16"/>
  <c r="K54" i="16"/>
  <c r="K58" i="16"/>
  <c r="K51" i="16"/>
  <c r="K50" i="16"/>
  <c r="K47" i="16"/>
  <c r="K40" i="16"/>
  <c r="K49" i="16"/>
  <c r="K46" i="16"/>
  <c r="K41" i="16"/>
  <c r="K35" i="16"/>
  <c r="K44" i="16"/>
  <c r="K39" i="16"/>
  <c r="K34" i="16"/>
  <c r="K38" i="16"/>
  <c r="K37" i="16"/>
  <c r="K33" i="16"/>
  <c r="K45" i="16"/>
  <c r="K32" i="16"/>
  <c r="K28" i="16"/>
  <c r="K22" i="16"/>
  <c r="K18" i="16"/>
  <c r="K14" i="16"/>
  <c r="K31" i="16"/>
  <c r="K30" i="16"/>
  <c r="K27" i="16"/>
  <c r="K26" i="16"/>
  <c r="K21" i="16"/>
  <c r="K17" i="16"/>
  <c r="K20" i="16"/>
  <c r="K16" i="16"/>
  <c r="K10" i="16"/>
  <c r="K19" i="16"/>
  <c r="K15" i="16"/>
  <c r="K9" i="16"/>
  <c r="L2" i="16"/>
  <c r="K8" i="16"/>
  <c r="K7" i="16"/>
  <c r="K12" i="16"/>
  <c r="J13" i="16"/>
  <c r="J11" i="16" s="1"/>
  <c r="J24" i="16"/>
  <c r="J36" i="16"/>
  <c r="I42" i="15"/>
  <c r="I23" i="15" s="1"/>
  <c r="J5" i="15"/>
  <c r="J4" i="15" s="1"/>
  <c r="J29" i="15"/>
  <c r="J13" i="15"/>
  <c r="J11" i="15" s="1"/>
  <c r="J24" i="15"/>
  <c r="J43" i="15"/>
  <c r="J56" i="15"/>
  <c r="I4" i="15"/>
  <c r="H23" i="15"/>
  <c r="K65" i="15"/>
  <c r="K61" i="15"/>
  <c r="K64" i="15"/>
  <c r="K60" i="15"/>
  <c r="K53" i="15"/>
  <c r="K59" i="15"/>
  <c r="K55" i="15"/>
  <c r="K52" i="15"/>
  <c r="K51" i="15"/>
  <c r="K57" i="15"/>
  <c r="K54" i="15"/>
  <c r="K44" i="15"/>
  <c r="K41" i="15"/>
  <c r="K37" i="15"/>
  <c r="K63" i="15"/>
  <c r="K50" i="15"/>
  <c r="K47" i="15"/>
  <c r="K40" i="15"/>
  <c r="K49" i="15"/>
  <c r="K46" i="15"/>
  <c r="K39" i="15"/>
  <c r="K35" i="15"/>
  <c r="K34" i="15"/>
  <c r="K33" i="15"/>
  <c r="K58" i="15"/>
  <c r="K31" i="15"/>
  <c r="K28" i="15"/>
  <c r="K19" i="15"/>
  <c r="K38" i="15"/>
  <c r="K32" i="15"/>
  <c r="K30" i="15"/>
  <c r="K27" i="15"/>
  <c r="K22" i="15"/>
  <c r="K18" i="15"/>
  <c r="K14" i="15"/>
  <c r="K20" i="15"/>
  <c r="K15" i="15"/>
  <c r="K45" i="15"/>
  <c r="K21" i="15"/>
  <c r="K17" i="15"/>
  <c r="K26" i="15"/>
  <c r="K12" i="15"/>
  <c r="K10" i="15"/>
  <c r="K9" i="15"/>
  <c r="K16" i="15"/>
  <c r="K8" i="15"/>
  <c r="K7" i="15"/>
  <c r="L2" i="15"/>
  <c r="J62" i="15"/>
  <c r="J48" i="15"/>
  <c r="J36" i="15"/>
  <c r="J13" i="14"/>
  <c r="J11" i="14" s="1"/>
  <c r="J24" i="14"/>
  <c r="J56" i="14"/>
  <c r="H3" i="14"/>
  <c r="J36" i="14"/>
  <c r="J48" i="14"/>
  <c r="J5" i="14"/>
  <c r="K65" i="14"/>
  <c r="K64" i="14"/>
  <c r="K60" i="14"/>
  <c r="K63" i="14"/>
  <c r="K53" i="14"/>
  <c r="K59" i="14"/>
  <c r="K55" i="14"/>
  <c r="K50" i="14"/>
  <c r="K61" i="14"/>
  <c r="K58" i="14"/>
  <c r="K57" i="14"/>
  <c r="K54" i="14"/>
  <c r="K52" i="14"/>
  <c r="K47" i="14"/>
  <c r="K49" i="14"/>
  <c r="K46" i="14"/>
  <c r="K39" i="14"/>
  <c r="K35" i="14"/>
  <c r="K31" i="14"/>
  <c r="K51" i="14"/>
  <c r="K28" i="14"/>
  <c r="K40" i="14"/>
  <c r="K32" i="14"/>
  <c r="K38" i="14"/>
  <c r="K34" i="14"/>
  <c r="K30" i="14"/>
  <c r="K45" i="14"/>
  <c r="K20" i="14"/>
  <c r="K16" i="14"/>
  <c r="K27" i="14"/>
  <c r="K22" i="14"/>
  <c r="K19" i="14"/>
  <c r="K44" i="14"/>
  <c r="K33" i="14"/>
  <c r="K41" i="14"/>
  <c r="K37" i="14"/>
  <c r="K15" i="14"/>
  <c r="K8" i="14"/>
  <c r="K14" i="14"/>
  <c r="K7" i="14"/>
  <c r="K21" i="14"/>
  <c r="K26" i="14"/>
  <c r="K18" i="14"/>
  <c r="K12" i="14"/>
  <c r="K9" i="14"/>
  <c r="K10" i="14"/>
  <c r="K17" i="14"/>
  <c r="L2" i="14"/>
  <c r="J43" i="14"/>
  <c r="I42" i="14"/>
  <c r="I23" i="14" s="1"/>
  <c r="I3" i="14"/>
  <c r="J48" i="13"/>
  <c r="J36" i="13"/>
  <c r="J5" i="13"/>
  <c r="J4" i="13" s="1"/>
  <c r="J24" i="13"/>
  <c r="J29" i="13"/>
  <c r="J56" i="13"/>
  <c r="I42" i="13"/>
  <c r="I23" i="13" s="1"/>
  <c r="G66" i="13"/>
  <c r="I4" i="13"/>
  <c r="K65" i="13"/>
  <c r="K61" i="13"/>
  <c r="K64" i="13"/>
  <c r="K60" i="13"/>
  <c r="K63" i="13"/>
  <c r="K53" i="13"/>
  <c r="K55" i="13"/>
  <c r="K51" i="13"/>
  <c r="K50" i="13"/>
  <c r="K46" i="13"/>
  <c r="K59" i="13"/>
  <c r="K58" i="13"/>
  <c r="K49" i="13"/>
  <c r="K45" i="13"/>
  <c r="K38" i="13"/>
  <c r="K57" i="13"/>
  <c r="K54" i="13"/>
  <c r="K52" i="13"/>
  <c r="K47" i="13"/>
  <c r="K37" i="13"/>
  <c r="K35" i="13"/>
  <c r="K41" i="13"/>
  <c r="K40" i="13"/>
  <c r="K44" i="13"/>
  <c r="K33" i="13"/>
  <c r="K26" i="13"/>
  <c r="K21" i="13"/>
  <c r="K17" i="13"/>
  <c r="K39" i="13"/>
  <c r="K34" i="13"/>
  <c r="K32" i="13"/>
  <c r="K20" i="13"/>
  <c r="K31" i="13"/>
  <c r="K28" i="13"/>
  <c r="K19" i="13"/>
  <c r="K15" i="13"/>
  <c r="K30" i="13"/>
  <c r="K27" i="13"/>
  <c r="K22" i="13"/>
  <c r="K18" i="13"/>
  <c r="K16" i="13"/>
  <c r="K10" i="13"/>
  <c r="K12" i="13"/>
  <c r="K9" i="13"/>
  <c r="K8" i="13"/>
  <c r="K7" i="13"/>
  <c r="K14" i="13"/>
  <c r="J13" i="13"/>
  <c r="J11" i="13" s="1"/>
  <c r="J43" i="13"/>
  <c r="J62" i="13"/>
  <c r="N214" i="3"/>
  <c r="N273" i="3"/>
  <c r="N177" i="3"/>
  <c r="N244" i="3"/>
  <c r="N242" i="3"/>
  <c r="N225" i="3"/>
  <c r="N226" i="3"/>
  <c r="N240" i="3"/>
  <c r="N252" i="3"/>
  <c r="N241" i="3"/>
  <c r="N239" i="3"/>
  <c r="N221" i="3"/>
  <c r="N315" i="3"/>
  <c r="N323" i="2"/>
  <c r="J311" i="3"/>
  <c r="N311" i="3" s="1"/>
  <c r="I245" i="3"/>
  <c r="J245" i="3" s="1"/>
  <c r="K245" i="3" s="1"/>
  <c r="J310" i="3"/>
  <c r="K310" i="3" s="1"/>
  <c r="J309" i="3"/>
  <c r="K309" i="3" s="1"/>
  <c r="J308" i="3"/>
  <c r="K308" i="3" s="1"/>
  <c r="N306" i="3"/>
  <c r="J307" i="3"/>
  <c r="N307" i="3" s="1"/>
  <c r="J305" i="3"/>
  <c r="K305" i="3" s="1"/>
  <c r="J304" i="3"/>
  <c r="K304" i="3" s="1"/>
  <c r="J303" i="3"/>
  <c r="K303" i="3" s="1"/>
  <c r="J302" i="3"/>
  <c r="K302" i="3" s="1"/>
  <c r="J301" i="3"/>
  <c r="K301" i="3" s="1"/>
  <c r="J234" i="3"/>
  <c r="K234" i="3" s="1"/>
  <c r="M25" i="20" l="1"/>
  <c r="M21" i="20"/>
  <c r="M17" i="20"/>
  <c r="M10" i="20"/>
  <c r="M22" i="20"/>
  <c r="M18" i="20"/>
  <c r="M14" i="20"/>
  <c r="M20" i="20"/>
  <c r="M13" i="20"/>
  <c r="M12" i="20"/>
  <c r="M23" i="20"/>
  <c r="M15" i="20"/>
  <c r="M11" i="20"/>
  <c r="M24" i="20"/>
  <c r="M16" i="20"/>
  <c r="M19" i="20"/>
  <c r="J66" i="18"/>
  <c r="J66" i="23"/>
  <c r="K66" i="19"/>
  <c r="J66" i="22"/>
  <c r="J66" i="24"/>
  <c r="L56" i="21"/>
  <c r="J82" i="20"/>
  <c r="L62" i="22"/>
  <c r="K24" i="15"/>
  <c r="L43" i="22"/>
  <c r="K24" i="14"/>
  <c r="K48" i="15"/>
  <c r="M29" i="19"/>
  <c r="K43" i="14"/>
  <c r="M36" i="19"/>
  <c r="L29" i="22"/>
  <c r="K62" i="16"/>
  <c r="K62" i="15"/>
  <c r="M48" i="19"/>
  <c r="L48" i="22"/>
  <c r="L24" i="21"/>
  <c r="L5" i="22"/>
  <c r="L4" i="22" s="1"/>
  <c r="K3" i="23"/>
  <c r="K3" i="22"/>
  <c r="L13" i="21"/>
  <c r="L11" i="21" s="1"/>
  <c r="K3" i="21"/>
  <c r="L5" i="23"/>
  <c r="L4" i="23" s="1"/>
  <c r="L24" i="23"/>
  <c r="K42" i="23"/>
  <c r="K23" i="23" s="1"/>
  <c r="L5" i="24"/>
  <c r="L4" i="24" s="1"/>
  <c r="M63" i="24"/>
  <c r="M58" i="24"/>
  <c r="M65" i="24"/>
  <c r="M60" i="24"/>
  <c r="M55" i="24"/>
  <c r="M61" i="24"/>
  <c r="M49" i="24"/>
  <c r="M64" i="24"/>
  <c r="M51" i="24"/>
  <c r="M47" i="24"/>
  <c r="M40" i="24"/>
  <c r="M50" i="24"/>
  <c r="M46" i="24"/>
  <c r="M39" i="24"/>
  <c r="M35" i="24"/>
  <c r="M53" i="24"/>
  <c r="M52" i="24"/>
  <c r="M41" i="24"/>
  <c r="M37" i="24"/>
  <c r="M59" i="24"/>
  <c r="M45" i="24"/>
  <c r="M34" i="24"/>
  <c r="M54" i="24"/>
  <c r="M44" i="24"/>
  <c r="M33" i="24"/>
  <c r="M57" i="24"/>
  <c r="M38" i="24"/>
  <c r="M26" i="24"/>
  <c r="M21" i="24"/>
  <c r="M17" i="24"/>
  <c r="M20" i="24"/>
  <c r="M16" i="24"/>
  <c r="M31" i="24"/>
  <c r="M28" i="24"/>
  <c r="M19" i="24"/>
  <c r="M32" i="24"/>
  <c r="M30" i="24"/>
  <c r="M27" i="24"/>
  <c r="M22" i="24"/>
  <c r="M7" i="24"/>
  <c r="N2" i="24"/>
  <c r="M15" i="24"/>
  <c r="M12" i="24"/>
  <c r="M10" i="24"/>
  <c r="M9" i="24"/>
  <c r="M18" i="24"/>
  <c r="M14" i="24"/>
  <c r="M8" i="24"/>
  <c r="L56" i="24"/>
  <c r="L62" i="24"/>
  <c r="I66" i="24"/>
  <c r="L24" i="24"/>
  <c r="L43" i="24"/>
  <c r="K42" i="24"/>
  <c r="K23" i="24" s="1"/>
  <c r="L13" i="24"/>
  <c r="L11" i="24" s="1"/>
  <c r="L29" i="24"/>
  <c r="K4" i="24"/>
  <c r="L48" i="24"/>
  <c r="L36" i="24"/>
  <c r="L43" i="23"/>
  <c r="L48" i="23"/>
  <c r="L56" i="23"/>
  <c r="L62" i="23"/>
  <c r="L36" i="23"/>
  <c r="I66" i="23"/>
  <c r="M63" i="23"/>
  <c r="M58" i="23"/>
  <c r="M65" i="23"/>
  <c r="M53" i="23"/>
  <c r="M61" i="23"/>
  <c r="M57" i="23"/>
  <c r="M49" i="23"/>
  <c r="M60" i="23"/>
  <c r="M55" i="23"/>
  <c r="M52" i="23"/>
  <c r="M59" i="23"/>
  <c r="M50" i="23"/>
  <c r="M45" i="23"/>
  <c r="M44" i="23"/>
  <c r="M64" i="23"/>
  <c r="M47" i="23"/>
  <c r="M54" i="23"/>
  <c r="M51" i="23"/>
  <c r="M40" i="23"/>
  <c r="M32" i="23"/>
  <c r="M46" i="23"/>
  <c r="M39" i="23"/>
  <c r="M35" i="23"/>
  <c r="M38" i="23"/>
  <c r="M34" i="23"/>
  <c r="M30" i="23"/>
  <c r="M31" i="23"/>
  <c r="M26" i="23"/>
  <c r="M21" i="23"/>
  <c r="M41" i="23"/>
  <c r="M37" i="23"/>
  <c r="M20" i="23"/>
  <c r="M16" i="23"/>
  <c r="M33" i="23"/>
  <c r="M28" i="23"/>
  <c r="M19" i="23"/>
  <c r="M15" i="23"/>
  <c r="M27" i="23"/>
  <c r="M17" i="23"/>
  <c r="M7" i="23"/>
  <c r="M14" i="23"/>
  <c r="M10" i="23"/>
  <c r="M22" i="23"/>
  <c r="M12" i="23"/>
  <c r="M9" i="23"/>
  <c r="M18" i="23"/>
  <c r="M8" i="23"/>
  <c r="N2" i="23"/>
  <c r="L13" i="23"/>
  <c r="L11" i="23" s="1"/>
  <c r="L29" i="23"/>
  <c r="K42" i="22"/>
  <c r="K23" i="22" s="1"/>
  <c r="L13" i="22"/>
  <c r="L11" i="22" s="1"/>
  <c r="L36" i="22"/>
  <c r="L56" i="22"/>
  <c r="L24" i="22"/>
  <c r="M63" i="22"/>
  <c r="M60" i="22"/>
  <c r="M50" i="22"/>
  <c r="M49" i="22"/>
  <c r="M52" i="22"/>
  <c r="M32" i="22"/>
  <c r="M34" i="22"/>
  <c r="M33" i="22"/>
  <c r="M9" i="22"/>
  <c r="M21" i="22"/>
  <c r="M14" i="22"/>
  <c r="M16" i="22"/>
  <c r="M65" i="22"/>
  <c r="M59" i="22"/>
  <c r="M61" i="22"/>
  <c r="M39" i="22"/>
  <c r="M38" i="22"/>
  <c r="M44" i="22"/>
  <c r="M27" i="22"/>
  <c r="M15" i="22"/>
  <c r="M22" i="22"/>
  <c r="M26" i="22"/>
  <c r="M28" i="22"/>
  <c r="M31" i="22"/>
  <c r="M58" i="22"/>
  <c r="M55" i="22"/>
  <c r="M47" i="22"/>
  <c r="M46" i="22"/>
  <c r="M45" i="22"/>
  <c r="M51" i="22"/>
  <c r="M30" i="22"/>
  <c r="M19" i="22"/>
  <c r="M37" i="22"/>
  <c r="M17" i="22"/>
  <c r="M7" i="22"/>
  <c r="M8" i="22"/>
  <c r="M41" i="22"/>
  <c r="M20" i="22"/>
  <c r="M10" i="22"/>
  <c r="M64" i="22"/>
  <c r="M53" i="22"/>
  <c r="M57" i="22"/>
  <c r="M54" i="22"/>
  <c r="M40" i="22"/>
  <c r="M35" i="22"/>
  <c r="M12" i="22"/>
  <c r="M18" i="22"/>
  <c r="N2" i="22"/>
  <c r="L62" i="21"/>
  <c r="J3" i="21"/>
  <c r="M63" i="21"/>
  <c r="M59" i="21"/>
  <c r="M58" i="21"/>
  <c r="M65" i="21"/>
  <c r="M61" i="21"/>
  <c r="M57" i="21"/>
  <c r="M60" i="21"/>
  <c r="M54" i="21"/>
  <c r="M51" i="21"/>
  <c r="M64" i="21"/>
  <c r="M52" i="21"/>
  <c r="M50" i="21"/>
  <c r="M44" i="21"/>
  <c r="M41" i="21"/>
  <c r="M49" i="21"/>
  <c r="M47" i="21"/>
  <c r="M40" i="21"/>
  <c r="M38" i="21"/>
  <c r="M33" i="21"/>
  <c r="M31" i="21"/>
  <c r="M28" i="21"/>
  <c r="M37" i="21"/>
  <c r="M30" i="21"/>
  <c r="M27" i="21"/>
  <c r="M53" i="21"/>
  <c r="M46" i="21"/>
  <c r="M35" i="21"/>
  <c r="M26" i="21"/>
  <c r="M21" i="21"/>
  <c r="M17" i="21"/>
  <c r="M22" i="21"/>
  <c r="M18" i="21"/>
  <c r="M16" i="21"/>
  <c r="M55" i="21"/>
  <c r="M34" i="21"/>
  <c r="M32" i="21"/>
  <c r="M15" i="21"/>
  <c r="M20" i="21"/>
  <c r="M45" i="21"/>
  <c r="M39" i="21"/>
  <c r="M19" i="21"/>
  <c r="M12" i="21"/>
  <c r="M9" i="21"/>
  <c r="M14" i="21"/>
  <c r="M8" i="21"/>
  <c r="M7" i="21"/>
  <c r="M10" i="21"/>
  <c r="N2" i="21"/>
  <c r="K42" i="21"/>
  <c r="K23" i="21" s="1"/>
  <c r="L36" i="21"/>
  <c r="L48" i="21"/>
  <c r="L29" i="21"/>
  <c r="L5" i="21"/>
  <c r="L43" i="21"/>
  <c r="K58" i="20"/>
  <c r="K39" i="20" s="1"/>
  <c r="K4" i="20"/>
  <c r="L45" i="20"/>
  <c r="L59" i="20"/>
  <c r="L52" i="20"/>
  <c r="L72" i="20"/>
  <c r="L78" i="20"/>
  <c r="M79" i="20"/>
  <c r="M75" i="20"/>
  <c r="M74" i="20"/>
  <c r="M81" i="20"/>
  <c r="M77" i="20"/>
  <c r="M73" i="20"/>
  <c r="M71" i="20"/>
  <c r="M68" i="20"/>
  <c r="M66" i="20"/>
  <c r="M63" i="20"/>
  <c r="M80" i="20"/>
  <c r="M76" i="20"/>
  <c r="M70" i="20"/>
  <c r="M67" i="20"/>
  <c r="M65" i="20"/>
  <c r="M62" i="20"/>
  <c r="M55" i="20"/>
  <c r="M53" i="20"/>
  <c r="M49" i="20"/>
  <c r="M69" i="20"/>
  <c r="M48" i="20"/>
  <c r="M61" i="20"/>
  <c r="M57" i="20"/>
  <c r="M51" i="20"/>
  <c r="M47" i="20"/>
  <c r="M44" i="20"/>
  <c r="M43" i="20"/>
  <c r="M36" i="20"/>
  <c r="M32" i="20"/>
  <c r="M26" i="20"/>
  <c r="M50" i="20"/>
  <c r="M35" i="20"/>
  <c r="M31" i="20"/>
  <c r="M28" i="20"/>
  <c r="M56" i="20"/>
  <c r="M54" i="20"/>
  <c r="M38" i="20"/>
  <c r="M34" i="20"/>
  <c r="M60" i="20"/>
  <c r="M30" i="20"/>
  <c r="M8" i="20"/>
  <c r="M33" i="20"/>
  <c r="M46" i="20"/>
  <c r="M37" i="20"/>
  <c r="M42" i="20"/>
  <c r="M9" i="20"/>
  <c r="M7" i="20"/>
  <c r="N2" i="20"/>
  <c r="L29" i="20"/>
  <c r="L27" i="20" s="1"/>
  <c r="L5" i="20"/>
  <c r="L4" i="20" s="1"/>
  <c r="L40" i="20"/>
  <c r="L64" i="20"/>
  <c r="I82" i="20"/>
  <c r="M24" i="19"/>
  <c r="M13" i="19"/>
  <c r="M11" i="19" s="1"/>
  <c r="M62" i="19"/>
  <c r="N65" i="19"/>
  <c r="N61" i="19"/>
  <c r="N57" i="19"/>
  <c r="N63" i="19"/>
  <c r="N60" i="19"/>
  <c r="N55" i="19"/>
  <c r="N59" i="19"/>
  <c r="N51" i="19"/>
  <c r="N58" i="19"/>
  <c r="N47" i="19"/>
  <c r="N46" i="19"/>
  <c r="N39" i="19"/>
  <c r="N35" i="19"/>
  <c r="N50" i="19"/>
  <c r="N45" i="19"/>
  <c r="N64" i="19"/>
  <c r="N54" i="19"/>
  <c r="N49" i="19"/>
  <c r="N44" i="19"/>
  <c r="N41" i="19"/>
  <c r="N40" i="19"/>
  <c r="N38" i="19"/>
  <c r="N32" i="19"/>
  <c r="N52" i="19"/>
  <c r="N34" i="19"/>
  <c r="N31" i="19"/>
  <c r="N28" i="19"/>
  <c r="N19" i="19"/>
  <c r="N37" i="19"/>
  <c r="N27" i="19"/>
  <c r="N22" i="19"/>
  <c r="N33" i="19"/>
  <c r="N30" i="19"/>
  <c r="N26" i="19"/>
  <c r="N21" i="19"/>
  <c r="N20" i="19"/>
  <c r="N18" i="19"/>
  <c r="N14" i="19"/>
  <c r="N53" i="19"/>
  <c r="N16" i="19"/>
  <c r="O2" i="19"/>
  <c r="N17" i="19"/>
  <c r="N10" i="19"/>
  <c r="N8" i="19"/>
  <c r="N12" i="19"/>
  <c r="N9" i="19"/>
  <c r="N15" i="19"/>
  <c r="N7" i="19"/>
  <c r="L42" i="19"/>
  <c r="L23" i="19" s="1"/>
  <c r="L4" i="19"/>
  <c r="M5" i="19"/>
  <c r="M4" i="19" s="1"/>
  <c r="M43" i="19"/>
  <c r="M56" i="19"/>
  <c r="L62" i="18"/>
  <c r="L13" i="18"/>
  <c r="L11" i="18" s="1"/>
  <c r="L43" i="18"/>
  <c r="L24" i="18"/>
  <c r="L5" i="18"/>
  <c r="L4" i="18" s="1"/>
  <c r="L36" i="18"/>
  <c r="L29" i="18"/>
  <c r="L48" i="18"/>
  <c r="L56" i="18"/>
  <c r="K42" i="18"/>
  <c r="K23" i="18" s="1"/>
  <c r="M63" i="18"/>
  <c r="M59" i="18"/>
  <c r="M64" i="18"/>
  <c r="M60" i="18"/>
  <c r="M54" i="18"/>
  <c r="M58" i="18"/>
  <c r="M52" i="18"/>
  <c r="M61" i="18"/>
  <c r="M57" i="18"/>
  <c r="M51" i="18"/>
  <c r="M65" i="18"/>
  <c r="M53" i="18"/>
  <c r="M50" i="18"/>
  <c r="M55" i="18"/>
  <c r="M46" i="18"/>
  <c r="M39" i="18"/>
  <c r="M45" i="18"/>
  <c r="M38" i="18"/>
  <c r="M49" i="18"/>
  <c r="M44" i="18"/>
  <c r="M41" i="18"/>
  <c r="M37" i="18"/>
  <c r="M47" i="18"/>
  <c r="M33" i="18"/>
  <c r="M26" i="18"/>
  <c r="M21" i="18"/>
  <c r="M32" i="18"/>
  <c r="M20" i="18"/>
  <c r="M35" i="18"/>
  <c r="M31" i="18"/>
  <c r="M28" i="18"/>
  <c r="M40" i="18"/>
  <c r="M34" i="18"/>
  <c r="M30" i="18"/>
  <c r="M27" i="18"/>
  <c r="M15" i="18"/>
  <c r="M12" i="18"/>
  <c r="M9" i="18"/>
  <c r="M14" i="18"/>
  <c r="M8" i="18"/>
  <c r="M19" i="18"/>
  <c r="M7" i="18"/>
  <c r="N2" i="18"/>
  <c r="M22" i="18"/>
  <c r="M18" i="18"/>
  <c r="M17" i="18"/>
  <c r="M16" i="18"/>
  <c r="M10" i="18"/>
  <c r="I66" i="18"/>
  <c r="K4" i="18"/>
  <c r="I66" i="16"/>
  <c r="L64" i="16"/>
  <c r="L63" i="16"/>
  <c r="L59" i="16"/>
  <c r="L57" i="16"/>
  <c r="L61" i="16"/>
  <c r="L60" i="16"/>
  <c r="L65" i="16"/>
  <c r="L58" i="16"/>
  <c r="L54" i="16"/>
  <c r="L51" i="16"/>
  <c r="L53" i="16"/>
  <c r="L50" i="16"/>
  <c r="L47" i="16"/>
  <c r="L55" i="16"/>
  <c r="L52" i="16"/>
  <c r="L49" i="16"/>
  <c r="L46" i="16"/>
  <c r="L39" i="16"/>
  <c r="L45" i="16"/>
  <c r="L44" i="16"/>
  <c r="L40" i="16"/>
  <c r="L34" i="16"/>
  <c r="L38" i="16"/>
  <c r="L37" i="16"/>
  <c r="L33" i="16"/>
  <c r="L32" i="16"/>
  <c r="L41" i="16"/>
  <c r="L35" i="16"/>
  <c r="L31" i="16"/>
  <c r="L28" i="16"/>
  <c r="L30" i="16"/>
  <c r="L27" i="16"/>
  <c r="L26" i="16"/>
  <c r="L21" i="16"/>
  <c r="L17" i="16"/>
  <c r="L20" i="16"/>
  <c r="L16" i="16"/>
  <c r="L19" i="16"/>
  <c r="L15" i="16"/>
  <c r="L12" i="16"/>
  <c r="L9" i="16"/>
  <c r="L22" i="16"/>
  <c r="L18" i="16"/>
  <c r="L10" i="16"/>
  <c r="L8" i="16"/>
  <c r="M2" i="16"/>
  <c r="L7" i="16"/>
  <c r="L14" i="16"/>
  <c r="K36" i="16"/>
  <c r="K43" i="16"/>
  <c r="K48" i="16"/>
  <c r="J42" i="16"/>
  <c r="J23" i="16" s="1"/>
  <c r="K29" i="16"/>
  <c r="K24" i="16"/>
  <c r="K13" i="16"/>
  <c r="K11" i="16" s="1"/>
  <c r="J4" i="16"/>
  <c r="K5" i="16"/>
  <c r="K4" i="16" s="1"/>
  <c r="K56" i="16"/>
  <c r="K36" i="15"/>
  <c r="K56" i="15"/>
  <c r="I3" i="15"/>
  <c r="J42" i="15"/>
  <c r="J23" i="15" s="1"/>
  <c r="J3" i="15"/>
  <c r="L64" i="15"/>
  <c r="L63" i="15"/>
  <c r="L59" i="15"/>
  <c r="L61" i="15"/>
  <c r="L57" i="15"/>
  <c r="L55" i="15"/>
  <c r="L52" i="15"/>
  <c r="L65" i="15"/>
  <c r="L60" i="15"/>
  <c r="L51" i="15"/>
  <c r="L58" i="15"/>
  <c r="L54" i="15"/>
  <c r="L50" i="15"/>
  <c r="L47" i="15"/>
  <c r="L40" i="15"/>
  <c r="L49" i="15"/>
  <c r="L46" i="15"/>
  <c r="L39" i="15"/>
  <c r="L35" i="15"/>
  <c r="L53" i="15"/>
  <c r="L45" i="15"/>
  <c r="L38" i="15"/>
  <c r="L34" i="15"/>
  <c r="L44" i="15"/>
  <c r="L31" i="15"/>
  <c r="L28" i="15"/>
  <c r="L32" i="15"/>
  <c r="L30" i="15"/>
  <c r="L27" i="15"/>
  <c r="L22" i="15"/>
  <c r="L18" i="15"/>
  <c r="L26" i="15"/>
  <c r="L21" i="15"/>
  <c r="L17" i="15"/>
  <c r="L33" i="15"/>
  <c r="L19" i="15"/>
  <c r="L41" i="15"/>
  <c r="L37" i="15"/>
  <c r="L16" i="15"/>
  <c r="L15" i="15"/>
  <c r="L12" i="15"/>
  <c r="L20" i="15"/>
  <c r="L14" i="15"/>
  <c r="L8" i="15"/>
  <c r="L7" i="15"/>
  <c r="L10" i="15"/>
  <c r="L9" i="15"/>
  <c r="M2" i="15"/>
  <c r="K43" i="15"/>
  <c r="H66" i="15"/>
  <c r="K5" i="15"/>
  <c r="K13" i="15"/>
  <c r="K11" i="15" s="1"/>
  <c r="K29" i="15"/>
  <c r="K36" i="14"/>
  <c r="L64" i="14"/>
  <c r="L63" i="14"/>
  <c r="L59" i="14"/>
  <c r="L65" i="14"/>
  <c r="L61" i="14"/>
  <c r="L57" i="14"/>
  <c r="L60" i="14"/>
  <c r="L49" i="14"/>
  <c r="L58" i="14"/>
  <c r="L54" i="14"/>
  <c r="L52" i="14"/>
  <c r="L53" i="14"/>
  <c r="L51" i="14"/>
  <c r="L55" i="14"/>
  <c r="L47" i="14"/>
  <c r="L46" i="14"/>
  <c r="L50" i="14"/>
  <c r="L45" i="14"/>
  <c r="L38" i="14"/>
  <c r="L34" i="14"/>
  <c r="L30" i="14"/>
  <c r="L40" i="14"/>
  <c r="L32" i="14"/>
  <c r="L27" i="14"/>
  <c r="L22" i="14"/>
  <c r="L39" i="14"/>
  <c r="L35" i="14"/>
  <c r="L44" i="14"/>
  <c r="L41" i="14"/>
  <c r="L37" i="14"/>
  <c r="L33" i="14"/>
  <c r="L19" i="14"/>
  <c r="L15" i="14"/>
  <c r="L31" i="14"/>
  <c r="L28" i="14"/>
  <c r="L26" i="14"/>
  <c r="L21" i="14"/>
  <c r="L20" i="14"/>
  <c r="L18" i="14"/>
  <c r="L14" i="14"/>
  <c r="L7" i="14"/>
  <c r="L10" i="14"/>
  <c r="L8" i="14"/>
  <c r="L17" i="14"/>
  <c r="L12" i="14"/>
  <c r="L9" i="14"/>
  <c r="M2" i="14"/>
  <c r="L16" i="14"/>
  <c r="K5" i="14"/>
  <c r="K4" i="14" s="1"/>
  <c r="K62" i="14"/>
  <c r="J4" i="14"/>
  <c r="H66" i="14"/>
  <c r="I66" i="14"/>
  <c r="K13" i="14"/>
  <c r="K11" i="14" s="1"/>
  <c r="K48" i="14"/>
  <c r="K56" i="14"/>
  <c r="K29" i="14"/>
  <c r="J42" i="14"/>
  <c r="J23" i="14" s="1"/>
  <c r="K62" i="13"/>
  <c r="K13" i="13"/>
  <c r="K11" i="13" s="1"/>
  <c r="K43" i="13"/>
  <c r="K36" i="13"/>
  <c r="K56" i="13"/>
  <c r="K5" i="13"/>
  <c r="I3" i="13"/>
  <c r="J3" i="13"/>
  <c r="J42" i="13"/>
  <c r="J23" i="13" s="1"/>
  <c r="K24" i="13"/>
  <c r="L64" i="13"/>
  <c r="L60" i="13"/>
  <c r="L63" i="13"/>
  <c r="L59" i="13"/>
  <c r="L57" i="13"/>
  <c r="L52" i="13"/>
  <c r="L65" i="13"/>
  <c r="L61" i="13"/>
  <c r="L58" i="13"/>
  <c r="L54" i="13"/>
  <c r="L49" i="13"/>
  <c r="L45" i="13"/>
  <c r="L55" i="13"/>
  <c r="L44" i="13"/>
  <c r="L41" i="13"/>
  <c r="L37" i="13"/>
  <c r="L47" i="13"/>
  <c r="L53" i="13"/>
  <c r="L51" i="13"/>
  <c r="L50" i="13"/>
  <c r="L46" i="13"/>
  <c r="L40" i="13"/>
  <c r="L34" i="13"/>
  <c r="L39" i="13"/>
  <c r="L32" i="13"/>
  <c r="L20" i="13"/>
  <c r="L16" i="13"/>
  <c r="L33" i="13"/>
  <c r="L31" i="13"/>
  <c r="L28" i="13"/>
  <c r="L19" i="13"/>
  <c r="L30" i="13"/>
  <c r="L27" i="13"/>
  <c r="L22" i="13"/>
  <c r="L18" i="13"/>
  <c r="L14" i="13"/>
  <c r="L38" i="13"/>
  <c r="L35" i="13"/>
  <c r="L26" i="13"/>
  <c r="L21" i="13"/>
  <c r="L17" i="13"/>
  <c r="L12" i="13"/>
  <c r="L9" i="13"/>
  <c r="L8" i="13"/>
  <c r="L7" i="13"/>
  <c r="L15" i="13"/>
  <c r="L10" i="13"/>
  <c r="K29" i="13"/>
  <c r="K48" i="13"/>
  <c r="N302" i="3"/>
  <c r="N310" i="3"/>
  <c r="N303" i="3"/>
  <c r="N305" i="3"/>
  <c r="N234" i="3"/>
  <c r="N308" i="3"/>
  <c r="N301" i="3"/>
  <c r="N309" i="3"/>
  <c r="N245" i="3"/>
  <c r="I277" i="3"/>
  <c r="I250" i="3"/>
  <c r="J250" i="3" s="1"/>
  <c r="K250" i="3" s="1"/>
  <c r="J274" i="3"/>
  <c r="N274" i="3"/>
  <c r="N10" i="20" l="1"/>
  <c r="N23" i="20"/>
  <c r="N15" i="20"/>
  <c r="N22" i="20"/>
  <c r="N18" i="20"/>
  <c r="N14" i="20"/>
  <c r="N19" i="20"/>
  <c r="N11" i="20"/>
  <c r="N13" i="20"/>
  <c r="N12" i="20"/>
  <c r="N21" i="20"/>
  <c r="N24" i="20"/>
  <c r="N16" i="20"/>
  <c r="N25" i="20"/>
  <c r="N20" i="20"/>
  <c r="N17" i="20"/>
  <c r="K66" i="22"/>
  <c r="K66" i="21"/>
  <c r="K66" i="23"/>
  <c r="L42" i="22"/>
  <c r="L23" i="22" s="1"/>
  <c r="L48" i="16"/>
  <c r="L36" i="15"/>
  <c r="M56" i="22"/>
  <c r="M56" i="24"/>
  <c r="K42" i="13"/>
  <c r="K23" i="13" s="1"/>
  <c r="N36" i="19"/>
  <c r="L43" i="14"/>
  <c r="M42" i="19"/>
  <c r="M23" i="19" s="1"/>
  <c r="M43" i="24"/>
  <c r="K42" i="15"/>
  <c r="K23" i="15" s="1"/>
  <c r="N43" i="19"/>
  <c r="J66" i="15"/>
  <c r="M45" i="20"/>
  <c r="K42" i="14"/>
  <c r="K23" i="14" s="1"/>
  <c r="M29" i="24"/>
  <c r="L3" i="22"/>
  <c r="L5" i="13"/>
  <c r="L4" i="13" s="1"/>
  <c r="L5" i="15"/>
  <c r="L4" i="15" s="1"/>
  <c r="M5" i="22"/>
  <c r="M4" i="22" s="1"/>
  <c r="N5" i="19"/>
  <c r="N4" i="19" s="1"/>
  <c r="M43" i="23"/>
  <c r="M56" i="23"/>
  <c r="K3" i="24"/>
  <c r="L42" i="24"/>
  <c r="L23" i="24" s="1"/>
  <c r="M13" i="24"/>
  <c r="M11" i="24" s="1"/>
  <c r="M36" i="24"/>
  <c r="M48" i="24"/>
  <c r="N65" i="24"/>
  <c r="N61" i="24"/>
  <c r="N57" i="24"/>
  <c r="N64" i="24"/>
  <c r="N59" i="24"/>
  <c r="N54" i="24"/>
  <c r="N60" i="24"/>
  <c r="N52" i="24"/>
  <c r="N58" i="24"/>
  <c r="N55" i="24"/>
  <c r="N50" i="24"/>
  <c r="N46" i="24"/>
  <c r="N39" i="24"/>
  <c r="N35" i="24"/>
  <c r="N63" i="24"/>
  <c r="N53" i="24"/>
  <c r="N49" i="24"/>
  <c r="N45" i="24"/>
  <c r="N38" i="24"/>
  <c r="N40" i="24"/>
  <c r="N51" i="24"/>
  <c r="N44" i="24"/>
  <c r="N47" i="24"/>
  <c r="N32" i="24"/>
  <c r="N41" i="24"/>
  <c r="N37" i="24"/>
  <c r="N20" i="24"/>
  <c r="N16" i="24"/>
  <c r="N33" i="24"/>
  <c r="N31" i="24"/>
  <c r="N28" i="24"/>
  <c r="N19" i="24"/>
  <c r="N15" i="24"/>
  <c r="N34" i="24"/>
  <c r="N30" i="24"/>
  <c r="N27" i="24"/>
  <c r="N22" i="24"/>
  <c r="N21" i="24"/>
  <c r="N12" i="24"/>
  <c r="N10" i="24"/>
  <c r="O2" i="24"/>
  <c r="N8" i="24"/>
  <c r="N18" i="24"/>
  <c r="N14" i="24"/>
  <c r="N9" i="24"/>
  <c r="N26" i="24"/>
  <c r="N17" i="24"/>
  <c r="N7" i="24"/>
  <c r="M62" i="24"/>
  <c r="M5" i="24"/>
  <c r="M24" i="24"/>
  <c r="L3" i="24"/>
  <c r="M13" i="23"/>
  <c r="M11" i="23" s="1"/>
  <c r="M62" i="23"/>
  <c r="L42" i="23"/>
  <c r="L23" i="23" s="1"/>
  <c r="N65" i="23"/>
  <c r="N61" i="23"/>
  <c r="N57" i="23"/>
  <c r="N64" i="23"/>
  <c r="N60" i="23"/>
  <c r="N55" i="23"/>
  <c r="N52" i="23"/>
  <c r="N59" i="23"/>
  <c r="N54" i="23"/>
  <c r="N49" i="23"/>
  <c r="N63" i="23"/>
  <c r="N47" i="23"/>
  <c r="N51" i="23"/>
  <c r="N46" i="23"/>
  <c r="N44" i="23"/>
  <c r="N39" i="23"/>
  <c r="N35" i="23"/>
  <c r="N31" i="23"/>
  <c r="N28" i="23"/>
  <c r="N58" i="23"/>
  <c r="N45" i="23"/>
  <c r="N38" i="23"/>
  <c r="N41" i="23"/>
  <c r="N37" i="23"/>
  <c r="N33" i="23"/>
  <c r="N34" i="23"/>
  <c r="N30" i="23"/>
  <c r="N20" i="23"/>
  <c r="N53" i="23"/>
  <c r="N50" i="23"/>
  <c r="N40" i="23"/>
  <c r="N19" i="23"/>
  <c r="N15" i="23"/>
  <c r="N32" i="23"/>
  <c r="N27" i="23"/>
  <c r="N22" i="23"/>
  <c r="N18" i="23"/>
  <c r="N16" i="23"/>
  <c r="N14" i="23"/>
  <c r="N10" i="23"/>
  <c r="N12" i="23"/>
  <c r="N9" i="23"/>
  <c r="O2" i="23"/>
  <c r="N21" i="23"/>
  <c r="N26" i="23"/>
  <c r="N17" i="23"/>
  <c r="N7" i="23"/>
  <c r="N8" i="23"/>
  <c r="M5" i="23"/>
  <c r="M4" i="23" s="1"/>
  <c r="M24" i="23"/>
  <c r="L3" i="23"/>
  <c r="M29" i="23"/>
  <c r="M36" i="23"/>
  <c r="M48" i="23"/>
  <c r="M36" i="22"/>
  <c r="M62" i="22"/>
  <c r="N65" i="22"/>
  <c r="N59" i="22"/>
  <c r="N54" i="22"/>
  <c r="N53" i="22"/>
  <c r="N47" i="22"/>
  <c r="N28" i="22"/>
  <c r="N46" i="22"/>
  <c r="N38" i="22"/>
  <c r="N14" i="22"/>
  <c r="N16" i="22"/>
  <c r="N27" i="22"/>
  <c r="N9" i="22"/>
  <c r="N57" i="22"/>
  <c r="N60" i="22"/>
  <c r="N45" i="22"/>
  <c r="N44" i="22"/>
  <c r="N35" i="22"/>
  <c r="N34" i="22"/>
  <c r="N33" i="22"/>
  <c r="N22" i="22"/>
  <c r="N26" i="22"/>
  <c r="N17" i="22"/>
  <c r="N10" i="22"/>
  <c r="N15" i="22"/>
  <c r="N61" i="22"/>
  <c r="N58" i="22"/>
  <c r="N52" i="22"/>
  <c r="N51" i="22"/>
  <c r="N39" i="22"/>
  <c r="N50" i="22"/>
  <c r="N37" i="22"/>
  <c r="N32" i="22"/>
  <c r="N21" i="22"/>
  <c r="N19" i="22"/>
  <c r="N12" i="22"/>
  <c r="N30" i="22"/>
  <c r="N63" i="22"/>
  <c r="N49" i="22"/>
  <c r="N55" i="22"/>
  <c r="N41" i="22"/>
  <c r="N31" i="22"/>
  <c r="N64" i="22"/>
  <c r="N40" i="22"/>
  <c r="N18" i="22"/>
  <c r="N20" i="22"/>
  <c r="O2" i="22"/>
  <c r="N8" i="22"/>
  <c r="N7" i="22"/>
  <c r="M48" i="22"/>
  <c r="M29" i="22"/>
  <c r="M13" i="22"/>
  <c r="M11" i="22" s="1"/>
  <c r="M24" i="22"/>
  <c r="M43" i="22"/>
  <c r="M43" i="21"/>
  <c r="M62" i="21"/>
  <c r="L42" i="21"/>
  <c r="L23" i="21" s="1"/>
  <c r="N65" i="21"/>
  <c r="N61" i="21"/>
  <c r="N57" i="21"/>
  <c r="N64" i="21"/>
  <c r="N55" i="21"/>
  <c r="N52" i="21"/>
  <c r="N59" i="21"/>
  <c r="N53" i="21"/>
  <c r="N63" i="21"/>
  <c r="N58" i="21"/>
  <c r="N54" i="21"/>
  <c r="N49" i="21"/>
  <c r="N47" i="21"/>
  <c r="N51" i="21"/>
  <c r="N46" i="21"/>
  <c r="N39" i="21"/>
  <c r="N35" i="21"/>
  <c r="N37" i="21"/>
  <c r="N30" i="21"/>
  <c r="N27" i="21"/>
  <c r="N50" i="21"/>
  <c r="N40" i="21"/>
  <c r="N60" i="21"/>
  <c r="N45" i="21"/>
  <c r="N41" i="21"/>
  <c r="N34" i="21"/>
  <c r="N32" i="21"/>
  <c r="N20" i="21"/>
  <c r="N33" i="21"/>
  <c r="N28" i="21"/>
  <c r="N26" i="21"/>
  <c r="N21" i="21"/>
  <c r="N17" i="21"/>
  <c r="N31" i="21"/>
  <c r="N38" i="21"/>
  <c r="N19" i="21"/>
  <c r="N44" i="21"/>
  <c r="N22" i="21"/>
  <c r="N18" i="21"/>
  <c r="N14" i="21"/>
  <c r="N15" i="21"/>
  <c r="N16" i="21"/>
  <c r="N10" i="21"/>
  <c r="N12" i="21"/>
  <c r="N9" i="21"/>
  <c r="O2" i="21"/>
  <c r="N8" i="21"/>
  <c r="N7" i="21"/>
  <c r="M13" i="21"/>
  <c r="M11" i="21" s="1"/>
  <c r="M24" i="21"/>
  <c r="L4" i="21"/>
  <c r="L3" i="21" s="1"/>
  <c r="M29" i="21"/>
  <c r="M48" i="21"/>
  <c r="J66" i="21"/>
  <c r="M5" i="21"/>
  <c r="M4" i="21" s="1"/>
  <c r="M36" i="21"/>
  <c r="M56" i="21"/>
  <c r="M78" i="20"/>
  <c r="M52" i="20"/>
  <c r="L3" i="20"/>
  <c r="M72" i="20"/>
  <c r="N81" i="20"/>
  <c r="N77" i="20"/>
  <c r="N73" i="20"/>
  <c r="N80" i="20"/>
  <c r="N71" i="20"/>
  <c r="N68" i="20"/>
  <c r="N74" i="20"/>
  <c r="N66" i="20"/>
  <c r="N76" i="20"/>
  <c r="N70" i="20"/>
  <c r="N67" i="20"/>
  <c r="N65" i="20"/>
  <c r="N79" i="20"/>
  <c r="N75" i="20"/>
  <c r="N69" i="20"/>
  <c r="N61" i="20"/>
  <c r="N62" i="20"/>
  <c r="N48" i="20"/>
  <c r="N63" i="20"/>
  <c r="N57" i="20"/>
  <c r="N51" i="20"/>
  <c r="N60" i="20"/>
  <c r="N56" i="20"/>
  <c r="N54" i="20"/>
  <c r="N50" i="20"/>
  <c r="N46" i="20"/>
  <c r="N44" i="20"/>
  <c r="N35" i="20"/>
  <c r="N31" i="20"/>
  <c r="N28" i="20"/>
  <c r="N55" i="20"/>
  <c r="N49" i="20"/>
  <c r="N47" i="20"/>
  <c r="N38" i="20"/>
  <c r="N34" i="20"/>
  <c r="N30" i="20"/>
  <c r="N53" i="20"/>
  <c r="N42" i="20"/>
  <c r="N37" i="20"/>
  <c r="N33" i="20"/>
  <c r="N43" i="20"/>
  <c r="N9" i="20"/>
  <c r="O2" i="20"/>
  <c r="N36" i="20"/>
  <c r="N8" i="20"/>
  <c r="N26" i="20"/>
  <c r="N7" i="20"/>
  <c r="N32" i="20"/>
  <c r="M29" i="20"/>
  <c r="M27" i="20" s="1"/>
  <c r="M40" i="20"/>
  <c r="M5" i="20"/>
  <c r="M4" i="20" s="1"/>
  <c r="M59" i="20"/>
  <c r="M64" i="20"/>
  <c r="L58" i="20"/>
  <c r="L39" i="20" s="1"/>
  <c r="K3" i="20"/>
  <c r="N56" i="19"/>
  <c r="N13" i="19"/>
  <c r="N11" i="19" s="1"/>
  <c r="N24" i="19"/>
  <c r="N48" i="19"/>
  <c r="M3" i="19"/>
  <c r="O65" i="19"/>
  <c r="O64" i="19"/>
  <c r="O60" i="19"/>
  <c r="O61" i="19"/>
  <c r="O57" i="19"/>
  <c r="O55" i="19"/>
  <c r="O59" i="19"/>
  <c r="O54" i="19"/>
  <c r="O63" i="19"/>
  <c r="O50" i="19"/>
  <c r="O47" i="19"/>
  <c r="O58" i="19"/>
  <c r="O51" i="19"/>
  <c r="O45" i="19"/>
  <c r="O38" i="19"/>
  <c r="O34" i="19"/>
  <c r="O49" i="19"/>
  <c r="O44" i="19"/>
  <c r="O41" i="19"/>
  <c r="O53" i="19"/>
  <c r="O52" i="19"/>
  <c r="O40" i="19"/>
  <c r="O35" i="19"/>
  <c r="O31" i="19"/>
  <c r="O28" i="19"/>
  <c r="O39" i="19"/>
  <c r="O33" i="19"/>
  <c r="O30" i="19"/>
  <c r="O27" i="19"/>
  <c r="O22" i="19"/>
  <c r="O37" i="19"/>
  <c r="O26" i="19"/>
  <c r="O21" i="19"/>
  <c r="O46" i="19"/>
  <c r="O20" i="19"/>
  <c r="O18" i="19"/>
  <c r="O17" i="19"/>
  <c r="O32" i="19"/>
  <c r="O19" i="19"/>
  <c r="O14" i="19"/>
  <c r="P2" i="19"/>
  <c r="O8" i="19"/>
  <c r="O10" i="19"/>
  <c r="O15" i="19"/>
  <c r="O12" i="19"/>
  <c r="O9" i="19"/>
  <c r="O7" i="19"/>
  <c r="O16" i="19"/>
  <c r="N29" i="19"/>
  <c r="L3" i="19"/>
  <c r="N62" i="19"/>
  <c r="L42" i="18"/>
  <c r="L23" i="18" s="1"/>
  <c r="L3" i="18"/>
  <c r="M5" i="18"/>
  <c r="M4" i="18" s="1"/>
  <c r="M29" i="18"/>
  <c r="M43" i="18"/>
  <c r="M36" i="18"/>
  <c r="M24" i="18"/>
  <c r="M56" i="18"/>
  <c r="M62" i="18"/>
  <c r="K3" i="18"/>
  <c r="N58" i="18"/>
  <c r="N63" i="18"/>
  <c r="N59" i="18"/>
  <c r="N65" i="18"/>
  <c r="N61" i="18"/>
  <c r="N57" i="18"/>
  <c r="N55" i="18"/>
  <c r="N60" i="18"/>
  <c r="N64" i="18"/>
  <c r="N53" i="18"/>
  <c r="N50" i="18"/>
  <c r="N54" i="18"/>
  <c r="N45" i="18"/>
  <c r="N51" i="18"/>
  <c r="N49" i="18"/>
  <c r="N44" i="18"/>
  <c r="N41" i="18"/>
  <c r="N52" i="18"/>
  <c r="N47" i="18"/>
  <c r="N40" i="18"/>
  <c r="N46" i="18"/>
  <c r="N32" i="18"/>
  <c r="N20" i="18"/>
  <c r="N37" i="18"/>
  <c r="N35" i="18"/>
  <c r="N31" i="18"/>
  <c r="N28" i="18"/>
  <c r="N19" i="18"/>
  <c r="N38" i="18"/>
  <c r="N34" i="18"/>
  <c r="N30" i="18"/>
  <c r="N39" i="18"/>
  <c r="N33" i="18"/>
  <c r="N14" i="18"/>
  <c r="N8" i="18"/>
  <c r="N26" i="18"/>
  <c r="N7" i="18"/>
  <c r="N9" i="18"/>
  <c r="O2" i="18"/>
  <c r="N27" i="18"/>
  <c r="N22" i="18"/>
  <c r="N18" i="18"/>
  <c r="N17" i="18"/>
  <c r="N16" i="18"/>
  <c r="N10" i="18"/>
  <c r="N21" i="18"/>
  <c r="N15" i="18"/>
  <c r="N12" i="18"/>
  <c r="M13" i="18"/>
  <c r="M11" i="18" s="1"/>
  <c r="M48" i="18"/>
  <c r="L24" i="16"/>
  <c r="L13" i="16"/>
  <c r="L11" i="16" s="1"/>
  <c r="L36" i="16"/>
  <c r="L43" i="16"/>
  <c r="L56" i="16"/>
  <c r="K3" i="16"/>
  <c r="J3" i="16"/>
  <c r="L29" i="16"/>
  <c r="L5" i="16"/>
  <c r="K42" i="16"/>
  <c r="K23" i="16" s="1"/>
  <c r="M63" i="16"/>
  <c r="M58" i="16"/>
  <c r="M65" i="16"/>
  <c r="M61" i="16"/>
  <c r="M60" i="16"/>
  <c r="M55" i="16"/>
  <c r="M52" i="16"/>
  <c r="M59" i="16"/>
  <c r="M53" i="16"/>
  <c r="M64" i="16"/>
  <c r="M57" i="16"/>
  <c r="M50" i="16"/>
  <c r="M47" i="16"/>
  <c r="M51" i="16"/>
  <c r="M49" i="16"/>
  <c r="M46" i="16"/>
  <c r="M45" i="16"/>
  <c r="M38" i="16"/>
  <c r="M54" i="16"/>
  <c r="M39" i="16"/>
  <c r="M37" i="16"/>
  <c r="M32" i="16"/>
  <c r="M41" i="16"/>
  <c r="M35" i="16"/>
  <c r="M31" i="16"/>
  <c r="M44" i="16"/>
  <c r="M40" i="16"/>
  <c r="M34" i="16"/>
  <c r="M30" i="16"/>
  <c r="M27" i="16"/>
  <c r="M20" i="16"/>
  <c r="M16" i="16"/>
  <c r="M10" i="16"/>
  <c r="M33" i="16"/>
  <c r="M19" i="16"/>
  <c r="M15" i="16"/>
  <c r="M22" i="16"/>
  <c r="M18" i="16"/>
  <c r="M14" i="16"/>
  <c r="M28" i="16"/>
  <c r="M26" i="16"/>
  <c r="M21" i="16"/>
  <c r="M17" i="16"/>
  <c r="M7" i="16"/>
  <c r="M12" i="16"/>
  <c r="N2" i="16"/>
  <c r="M9" i="16"/>
  <c r="M8" i="16"/>
  <c r="L62" i="16"/>
  <c r="L62" i="15"/>
  <c r="L56" i="15"/>
  <c r="K4" i="15"/>
  <c r="K3" i="15" s="1"/>
  <c r="M63" i="15"/>
  <c r="M58" i="15"/>
  <c r="M65" i="15"/>
  <c r="M60" i="15"/>
  <c r="M55" i="15"/>
  <c r="M52" i="15"/>
  <c r="M61" i="15"/>
  <c r="M51" i="15"/>
  <c r="M54" i="15"/>
  <c r="M64" i="15"/>
  <c r="M57" i="15"/>
  <c r="M53" i="15"/>
  <c r="M50" i="15"/>
  <c r="M49" i="15"/>
  <c r="M46" i="15"/>
  <c r="M39" i="15"/>
  <c r="M35" i="15"/>
  <c r="M59" i="15"/>
  <c r="M45" i="15"/>
  <c r="M38" i="15"/>
  <c r="M34" i="15"/>
  <c r="M44" i="15"/>
  <c r="M41" i="15"/>
  <c r="M37" i="15"/>
  <c r="M33" i="15"/>
  <c r="M40" i="15"/>
  <c r="M32" i="15"/>
  <c r="M30" i="15"/>
  <c r="M27" i="15"/>
  <c r="M22" i="15"/>
  <c r="M47" i="15"/>
  <c r="M26" i="15"/>
  <c r="M21" i="15"/>
  <c r="M17" i="15"/>
  <c r="M20" i="15"/>
  <c r="M16" i="15"/>
  <c r="M10" i="15"/>
  <c r="M19" i="15"/>
  <c r="M28" i="15"/>
  <c r="M18" i="15"/>
  <c r="M31" i="15"/>
  <c r="M12" i="15"/>
  <c r="M9" i="15"/>
  <c r="M14" i="15"/>
  <c r="M7" i="15"/>
  <c r="M15" i="15"/>
  <c r="N2" i="15"/>
  <c r="M8" i="15"/>
  <c r="L24" i="15"/>
  <c r="L29" i="15"/>
  <c r="L43" i="15"/>
  <c r="L48" i="15"/>
  <c r="L13" i="15"/>
  <c r="L11" i="15" s="1"/>
  <c r="I66" i="15"/>
  <c r="L24" i="14"/>
  <c r="L36" i="14"/>
  <c r="L62" i="14"/>
  <c r="L56" i="14"/>
  <c r="J3" i="14"/>
  <c r="M63" i="14"/>
  <c r="M58" i="14"/>
  <c r="M65" i="14"/>
  <c r="M64" i="14"/>
  <c r="M61" i="14"/>
  <c r="M60" i="14"/>
  <c r="M55" i="14"/>
  <c r="M54" i="14"/>
  <c r="M52" i="14"/>
  <c r="M57" i="14"/>
  <c r="M53" i="14"/>
  <c r="M51" i="14"/>
  <c r="M50" i="14"/>
  <c r="M59" i="14"/>
  <c r="M46" i="14"/>
  <c r="M49" i="14"/>
  <c r="M45" i="14"/>
  <c r="M44" i="14"/>
  <c r="M41" i="14"/>
  <c r="M37" i="14"/>
  <c r="M33" i="14"/>
  <c r="M39" i="14"/>
  <c r="M35" i="14"/>
  <c r="M31" i="14"/>
  <c r="M26" i="14"/>
  <c r="M21" i="14"/>
  <c r="M38" i="14"/>
  <c r="M34" i="14"/>
  <c r="M28" i="14"/>
  <c r="M47" i="14"/>
  <c r="M27" i="14"/>
  <c r="M22" i="14"/>
  <c r="M18" i="14"/>
  <c r="M14" i="14"/>
  <c r="M32" i="14"/>
  <c r="M40" i="14"/>
  <c r="M30" i="14"/>
  <c r="M10" i="14"/>
  <c r="M12" i="14"/>
  <c r="N2" i="14"/>
  <c r="M20" i="14"/>
  <c r="M19" i="14"/>
  <c r="M17" i="14"/>
  <c r="M9" i="14"/>
  <c r="M15" i="14"/>
  <c r="M7" i="14"/>
  <c r="M16" i="14"/>
  <c r="M8" i="14"/>
  <c r="K3" i="14"/>
  <c r="L5" i="14"/>
  <c r="L29" i="14"/>
  <c r="L13" i="14"/>
  <c r="L11" i="14" s="1"/>
  <c r="L48" i="14"/>
  <c r="L43" i="13"/>
  <c r="M63" i="13"/>
  <c r="M59" i="13"/>
  <c r="M58" i="13"/>
  <c r="M65" i="13"/>
  <c r="M55" i="13"/>
  <c r="M51" i="13"/>
  <c r="M61" i="13"/>
  <c r="M60" i="13"/>
  <c r="M53" i="13"/>
  <c r="M44" i="13"/>
  <c r="M41" i="13"/>
  <c r="M47" i="13"/>
  <c r="M40" i="13"/>
  <c r="M64" i="13"/>
  <c r="M57" i="13"/>
  <c r="M54" i="13"/>
  <c r="M52" i="13"/>
  <c r="M50" i="13"/>
  <c r="M46" i="13"/>
  <c r="M49" i="13"/>
  <c r="M33" i="13"/>
  <c r="M45" i="13"/>
  <c r="M39" i="13"/>
  <c r="M38" i="13"/>
  <c r="M35" i="13"/>
  <c r="M34" i="13"/>
  <c r="M32" i="13"/>
  <c r="M31" i="13"/>
  <c r="M28" i="13"/>
  <c r="M19" i="13"/>
  <c r="M15" i="13"/>
  <c r="M30" i="13"/>
  <c r="M27" i="13"/>
  <c r="M22" i="13"/>
  <c r="M18" i="13"/>
  <c r="M37" i="13"/>
  <c r="M26" i="13"/>
  <c r="M21" i="13"/>
  <c r="M17" i="13"/>
  <c r="M20" i="13"/>
  <c r="M16" i="13"/>
  <c r="M8" i="13"/>
  <c r="M7" i="13"/>
  <c r="M14" i="13"/>
  <c r="M10" i="13"/>
  <c r="M12" i="13"/>
  <c r="M9" i="13"/>
  <c r="L56" i="13"/>
  <c r="I66" i="13"/>
  <c r="L13" i="13"/>
  <c r="L11" i="13" s="1"/>
  <c r="L29" i="13"/>
  <c r="L36" i="13"/>
  <c r="L24" i="13"/>
  <c r="L48" i="13"/>
  <c r="L62" i="13"/>
  <c r="J66" i="13"/>
  <c r="K4" i="13"/>
  <c r="N250" i="3"/>
  <c r="J367" i="2"/>
  <c r="K367" i="2" s="1"/>
  <c r="N367" i="2" s="1"/>
  <c r="J300" i="3"/>
  <c r="K300" i="3" s="1"/>
  <c r="J299" i="3"/>
  <c r="K299" i="3" s="1"/>
  <c r="J298" i="3"/>
  <c r="K298" i="3" s="1"/>
  <c r="I297" i="3"/>
  <c r="J297" i="3" s="1"/>
  <c r="N297" i="3" s="1"/>
  <c r="J295" i="3"/>
  <c r="J294" i="3"/>
  <c r="J293" i="3"/>
  <c r="J292" i="3"/>
  <c r="K292" i="3" s="1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N285" i="3"/>
  <c r="N277" i="3"/>
  <c r="N264" i="3"/>
  <c r="J281" i="3"/>
  <c r="K281" i="3" s="1"/>
  <c r="J146" i="3"/>
  <c r="K146" i="3" s="1"/>
  <c r="J147" i="3"/>
  <c r="K147" i="3" s="1"/>
  <c r="J148" i="3"/>
  <c r="K148" i="3" s="1"/>
  <c r="J130" i="2"/>
  <c r="N130" i="2" s="1"/>
  <c r="K263" i="2"/>
  <c r="O22" i="20" l="1"/>
  <c r="O18" i="20"/>
  <c r="O14" i="20"/>
  <c r="O11" i="20"/>
  <c r="O23" i="20"/>
  <c r="O19" i="20"/>
  <c r="O15" i="20"/>
  <c r="O21" i="20"/>
  <c r="O24" i="20"/>
  <c r="O16" i="20"/>
  <c r="O25" i="20"/>
  <c r="O17" i="20"/>
  <c r="O10" i="20"/>
  <c r="O20" i="20"/>
  <c r="O13" i="20"/>
  <c r="O12" i="20"/>
  <c r="M3" i="22"/>
  <c r="L66" i="18"/>
  <c r="L66" i="22"/>
  <c r="M42" i="24"/>
  <c r="M23" i="24" s="1"/>
  <c r="M42" i="23"/>
  <c r="M23" i="23" s="1"/>
  <c r="N62" i="21"/>
  <c r="N36" i="24"/>
  <c r="N43" i="24"/>
  <c r="N62" i="24"/>
  <c r="L66" i="24"/>
  <c r="L42" i="14"/>
  <c r="L23" i="14" s="1"/>
  <c r="N29" i="18"/>
  <c r="K66" i="14"/>
  <c r="M48" i="16"/>
  <c r="N48" i="22"/>
  <c r="N24" i="24"/>
  <c r="M42" i="18"/>
  <c r="M23" i="18" s="1"/>
  <c r="N59" i="20"/>
  <c r="L66" i="21"/>
  <c r="N24" i="22"/>
  <c r="K66" i="15"/>
  <c r="N52" i="20"/>
  <c r="N78" i="20"/>
  <c r="N29" i="24"/>
  <c r="N5" i="24"/>
  <c r="N4" i="24" s="1"/>
  <c r="M5" i="15"/>
  <c r="M4" i="15" s="1"/>
  <c r="M3" i="23"/>
  <c r="L3" i="13"/>
  <c r="N3" i="19"/>
  <c r="N62" i="23"/>
  <c r="N5" i="23"/>
  <c r="N4" i="23" s="1"/>
  <c r="N13" i="23"/>
  <c r="N11" i="23" s="1"/>
  <c r="N29" i="23"/>
  <c r="N43" i="23"/>
  <c r="N56" i="23"/>
  <c r="M4" i="24"/>
  <c r="O65" i="24"/>
  <c r="O64" i="24"/>
  <c r="O60" i="24"/>
  <c r="O63" i="24"/>
  <c r="O61" i="24"/>
  <c r="O58" i="24"/>
  <c r="O53" i="24"/>
  <c r="O54" i="24"/>
  <c r="O51" i="24"/>
  <c r="O59" i="24"/>
  <c r="O57" i="24"/>
  <c r="O49" i="24"/>
  <c r="O45" i="24"/>
  <c r="O38" i="24"/>
  <c r="O44" i="24"/>
  <c r="O41" i="24"/>
  <c r="O37" i="24"/>
  <c r="O50" i="24"/>
  <c r="O47" i="24"/>
  <c r="O39" i="24"/>
  <c r="O55" i="24"/>
  <c r="O52" i="24"/>
  <c r="O46" i="24"/>
  <c r="O40" i="24"/>
  <c r="O33" i="24"/>
  <c r="O31" i="24"/>
  <c r="O28" i="24"/>
  <c r="O19" i="24"/>
  <c r="O15" i="24"/>
  <c r="O12" i="24"/>
  <c r="O34" i="24"/>
  <c r="O30" i="24"/>
  <c r="O27" i="24"/>
  <c r="O22" i="24"/>
  <c r="O18" i="24"/>
  <c r="O14" i="24"/>
  <c r="O32" i="24"/>
  <c r="O26" i="24"/>
  <c r="O21" i="24"/>
  <c r="O35" i="24"/>
  <c r="O9" i="24"/>
  <c r="P2" i="24"/>
  <c r="O7" i="24"/>
  <c r="O20" i="24"/>
  <c r="O17" i="24"/>
  <c r="O8" i="24"/>
  <c r="O16" i="24"/>
  <c r="O10" i="24"/>
  <c r="N48" i="24"/>
  <c r="N13" i="24"/>
  <c r="N11" i="24" s="1"/>
  <c r="N56" i="24"/>
  <c r="K66" i="24"/>
  <c r="N48" i="23"/>
  <c r="O65" i="23"/>
  <c r="O64" i="23"/>
  <c r="O60" i="23"/>
  <c r="O63" i="23"/>
  <c r="O61" i="23"/>
  <c r="O57" i="23"/>
  <c r="O55" i="23"/>
  <c r="O52" i="23"/>
  <c r="O59" i="23"/>
  <c r="O54" i="23"/>
  <c r="O51" i="23"/>
  <c r="O58" i="23"/>
  <c r="O53" i="23"/>
  <c r="O47" i="23"/>
  <c r="O46" i="23"/>
  <c r="O50" i="23"/>
  <c r="O45" i="23"/>
  <c r="O38" i="23"/>
  <c r="O34" i="23"/>
  <c r="O30" i="23"/>
  <c r="O27" i="23"/>
  <c r="O41" i="23"/>
  <c r="O37" i="23"/>
  <c r="O49" i="23"/>
  <c r="O40" i="23"/>
  <c r="O32" i="23"/>
  <c r="O44" i="23"/>
  <c r="O35" i="23"/>
  <c r="O33" i="23"/>
  <c r="O28" i="23"/>
  <c r="O22" i="23"/>
  <c r="O18" i="23"/>
  <c r="O14" i="23"/>
  <c r="O39" i="23"/>
  <c r="O26" i="23"/>
  <c r="O21" i="23"/>
  <c r="O17" i="23"/>
  <c r="O12" i="23"/>
  <c r="O9" i="23"/>
  <c r="O31" i="23"/>
  <c r="O19" i="23"/>
  <c r="O15" i="23"/>
  <c r="O8" i="23"/>
  <c r="O20" i="23"/>
  <c r="O16" i="23"/>
  <c r="O10" i="23"/>
  <c r="P2" i="23"/>
  <c r="O7" i="23"/>
  <c r="N24" i="23"/>
  <c r="L66" i="23"/>
  <c r="N36" i="23"/>
  <c r="O60" i="22"/>
  <c r="O55" i="22"/>
  <c r="O53" i="22"/>
  <c r="O50" i="22"/>
  <c r="O30" i="22"/>
  <c r="O37" i="22"/>
  <c r="O32" i="22"/>
  <c r="O39" i="22"/>
  <c r="O31" i="22"/>
  <c r="O12" i="22"/>
  <c r="O22" i="22"/>
  <c r="O7" i="22"/>
  <c r="O58" i="22"/>
  <c r="O63" i="22"/>
  <c r="O51" i="22"/>
  <c r="O47" i="22"/>
  <c r="O27" i="22"/>
  <c r="O33" i="22"/>
  <c r="O21" i="22"/>
  <c r="O35" i="22"/>
  <c r="O28" i="22"/>
  <c r="O10" i="22"/>
  <c r="O18" i="22"/>
  <c r="P2" i="22"/>
  <c r="O65" i="22"/>
  <c r="O61" i="22"/>
  <c r="O54" i="22"/>
  <c r="O44" i="22"/>
  <c r="O40" i="22"/>
  <c r="O59" i="22"/>
  <c r="O49" i="22"/>
  <c r="O17" i="22"/>
  <c r="O26" i="22"/>
  <c r="O19" i="22"/>
  <c r="O8" i="22"/>
  <c r="O16" i="22"/>
  <c r="O64" i="22"/>
  <c r="O57" i="22"/>
  <c r="O52" i="22"/>
  <c r="O41" i="22"/>
  <c r="O34" i="22"/>
  <c r="O46" i="22"/>
  <c r="O38" i="22"/>
  <c r="O45" i="22"/>
  <c r="O20" i="22"/>
  <c r="O15" i="22"/>
  <c r="O14" i="22"/>
  <c r="O9" i="22"/>
  <c r="M42" i="22"/>
  <c r="M23" i="22" s="1"/>
  <c r="N62" i="22"/>
  <c r="N56" i="22"/>
  <c r="N13" i="22"/>
  <c r="N11" i="22" s="1"/>
  <c r="N5" i="22"/>
  <c r="N4" i="22" s="1"/>
  <c r="N29" i="22"/>
  <c r="N43" i="22"/>
  <c r="N36" i="22"/>
  <c r="M42" i="21"/>
  <c r="M23" i="21" s="1"/>
  <c r="N48" i="21"/>
  <c r="N5" i="21"/>
  <c r="N4" i="21" s="1"/>
  <c r="M3" i="21"/>
  <c r="O65" i="21"/>
  <c r="O61" i="21"/>
  <c r="O64" i="21"/>
  <c r="O60" i="21"/>
  <c r="O63" i="21"/>
  <c r="O54" i="21"/>
  <c r="O51" i="21"/>
  <c r="O50" i="21"/>
  <c r="O58" i="21"/>
  <c r="O57" i="21"/>
  <c r="O46" i="21"/>
  <c r="O59" i="21"/>
  <c r="O55" i="21"/>
  <c r="O53" i="21"/>
  <c r="O45" i="21"/>
  <c r="O38" i="21"/>
  <c r="O34" i="21"/>
  <c r="O47" i="21"/>
  <c r="O40" i="21"/>
  <c r="O26" i="21"/>
  <c r="O52" i="21"/>
  <c r="O49" i="21"/>
  <c r="O41" i="21"/>
  <c r="O35" i="21"/>
  <c r="O32" i="21"/>
  <c r="O44" i="21"/>
  <c r="O39" i="21"/>
  <c r="O33" i="21"/>
  <c r="O31" i="21"/>
  <c r="O28" i="21"/>
  <c r="O19" i="21"/>
  <c r="O37" i="21"/>
  <c r="O27" i="21"/>
  <c r="O20" i="21"/>
  <c r="O30" i="21"/>
  <c r="O22" i="21"/>
  <c r="O18" i="21"/>
  <c r="O21" i="21"/>
  <c r="O15" i="21"/>
  <c r="O16" i="21"/>
  <c r="O10" i="21"/>
  <c r="O17" i="21"/>
  <c r="O12" i="21"/>
  <c r="O9" i="21"/>
  <c r="P2" i="21"/>
  <c r="O14" i="21"/>
  <c r="O8" i="21"/>
  <c r="O7" i="21"/>
  <c r="N36" i="21"/>
  <c r="N43" i="21"/>
  <c r="N13" i="21"/>
  <c r="N11" i="21" s="1"/>
  <c r="N24" i="21"/>
  <c r="N29" i="21"/>
  <c r="N56" i="21"/>
  <c r="M58" i="20"/>
  <c r="M39" i="20" s="1"/>
  <c r="K82" i="20"/>
  <c r="M3" i="20"/>
  <c r="N5" i="20"/>
  <c r="N4" i="20" s="1"/>
  <c r="O81" i="20"/>
  <c r="O77" i="20"/>
  <c r="O80" i="20"/>
  <c r="O76" i="20"/>
  <c r="O79" i="20"/>
  <c r="O70" i="20"/>
  <c r="O67" i="20"/>
  <c r="O71" i="20"/>
  <c r="O68" i="20"/>
  <c r="O65" i="20"/>
  <c r="O75" i="20"/>
  <c r="O69" i="20"/>
  <c r="O60" i="20"/>
  <c r="O57" i="20"/>
  <c r="O66" i="20"/>
  <c r="O63" i="20"/>
  <c r="O51" i="20"/>
  <c r="O47" i="20"/>
  <c r="O44" i="20"/>
  <c r="O74" i="20"/>
  <c r="O61" i="20"/>
  <c r="O56" i="20"/>
  <c r="O54" i="20"/>
  <c r="O50" i="20"/>
  <c r="O55" i="20"/>
  <c r="O53" i="20"/>
  <c r="O49" i="20"/>
  <c r="O73" i="20"/>
  <c r="O38" i="20"/>
  <c r="O34" i="20"/>
  <c r="O30" i="20"/>
  <c r="O62" i="20"/>
  <c r="O42" i="20"/>
  <c r="O37" i="20"/>
  <c r="O33" i="20"/>
  <c r="O48" i="20"/>
  <c r="O46" i="20"/>
  <c r="O43" i="20"/>
  <c r="O36" i="20"/>
  <c r="O35" i="20"/>
  <c r="O32" i="20"/>
  <c r="O31" i="20"/>
  <c r="O28" i="20"/>
  <c r="O26" i="20"/>
  <c r="O8" i="20"/>
  <c r="P2" i="20"/>
  <c r="O9" i="20"/>
  <c r="O7" i="20"/>
  <c r="N72" i="20"/>
  <c r="N40" i="20"/>
  <c r="N45" i="20"/>
  <c r="L82" i="20"/>
  <c r="N29" i="20"/>
  <c r="N27" i="20" s="1"/>
  <c r="N64" i="20"/>
  <c r="N42" i="19"/>
  <c r="N23" i="19" s="1"/>
  <c r="O43" i="19"/>
  <c r="P64" i="19"/>
  <c r="P63" i="19"/>
  <c r="P59" i="19"/>
  <c r="P61" i="19"/>
  <c r="P65" i="19"/>
  <c r="P60" i="19"/>
  <c r="P54" i="19"/>
  <c r="P58" i="19"/>
  <c r="P53" i="19"/>
  <c r="P55" i="19"/>
  <c r="P49" i="19"/>
  <c r="P57" i="19"/>
  <c r="P50" i="19"/>
  <c r="P44" i="19"/>
  <c r="P41" i="19"/>
  <c r="P37" i="19"/>
  <c r="P33" i="19"/>
  <c r="P52" i="19"/>
  <c r="P40" i="19"/>
  <c r="P46" i="19"/>
  <c r="P39" i="19"/>
  <c r="P51" i="19"/>
  <c r="P47" i="19"/>
  <c r="P45" i="19"/>
  <c r="P34" i="19"/>
  <c r="P30" i="19"/>
  <c r="P27" i="19"/>
  <c r="P26" i="19"/>
  <c r="P21" i="19"/>
  <c r="P31" i="19"/>
  <c r="P20" i="19"/>
  <c r="P18" i="19"/>
  <c r="P38" i="19"/>
  <c r="P17" i="19"/>
  <c r="P32" i="19"/>
  <c r="P19" i="19"/>
  <c r="P16" i="19"/>
  <c r="P10" i="19"/>
  <c r="P35" i="19"/>
  <c r="P28" i="19"/>
  <c r="P22" i="19"/>
  <c r="P8" i="19"/>
  <c r="P7" i="19"/>
  <c r="Q2" i="19"/>
  <c r="P15" i="19"/>
  <c r="P12" i="19"/>
  <c r="P9" i="19"/>
  <c r="P14" i="19"/>
  <c r="O48" i="19"/>
  <c r="O62" i="19"/>
  <c r="O56" i="19"/>
  <c r="O13" i="19"/>
  <c r="O11" i="19" s="1"/>
  <c r="O24" i="19"/>
  <c r="O29" i="19"/>
  <c r="L66" i="19"/>
  <c r="O5" i="19"/>
  <c r="O4" i="19" s="1"/>
  <c r="O36" i="19"/>
  <c r="M66" i="19"/>
  <c r="M3" i="18"/>
  <c r="N48" i="18"/>
  <c r="N24" i="18"/>
  <c r="N36" i="18"/>
  <c r="N43" i="18"/>
  <c r="N13" i="18"/>
  <c r="N11" i="18" s="1"/>
  <c r="N56" i="18"/>
  <c r="N62" i="18"/>
  <c r="K66" i="18"/>
  <c r="O65" i="18"/>
  <c r="O61" i="18"/>
  <c r="O57" i="18"/>
  <c r="O64" i="18"/>
  <c r="O60" i="18"/>
  <c r="O54" i="18"/>
  <c r="O63" i="18"/>
  <c r="O53" i="18"/>
  <c r="O49" i="18"/>
  <c r="O59" i="18"/>
  <c r="O55" i="18"/>
  <c r="O52" i="18"/>
  <c r="O58" i="18"/>
  <c r="O51" i="18"/>
  <c r="O44" i="18"/>
  <c r="O41" i="18"/>
  <c r="O47" i="18"/>
  <c r="O40" i="18"/>
  <c r="O50" i="18"/>
  <c r="O46" i="18"/>
  <c r="O39" i="18"/>
  <c r="O45" i="18"/>
  <c r="O37" i="18"/>
  <c r="O35" i="18"/>
  <c r="O31" i="18"/>
  <c r="O28" i="18"/>
  <c r="O19" i="18"/>
  <c r="O38" i="18"/>
  <c r="O34" i="18"/>
  <c r="O30" i="18"/>
  <c r="O27" i="18"/>
  <c r="O22" i="18"/>
  <c r="O18" i="18"/>
  <c r="O33" i="18"/>
  <c r="O32" i="18"/>
  <c r="O26" i="18"/>
  <c r="O20" i="18"/>
  <c r="O7" i="18"/>
  <c r="O17" i="18"/>
  <c r="O16" i="18"/>
  <c r="O10" i="18"/>
  <c r="P2" i="18"/>
  <c r="O8" i="18"/>
  <c r="O21" i="18"/>
  <c r="O15" i="18"/>
  <c r="O12" i="18"/>
  <c r="O9" i="18"/>
  <c r="O14" i="18"/>
  <c r="N5" i="18"/>
  <c r="N4" i="18" s="1"/>
  <c r="M24" i="16"/>
  <c r="M36" i="16"/>
  <c r="M62" i="16"/>
  <c r="M5" i="16"/>
  <c r="M4" i="16" s="1"/>
  <c r="K66" i="16"/>
  <c r="M13" i="16"/>
  <c r="M11" i="16" s="1"/>
  <c r="M56" i="16"/>
  <c r="L42" i="16"/>
  <c r="L23" i="16" s="1"/>
  <c r="M29" i="16"/>
  <c r="N65" i="16"/>
  <c r="N61" i="16"/>
  <c r="N57" i="16"/>
  <c r="N64" i="16"/>
  <c r="N59" i="16"/>
  <c r="N54" i="16"/>
  <c r="N58" i="16"/>
  <c r="N63" i="16"/>
  <c r="N51" i="16"/>
  <c r="N49" i="16"/>
  <c r="N55" i="16"/>
  <c r="N52" i="16"/>
  <c r="N44" i="16"/>
  <c r="N41" i="16"/>
  <c r="N60" i="16"/>
  <c r="N53" i="16"/>
  <c r="N50" i="16"/>
  <c r="N47" i="16"/>
  <c r="N38" i="16"/>
  <c r="N35" i="16"/>
  <c r="N45" i="16"/>
  <c r="N40" i="16"/>
  <c r="N34" i="16"/>
  <c r="N46" i="16"/>
  <c r="N39" i="16"/>
  <c r="N37" i="16"/>
  <c r="N33" i="16"/>
  <c r="N31" i="16"/>
  <c r="N19" i="16"/>
  <c r="N15" i="16"/>
  <c r="N12" i="16"/>
  <c r="N32" i="16"/>
  <c r="N22" i="16"/>
  <c r="N18" i="16"/>
  <c r="N28" i="16"/>
  <c r="N26" i="16"/>
  <c r="N21" i="16"/>
  <c r="N17" i="16"/>
  <c r="N30" i="16"/>
  <c r="N27" i="16"/>
  <c r="N20" i="16"/>
  <c r="N7" i="16"/>
  <c r="O2" i="16"/>
  <c r="N9" i="16"/>
  <c r="N16" i="16"/>
  <c r="N14" i="16"/>
  <c r="N8" i="16"/>
  <c r="N10" i="16"/>
  <c r="M43" i="16"/>
  <c r="L4" i="16"/>
  <c r="L3" i="16" s="1"/>
  <c r="J66" i="16"/>
  <c r="M48" i="15"/>
  <c r="M43" i="15"/>
  <c r="M62" i="15"/>
  <c r="M13" i="15"/>
  <c r="M11" i="15" s="1"/>
  <c r="M24" i="15"/>
  <c r="M29" i="15"/>
  <c r="M36" i="15"/>
  <c r="L42" i="15"/>
  <c r="L23" i="15" s="1"/>
  <c r="N65" i="15"/>
  <c r="N61" i="15"/>
  <c r="N57" i="15"/>
  <c r="N64" i="15"/>
  <c r="N59" i="15"/>
  <c r="N54" i="15"/>
  <c r="N60" i="15"/>
  <c r="N58" i="15"/>
  <c r="N53" i="15"/>
  <c r="N63" i="15"/>
  <c r="N55" i="15"/>
  <c r="N45" i="15"/>
  <c r="N38" i="15"/>
  <c r="N44" i="15"/>
  <c r="N41" i="15"/>
  <c r="N37" i="15"/>
  <c r="N52" i="15"/>
  <c r="N51" i="15"/>
  <c r="N47" i="15"/>
  <c r="N40" i="15"/>
  <c r="N32" i="15"/>
  <c r="N39" i="15"/>
  <c r="N35" i="15"/>
  <c r="N26" i="15"/>
  <c r="N50" i="15"/>
  <c r="N49" i="15"/>
  <c r="N46" i="15"/>
  <c r="N20" i="15"/>
  <c r="N33" i="15"/>
  <c r="N31" i="15"/>
  <c r="N28" i="15"/>
  <c r="N19" i="15"/>
  <c r="N15" i="15"/>
  <c r="N12" i="15"/>
  <c r="N34" i="15"/>
  <c r="N27" i="15"/>
  <c r="N21" i="15"/>
  <c r="N17" i="15"/>
  <c r="N16" i="15"/>
  <c r="N30" i="15"/>
  <c r="N22" i="15"/>
  <c r="N14" i="15"/>
  <c r="N10" i="15"/>
  <c r="N18" i="15"/>
  <c r="N9" i="15"/>
  <c r="O2" i="15"/>
  <c r="N8" i="15"/>
  <c r="N7" i="15"/>
  <c r="M56" i="15"/>
  <c r="L3" i="15"/>
  <c r="M62" i="14"/>
  <c r="M29" i="14"/>
  <c r="M24" i="14"/>
  <c r="L4" i="14"/>
  <c r="N65" i="14"/>
  <c r="N61" i="14"/>
  <c r="N57" i="14"/>
  <c r="N64" i="14"/>
  <c r="N63" i="14"/>
  <c r="N60" i="14"/>
  <c r="N59" i="14"/>
  <c r="N54" i="14"/>
  <c r="N58" i="14"/>
  <c r="N53" i="14"/>
  <c r="N51" i="14"/>
  <c r="N55" i="14"/>
  <c r="N49" i="14"/>
  <c r="N52" i="14"/>
  <c r="N50" i="14"/>
  <c r="N47" i="14"/>
  <c r="N40" i="14"/>
  <c r="N32" i="14"/>
  <c r="N38" i="14"/>
  <c r="N34" i="14"/>
  <c r="N30" i="14"/>
  <c r="N44" i="14"/>
  <c r="N41" i="14"/>
  <c r="N37" i="14"/>
  <c r="N33" i="14"/>
  <c r="N45" i="14"/>
  <c r="N35" i="14"/>
  <c r="N31" i="14"/>
  <c r="N28" i="14"/>
  <c r="N26" i="14"/>
  <c r="N21" i="14"/>
  <c r="N17" i="14"/>
  <c r="N39" i="14"/>
  <c r="N20" i="14"/>
  <c r="N46" i="14"/>
  <c r="N27" i="14"/>
  <c r="N22" i="14"/>
  <c r="N19" i="14"/>
  <c r="N12" i="14"/>
  <c r="N9" i="14"/>
  <c r="O2" i="14"/>
  <c r="N8" i="14"/>
  <c r="N18" i="14"/>
  <c r="N10" i="14"/>
  <c r="N16" i="14"/>
  <c r="N14" i="14"/>
  <c r="N15" i="14"/>
  <c r="N7" i="14"/>
  <c r="M36" i="14"/>
  <c r="M48" i="14"/>
  <c r="J66" i="14"/>
  <c r="M5" i="14"/>
  <c r="M4" i="14" s="1"/>
  <c r="M13" i="14"/>
  <c r="M11" i="14" s="1"/>
  <c r="M43" i="14"/>
  <c r="M56" i="14"/>
  <c r="M56" i="13"/>
  <c r="M24" i="13"/>
  <c r="M62" i="13"/>
  <c r="L42" i="13"/>
  <c r="L23" i="13" s="1"/>
  <c r="M5" i="13"/>
  <c r="M4" i="13" s="1"/>
  <c r="K3" i="13"/>
  <c r="M13" i="13"/>
  <c r="M11" i="13" s="1"/>
  <c r="M36" i="13"/>
  <c r="M29" i="13"/>
  <c r="M48" i="13"/>
  <c r="N65" i="13"/>
  <c r="N61" i="13"/>
  <c r="N57" i="13"/>
  <c r="N64" i="13"/>
  <c r="N54" i="13"/>
  <c r="N59" i="13"/>
  <c r="N58" i="13"/>
  <c r="N55" i="13"/>
  <c r="N47" i="13"/>
  <c r="N63" i="13"/>
  <c r="N52" i="13"/>
  <c r="N50" i="13"/>
  <c r="N46" i="13"/>
  <c r="N39" i="13"/>
  <c r="N53" i="13"/>
  <c r="N51" i="13"/>
  <c r="N49" i="13"/>
  <c r="N60" i="13"/>
  <c r="N45" i="13"/>
  <c r="N41" i="13"/>
  <c r="N44" i="13"/>
  <c r="N38" i="13"/>
  <c r="N37" i="13"/>
  <c r="N34" i="13"/>
  <c r="N33" i="13"/>
  <c r="N30" i="13"/>
  <c r="N27" i="13"/>
  <c r="N22" i="13"/>
  <c r="N18" i="13"/>
  <c r="N40" i="13"/>
  <c r="N26" i="13"/>
  <c r="N21" i="13"/>
  <c r="N35" i="13"/>
  <c r="N20" i="13"/>
  <c r="N16" i="13"/>
  <c r="N32" i="13"/>
  <c r="N31" i="13"/>
  <c r="N28" i="13"/>
  <c r="N19" i="13"/>
  <c r="N14" i="13"/>
  <c r="N10" i="13"/>
  <c r="N17" i="13"/>
  <c r="N15" i="13"/>
  <c r="N12" i="13"/>
  <c r="N9" i="13"/>
  <c r="N8" i="13"/>
  <c r="N7" i="13"/>
  <c r="M43" i="13"/>
  <c r="K294" i="3"/>
  <c r="L294" i="3"/>
  <c r="K295" i="3"/>
  <c r="N295" i="3" s="1"/>
  <c r="L293" i="3"/>
  <c r="K293" i="3"/>
  <c r="N286" i="3"/>
  <c r="N287" i="3"/>
  <c r="N288" i="3"/>
  <c r="N281" i="3"/>
  <c r="N289" i="3"/>
  <c r="N298" i="3"/>
  <c r="N290" i="3"/>
  <c r="N299" i="3"/>
  <c r="N291" i="3"/>
  <c r="N300" i="3"/>
  <c r="N292" i="3"/>
  <c r="N263" i="2"/>
  <c r="P11" i="20" l="1"/>
  <c r="P24" i="20"/>
  <c r="P16" i="20"/>
  <c r="P23" i="20"/>
  <c r="P19" i="20"/>
  <c r="P15" i="20"/>
  <c r="P20" i="20"/>
  <c r="P12" i="20"/>
  <c r="P22" i="20"/>
  <c r="P14" i="20"/>
  <c r="P25" i="20"/>
  <c r="P17" i="20"/>
  <c r="P10" i="20"/>
  <c r="P21" i="20"/>
  <c r="P18" i="20"/>
  <c r="P13" i="20"/>
  <c r="L66" i="13"/>
  <c r="M66" i="22"/>
  <c r="N66" i="19"/>
  <c r="M66" i="23"/>
  <c r="N42" i="23"/>
  <c r="N23" i="23" s="1"/>
  <c r="N42" i="24"/>
  <c r="N23" i="24" s="1"/>
  <c r="N62" i="14"/>
  <c r="N42" i="22"/>
  <c r="N23" i="22" s="1"/>
  <c r="O72" i="20"/>
  <c r="O29" i="21"/>
  <c r="O24" i="22"/>
  <c r="N58" i="20"/>
  <c r="N39" i="20" s="1"/>
  <c r="O56" i="22"/>
  <c r="M42" i="13"/>
  <c r="M23" i="13" s="1"/>
  <c r="N62" i="13"/>
  <c r="N62" i="15"/>
  <c r="O45" i="20"/>
  <c r="O78" i="20"/>
  <c r="O62" i="18"/>
  <c r="P56" i="19"/>
  <c r="O48" i="21"/>
  <c r="O62" i="21"/>
  <c r="O48" i="23"/>
  <c r="N43" i="13"/>
  <c r="M42" i="16"/>
  <c r="M23" i="16" s="1"/>
  <c r="O43" i="21"/>
  <c r="N62" i="16"/>
  <c r="O36" i="21"/>
  <c r="N3" i="24"/>
  <c r="M3" i="15"/>
  <c r="N3" i="23"/>
  <c r="O5" i="21"/>
  <c r="O4" i="21" s="1"/>
  <c r="N3" i="21"/>
  <c r="M66" i="18"/>
  <c r="O13" i="22"/>
  <c r="O11" i="22" s="1"/>
  <c r="O5" i="24"/>
  <c r="O4" i="24" s="1"/>
  <c r="N5" i="15"/>
  <c r="N4" i="15" s="1"/>
  <c r="O13" i="21"/>
  <c r="O11" i="21" s="1"/>
  <c r="P5" i="19"/>
  <c r="P4" i="19" s="1"/>
  <c r="O5" i="23"/>
  <c r="O4" i="23" s="1"/>
  <c r="O36" i="24"/>
  <c r="O13" i="24"/>
  <c r="O29" i="24"/>
  <c r="O48" i="24"/>
  <c r="O62" i="24"/>
  <c r="O43" i="24"/>
  <c r="O56" i="24"/>
  <c r="M3" i="24"/>
  <c r="M66" i="24" s="1"/>
  <c r="P64" i="24"/>
  <c r="P63" i="24"/>
  <c r="P59" i="24"/>
  <c r="P60" i="24"/>
  <c r="P58" i="24"/>
  <c r="P57" i="24"/>
  <c r="P53" i="24"/>
  <c r="P50" i="24"/>
  <c r="P44" i="24"/>
  <c r="P41" i="24"/>
  <c r="P37" i="24"/>
  <c r="P61" i="24"/>
  <c r="P52" i="24"/>
  <c r="P47" i="24"/>
  <c r="P40" i="24"/>
  <c r="P65" i="24"/>
  <c r="P51" i="24"/>
  <c r="P45" i="24"/>
  <c r="P39" i="24"/>
  <c r="P54" i="24"/>
  <c r="P49" i="24"/>
  <c r="P55" i="24"/>
  <c r="P46" i="24"/>
  <c r="P38" i="24"/>
  <c r="P34" i="24"/>
  <c r="P30" i="24"/>
  <c r="P27" i="24"/>
  <c r="P22" i="24"/>
  <c r="P18" i="24"/>
  <c r="P14" i="24"/>
  <c r="P32" i="24"/>
  <c r="P26" i="24"/>
  <c r="P21" i="24"/>
  <c r="P17" i="24"/>
  <c r="P35" i="24"/>
  <c r="P20" i="24"/>
  <c r="P33" i="24"/>
  <c r="P31" i="24"/>
  <c r="P28" i="24"/>
  <c r="P15" i="24"/>
  <c r="P8" i="24"/>
  <c r="P10" i="24"/>
  <c r="P7" i="24"/>
  <c r="P19" i="24"/>
  <c r="P16" i="24"/>
  <c r="Q2" i="24"/>
  <c r="P12" i="24"/>
  <c r="P9" i="24"/>
  <c r="O24" i="24"/>
  <c r="O11" i="24"/>
  <c r="O13" i="23"/>
  <c r="O11" i="23" s="1"/>
  <c r="O29" i="23"/>
  <c r="O62" i="23"/>
  <c r="P64" i="23"/>
  <c r="P63" i="23"/>
  <c r="P59" i="23"/>
  <c r="P60" i="23"/>
  <c r="P54" i="23"/>
  <c r="P65" i="23"/>
  <c r="P58" i="23"/>
  <c r="P53" i="23"/>
  <c r="P50" i="23"/>
  <c r="P46" i="23"/>
  <c r="P55" i="23"/>
  <c r="P52" i="23"/>
  <c r="P51" i="23"/>
  <c r="P45" i="23"/>
  <c r="P61" i="23"/>
  <c r="P57" i="23"/>
  <c r="P49" i="23"/>
  <c r="P44" i="23"/>
  <c r="P41" i="23"/>
  <c r="P37" i="23"/>
  <c r="P33" i="23"/>
  <c r="P26" i="23"/>
  <c r="P40" i="23"/>
  <c r="P39" i="23"/>
  <c r="P35" i="23"/>
  <c r="P31" i="23"/>
  <c r="P28" i="23"/>
  <c r="P22" i="23"/>
  <c r="P32" i="23"/>
  <c r="P27" i="23"/>
  <c r="P21" i="23"/>
  <c r="P17" i="23"/>
  <c r="P47" i="23"/>
  <c r="P20" i="23"/>
  <c r="P16" i="23"/>
  <c r="P19" i="23"/>
  <c r="P15" i="23"/>
  <c r="P8" i="23"/>
  <c r="P7" i="23"/>
  <c r="P38" i="23"/>
  <c r="P34" i="23"/>
  <c r="P30" i="23"/>
  <c r="P18" i="23"/>
  <c r="P10" i="23"/>
  <c r="P14" i="23"/>
  <c r="P12" i="23"/>
  <c r="P9" i="23"/>
  <c r="Q2" i="23"/>
  <c r="O24" i="23"/>
  <c r="O43" i="23"/>
  <c r="O36" i="23"/>
  <c r="O56" i="23"/>
  <c r="O48" i="22"/>
  <c r="N3" i="22"/>
  <c r="O62" i="22"/>
  <c r="O36" i="22"/>
  <c r="O29" i="22"/>
  <c r="O43" i="22"/>
  <c r="P64" i="22"/>
  <c r="P61" i="22"/>
  <c r="P53" i="22"/>
  <c r="P50" i="22"/>
  <c r="P46" i="22"/>
  <c r="P33" i="22"/>
  <c r="P45" i="22"/>
  <c r="P28" i="22"/>
  <c r="P19" i="22"/>
  <c r="P22" i="22"/>
  <c r="P12" i="22"/>
  <c r="P17" i="22"/>
  <c r="P63" i="22"/>
  <c r="P57" i="22"/>
  <c r="P51" i="22"/>
  <c r="P47" i="22"/>
  <c r="P39" i="22"/>
  <c r="P26" i="22"/>
  <c r="P41" i="22"/>
  <c r="P20" i="22"/>
  <c r="P34" i="22"/>
  <c r="P18" i="22"/>
  <c r="P9" i="22"/>
  <c r="P8" i="22"/>
  <c r="P59" i="22"/>
  <c r="P60" i="22"/>
  <c r="P58" i="22"/>
  <c r="P40" i="22"/>
  <c r="P44" i="22"/>
  <c r="P38" i="22"/>
  <c r="P35" i="22"/>
  <c r="P16" i="22"/>
  <c r="P30" i="22"/>
  <c r="P14" i="22"/>
  <c r="P7" i="22"/>
  <c r="P15" i="22"/>
  <c r="P65" i="22"/>
  <c r="P54" i="22"/>
  <c r="P55" i="22"/>
  <c r="P37" i="22"/>
  <c r="P32" i="22"/>
  <c r="P31" i="22"/>
  <c r="P27" i="22"/>
  <c r="P52" i="22"/>
  <c r="P21" i="22"/>
  <c r="P49" i="22"/>
  <c r="P10" i="22"/>
  <c r="Q2" i="22"/>
  <c r="O5" i="22"/>
  <c r="O4" i="22" s="1"/>
  <c r="O56" i="21"/>
  <c r="O24" i="21"/>
  <c r="P64" i="21"/>
  <c r="P60" i="21"/>
  <c r="P63" i="21"/>
  <c r="P59" i="21"/>
  <c r="P65" i="21"/>
  <c r="P58" i="21"/>
  <c r="P53" i="21"/>
  <c r="P57" i="21"/>
  <c r="P49" i="21"/>
  <c r="P55" i="21"/>
  <c r="P51" i="21"/>
  <c r="P45" i="21"/>
  <c r="P52" i="21"/>
  <c r="P44" i="21"/>
  <c r="P41" i="21"/>
  <c r="P37" i="21"/>
  <c r="P33" i="21"/>
  <c r="P61" i="21"/>
  <c r="P54" i="21"/>
  <c r="P50" i="21"/>
  <c r="P35" i="21"/>
  <c r="P32" i="21"/>
  <c r="P46" i="21"/>
  <c r="P39" i="21"/>
  <c r="P34" i="21"/>
  <c r="P31" i="21"/>
  <c r="P28" i="21"/>
  <c r="P38" i="21"/>
  <c r="P30" i="21"/>
  <c r="P27" i="21"/>
  <c r="P22" i="21"/>
  <c r="P18" i="21"/>
  <c r="P47" i="21"/>
  <c r="P20" i="21"/>
  <c r="P19" i="21"/>
  <c r="P16" i="21"/>
  <c r="P21" i="21"/>
  <c r="P40" i="21"/>
  <c r="P26" i="21"/>
  <c r="P10" i="21"/>
  <c r="P17" i="21"/>
  <c r="P12" i="21"/>
  <c r="P9" i="21"/>
  <c r="P14" i="21"/>
  <c r="P8" i="21"/>
  <c r="Q2" i="21"/>
  <c r="P15" i="21"/>
  <c r="P7" i="21"/>
  <c r="N42" i="21"/>
  <c r="N23" i="21" s="1"/>
  <c r="M66" i="21"/>
  <c r="M82" i="20"/>
  <c r="O29" i="20"/>
  <c r="O27" i="20" s="1"/>
  <c r="P80" i="20"/>
  <c r="P76" i="20"/>
  <c r="P79" i="20"/>
  <c r="P75" i="20"/>
  <c r="P81" i="20"/>
  <c r="P74" i="20"/>
  <c r="P69" i="20"/>
  <c r="P70" i="20"/>
  <c r="P67" i="20"/>
  <c r="P77" i="20"/>
  <c r="P73" i="20"/>
  <c r="P66" i="20"/>
  <c r="P63" i="20"/>
  <c r="P56" i="20"/>
  <c r="P61" i="20"/>
  <c r="P57" i="20"/>
  <c r="P54" i="20"/>
  <c r="P50" i="20"/>
  <c r="P46" i="20"/>
  <c r="P43" i="20"/>
  <c r="P68" i="20"/>
  <c r="P65" i="20"/>
  <c r="P60" i="20"/>
  <c r="P55" i="20"/>
  <c r="P53" i="20"/>
  <c r="P49" i="20"/>
  <c r="P62" i="20"/>
  <c r="P48" i="20"/>
  <c r="P71" i="20"/>
  <c r="P47" i="20"/>
  <c r="P42" i="20"/>
  <c r="P37" i="20"/>
  <c r="P33" i="20"/>
  <c r="P36" i="20"/>
  <c r="P32" i="20"/>
  <c r="P35" i="20"/>
  <c r="P9" i="20"/>
  <c r="P38" i="20"/>
  <c r="P34" i="20"/>
  <c r="P7" i="20"/>
  <c r="P51" i="20"/>
  <c r="P30" i="20"/>
  <c r="P44" i="20"/>
  <c r="P31" i="20"/>
  <c r="P28" i="20"/>
  <c r="P26" i="20"/>
  <c r="P8" i="20"/>
  <c r="Q2" i="20"/>
  <c r="O52" i="20"/>
  <c r="O64" i="20"/>
  <c r="O40" i="20"/>
  <c r="O59" i="20"/>
  <c r="O5" i="20"/>
  <c r="O4" i="20" s="1"/>
  <c r="N3" i="20"/>
  <c r="O3" i="19"/>
  <c r="P13" i="19"/>
  <c r="P11" i="19" s="1"/>
  <c r="Q63" i="19"/>
  <c r="Q58" i="19"/>
  <c r="Q65" i="19"/>
  <c r="Q59" i="19"/>
  <c r="Q53" i="19"/>
  <c r="Q64" i="19"/>
  <c r="Q54" i="19"/>
  <c r="Q52" i="19"/>
  <c r="Q57" i="19"/>
  <c r="Q60" i="19"/>
  <c r="Q61" i="19"/>
  <c r="Q49" i="19"/>
  <c r="Q40" i="19"/>
  <c r="Q46" i="19"/>
  <c r="Q39" i="19"/>
  <c r="Q55" i="19"/>
  <c r="Q51" i="19"/>
  <c r="Q47" i="19"/>
  <c r="Q45" i="19"/>
  <c r="Q38" i="19"/>
  <c r="Q33" i="19"/>
  <c r="Q26" i="19"/>
  <c r="Q44" i="19"/>
  <c r="Q37" i="19"/>
  <c r="Q32" i="19"/>
  <c r="Q20" i="19"/>
  <c r="Q50" i="19"/>
  <c r="Q30" i="19"/>
  <c r="Q17" i="19"/>
  <c r="Q19" i="19"/>
  <c r="Q16" i="19"/>
  <c r="Q35" i="19"/>
  <c r="Q28" i="19"/>
  <c r="Q22" i="19"/>
  <c r="Q15" i="19"/>
  <c r="Q12" i="19"/>
  <c r="Q9" i="19"/>
  <c r="Q41" i="19"/>
  <c r="Q34" i="19"/>
  <c r="Q31" i="19"/>
  <c r="Q27" i="19"/>
  <c r="Q21" i="19"/>
  <c r="Q18" i="19"/>
  <c r="Q10" i="19"/>
  <c r="Q7" i="19"/>
  <c r="Q14" i="19"/>
  <c r="R2" i="19"/>
  <c r="Q8" i="19"/>
  <c r="P24" i="19"/>
  <c r="P36" i="19"/>
  <c r="P48" i="19"/>
  <c r="P29" i="19"/>
  <c r="P43" i="19"/>
  <c r="P62" i="19"/>
  <c r="O42" i="19"/>
  <c r="O23" i="19" s="1"/>
  <c r="O48" i="18"/>
  <c r="P64" i="18"/>
  <c r="P60" i="18"/>
  <c r="P58" i="18"/>
  <c r="P55" i="18"/>
  <c r="P65" i="18"/>
  <c r="P61" i="18"/>
  <c r="P63" i="18"/>
  <c r="P59" i="18"/>
  <c r="P57" i="18"/>
  <c r="P52" i="18"/>
  <c r="P54" i="18"/>
  <c r="P51" i="18"/>
  <c r="P53" i="18"/>
  <c r="P49" i="18"/>
  <c r="P47" i="18"/>
  <c r="P40" i="18"/>
  <c r="P50" i="18"/>
  <c r="P46" i="18"/>
  <c r="P39" i="18"/>
  <c r="P45" i="18"/>
  <c r="P38" i="18"/>
  <c r="P44" i="18"/>
  <c r="P41" i="18"/>
  <c r="P34" i="18"/>
  <c r="P30" i="18"/>
  <c r="P27" i="18"/>
  <c r="P22" i="18"/>
  <c r="P18" i="18"/>
  <c r="P33" i="18"/>
  <c r="P26" i="18"/>
  <c r="P21" i="18"/>
  <c r="P17" i="18"/>
  <c r="P32" i="18"/>
  <c r="P37" i="18"/>
  <c r="P35" i="18"/>
  <c r="P31" i="18"/>
  <c r="P28" i="18"/>
  <c r="P16" i="18"/>
  <c r="P10" i="18"/>
  <c r="P19" i="18"/>
  <c r="P15" i="18"/>
  <c r="P12" i="18"/>
  <c r="P9" i="18"/>
  <c r="Q2" i="18"/>
  <c r="P7" i="18"/>
  <c r="P14" i="18"/>
  <c r="P8" i="18"/>
  <c r="P20" i="18"/>
  <c r="N3" i="18"/>
  <c r="O13" i="18"/>
  <c r="O11" i="18" s="1"/>
  <c r="O24" i="18"/>
  <c r="O36" i="18"/>
  <c r="O43" i="18"/>
  <c r="O56" i="18"/>
  <c r="O5" i="18"/>
  <c r="O4" i="18" s="1"/>
  <c r="O29" i="18"/>
  <c r="N42" i="18"/>
  <c r="N23" i="18" s="1"/>
  <c r="N24" i="16"/>
  <c r="M3" i="16"/>
  <c r="O65" i="16"/>
  <c r="O61" i="16"/>
  <c r="O64" i="16"/>
  <c r="O60" i="16"/>
  <c r="O63" i="16"/>
  <c r="O58" i="16"/>
  <c r="O53" i="16"/>
  <c r="O57" i="16"/>
  <c r="O55" i="16"/>
  <c r="O52" i="16"/>
  <c r="O59" i="16"/>
  <c r="O54" i="16"/>
  <c r="O50" i="16"/>
  <c r="O47" i="16"/>
  <c r="O40" i="16"/>
  <c r="O51" i="16"/>
  <c r="O49" i="16"/>
  <c r="O46" i="16"/>
  <c r="O35" i="16"/>
  <c r="O45" i="16"/>
  <c r="O41" i="16"/>
  <c r="O34" i="16"/>
  <c r="O44" i="16"/>
  <c r="O39" i="16"/>
  <c r="O37" i="16"/>
  <c r="O33" i="16"/>
  <c r="O38" i="16"/>
  <c r="O32" i="16"/>
  <c r="O22" i="16"/>
  <c r="O18" i="16"/>
  <c r="O14" i="16"/>
  <c r="O28" i="16"/>
  <c r="O26" i="16"/>
  <c r="O21" i="16"/>
  <c r="O17" i="16"/>
  <c r="O30" i="16"/>
  <c r="O27" i="16"/>
  <c r="O20" i="16"/>
  <c r="O16" i="16"/>
  <c r="O10" i="16"/>
  <c r="O31" i="16"/>
  <c r="O19" i="16"/>
  <c r="P2" i="16"/>
  <c r="O12" i="16"/>
  <c r="O9" i="16"/>
  <c r="O8" i="16"/>
  <c r="O7" i="16"/>
  <c r="O15" i="16"/>
  <c r="N29" i="16"/>
  <c r="N56" i="16"/>
  <c r="L66" i="16"/>
  <c r="N13" i="16"/>
  <c r="N11" i="16" s="1"/>
  <c r="N5" i="16"/>
  <c r="N4" i="16" s="1"/>
  <c r="N36" i="16"/>
  <c r="N48" i="16"/>
  <c r="N43" i="16"/>
  <c r="N13" i="15"/>
  <c r="N11" i="15" s="1"/>
  <c r="N48" i="15"/>
  <c r="N43" i="15"/>
  <c r="L66" i="15"/>
  <c r="N29" i="15"/>
  <c r="N24" i="15"/>
  <c r="N36" i="15"/>
  <c r="O65" i="15"/>
  <c r="O61" i="15"/>
  <c r="O64" i="15"/>
  <c r="O60" i="15"/>
  <c r="O63" i="15"/>
  <c r="O58" i="15"/>
  <c r="O53" i="15"/>
  <c r="O54" i="15"/>
  <c r="O57" i="15"/>
  <c r="O59" i="15"/>
  <c r="O55" i="15"/>
  <c r="O52" i="15"/>
  <c r="O51" i="15"/>
  <c r="O44" i="15"/>
  <c r="O41" i="15"/>
  <c r="O37" i="15"/>
  <c r="O47" i="15"/>
  <c r="O40" i="15"/>
  <c r="O50" i="15"/>
  <c r="O49" i="15"/>
  <c r="O46" i="15"/>
  <c r="O39" i="15"/>
  <c r="O35" i="15"/>
  <c r="O38" i="15"/>
  <c r="O33" i="15"/>
  <c r="O31" i="15"/>
  <c r="O28" i="15"/>
  <c r="O19" i="15"/>
  <c r="O45" i="15"/>
  <c r="O34" i="15"/>
  <c r="O30" i="15"/>
  <c r="O27" i="15"/>
  <c r="O22" i="15"/>
  <c r="O18" i="15"/>
  <c r="O14" i="15"/>
  <c r="O21" i="15"/>
  <c r="O32" i="15"/>
  <c r="O26" i="15"/>
  <c r="O20" i="15"/>
  <c r="O15" i="15"/>
  <c r="O12" i="15"/>
  <c r="O16" i="15"/>
  <c r="O9" i="15"/>
  <c r="O17" i="15"/>
  <c r="O10" i="15"/>
  <c r="O8" i="15"/>
  <c r="O7" i="15"/>
  <c r="P2" i="15"/>
  <c r="N56" i="15"/>
  <c r="M42" i="15"/>
  <c r="M23" i="15" s="1"/>
  <c r="N13" i="14"/>
  <c r="N11" i="14" s="1"/>
  <c r="N24" i="14"/>
  <c r="N43" i="14"/>
  <c r="O65" i="14"/>
  <c r="O64" i="14"/>
  <c r="O60" i="14"/>
  <c r="O63" i="14"/>
  <c r="O61" i="14"/>
  <c r="O59" i="14"/>
  <c r="O58" i="14"/>
  <c r="O53" i="14"/>
  <c r="O57" i="14"/>
  <c r="O50" i="14"/>
  <c r="O55" i="14"/>
  <c r="O52" i="14"/>
  <c r="O54" i="14"/>
  <c r="O47" i="14"/>
  <c r="O51" i="14"/>
  <c r="O46" i="14"/>
  <c r="O39" i="14"/>
  <c r="O35" i="14"/>
  <c r="O31" i="14"/>
  <c r="O44" i="14"/>
  <c r="O41" i="14"/>
  <c r="O37" i="14"/>
  <c r="O33" i="14"/>
  <c r="O28" i="14"/>
  <c r="O45" i="14"/>
  <c r="O40" i="14"/>
  <c r="O32" i="14"/>
  <c r="O38" i="14"/>
  <c r="O20" i="14"/>
  <c r="O16" i="14"/>
  <c r="O30" i="14"/>
  <c r="O19" i="14"/>
  <c r="O49" i="14"/>
  <c r="O27" i="14"/>
  <c r="O34" i="14"/>
  <c r="O26" i="14"/>
  <c r="O21" i="14"/>
  <c r="O22" i="14"/>
  <c r="O17" i="14"/>
  <c r="O8" i="14"/>
  <c r="O7" i="14"/>
  <c r="O15" i="14"/>
  <c r="O12" i="14"/>
  <c r="O9" i="14"/>
  <c r="O18" i="14"/>
  <c r="O14" i="14"/>
  <c r="O10" i="14"/>
  <c r="P2" i="14"/>
  <c r="N29" i="14"/>
  <c r="N48" i="14"/>
  <c r="M3" i="14"/>
  <c r="N5" i="14"/>
  <c r="N4" i="14" s="1"/>
  <c r="N36" i="14"/>
  <c r="M42" i="14"/>
  <c r="M23" i="14" s="1"/>
  <c r="N56" i="14"/>
  <c r="L3" i="14"/>
  <c r="N5" i="13"/>
  <c r="N4" i="13" s="1"/>
  <c r="N29" i="13"/>
  <c r="N48" i="13"/>
  <c r="O65" i="13"/>
  <c r="O61" i="13"/>
  <c r="O64" i="13"/>
  <c r="O60" i="13"/>
  <c r="O63" i="13"/>
  <c r="O58" i="13"/>
  <c r="O53" i="13"/>
  <c r="O57" i="13"/>
  <c r="O55" i="13"/>
  <c r="O59" i="13"/>
  <c r="O52" i="13"/>
  <c r="O50" i="13"/>
  <c r="O46" i="13"/>
  <c r="O54" i="13"/>
  <c r="O51" i="13"/>
  <c r="O49" i="13"/>
  <c r="O45" i="13"/>
  <c r="O38" i="13"/>
  <c r="O47" i="13"/>
  <c r="O44" i="13"/>
  <c r="O39" i="13"/>
  <c r="O35" i="13"/>
  <c r="O37" i="13"/>
  <c r="O40" i="13"/>
  <c r="O33" i="13"/>
  <c r="O26" i="13"/>
  <c r="O21" i="13"/>
  <c r="O17" i="13"/>
  <c r="O20" i="13"/>
  <c r="O41" i="13"/>
  <c r="O32" i="13"/>
  <c r="O31" i="13"/>
  <c r="O28" i="13"/>
  <c r="O19" i="13"/>
  <c r="O15" i="13"/>
  <c r="O34" i="13"/>
  <c r="O30" i="13"/>
  <c r="O27" i="13"/>
  <c r="O22" i="13"/>
  <c r="O18" i="13"/>
  <c r="O14" i="13"/>
  <c r="O10" i="13"/>
  <c r="O12" i="13"/>
  <c r="O9" i="13"/>
  <c r="O8" i="13"/>
  <c r="O7" i="13"/>
  <c r="O16" i="13"/>
  <c r="N13" i="13"/>
  <c r="N11" i="13" s="1"/>
  <c r="K66" i="13"/>
  <c r="M3" i="13"/>
  <c r="N24" i="13"/>
  <c r="N36" i="13"/>
  <c r="N56" i="13"/>
  <c r="N293" i="3"/>
  <c r="N294" i="3"/>
  <c r="J157" i="2"/>
  <c r="K188" i="2"/>
  <c r="N188" i="2" s="1"/>
  <c r="Q23" i="20" l="1"/>
  <c r="Q19" i="20"/>
  <c r="Q15" i="20"/>
  <c r="Q12" i="20"/>
  <c r="Q13" i="20"/>
  <c r="Q24" i="20"/>
  <c r="Q20" i="20"/>
  <c r="Q16" i="20"/>
  <c r="Q22" i="20"/>
  <c r="Q14" i="20"/>
  <c r="Q25" i="20"/>
  <c r="Q17" i="20"/>
  <c r="Q11" i="20"/>
  <c r="Q18" i="20"/>
  <c r="Q21" i="20"/>
  <c r="Q10" i="20"/>
  <c r="N66" i="23"/>
  <c r="N66" i="21"/>
  <c r="M66" i="15"/>
  <c r="N66" i="24"/>
  <c r="P43" i="22"/>
  <c r="O42" i="21"/>
  <c r="O23" i="21" s="1"/>
  <c r="N82" i="20"/>
  <c r="N42" i="15"/>
  <c r="N23" i="15" s="1"/>
  <c r="N66" i="22"/>
  <c r="M66" i="13"/>
  <c r="N42" i="13"/>
  <c r="N23" i="13" s="1"/>
  <c r="O48" i="14"/>
  <c r="O62" i="16"/>
  <c r="Q36" i="19"/>
  <c r="P24" i="21"/>
  <c r="P48" i="24"/>
  <c r="O62" i="15"/>
  <c r="Q43" i="19"/>
  <c r="P29" i="21"/>
  <c r="P36" i="22"/>
  <c r="O58" i="20"/>
  <c r="O39" i="20" s="1"/>
  <c r="N42" i="16"/>
  <c r="N23" i="16" s="1"/>
  <c r="P48" i="23"/>
  <c r="N3" i="15"/>
  <c r="Q5" i="19"/>
  <c r="Q4" i="19" s="1"/>
  <c r="O3" i="20"/>
  <c r="N3" i="13"/>
  <c r="P5" i="22"/>
  <c r="Q13" i="19"/>
  <c r="Q11" i="19" s="1"/>
  <c r="P5" i="24"/>
  <c r="P4" i="24" s="1"/>
  <c r="N3" i="16"/>
  <c r="P56" i="24"/>
  <c r="P62" i="24"/>
  <c r="O3" i="23"/>
  <c r="P13" i="23"/>
  <c r="P11" i="23" s="1"/>
  <c r="P5" i="23"/>
  <c r="P4" i="23" s="1"/>
  <c r="P13" i="24"/>
  <c r="P11" i="24" s="1"/>
  <c r="P43" i="24"/>
  <c r="O42" i="24"/>
  <c r="O23" i="24" s="1"/>
  <c r="P24" i="24"/>
  <c r="O3" i="24"/>
  <c r="Q63" i="24"/>
  <c r="Q58" i="24"/>
  <c r="Q65" i="24"/>
  <c r="Q59" i="24"/>
  <c r="Q61" i="24"/>
  <c r="Q57" i="24"/>
  <c r="Q55" i="24"/>
  <c r="Q49" i="24"/>
  <c r="Q53" i="24"/>
  <c r="Q52" i="24"/>
  <c r="Q47" i="24"/>
  <c r="Q40" i="24"/>
  <c r="Q54" i="24"/>
  <c r="Q51" i="24"/>
  <c r="Q46" i="24"/>
  <c r="Q39" i="24"/>
  <c r="Q35" i="24"/>
  <c r="Q64" i="24"/>
  <c r="Q50" i="24"/>
  <c r="Q44" i="24"/>
  <c r="Q60" i="24"/>
  <c r="Q38" i="24"/>
  <c r="Q34" i="24"/>
  <c r="Q41" i="24"/>
  <c r="Q37" i="24"/>
  <c r="Q33" i="24"/>
  <c r="Q45" i="24"/>
  <c r="Q32" i="24"/>
  <c r="Q26" i="24"/>
  <c r="Q21" i="24"/>
  <c r="Q17" i="24"/>
  <c r="Q20" i="24"/>
  <c r="Q16" i="24"/>
  <c r="Q31" i="24"/>
  <c r="Q28" i="24"/>
  <c r="Q19" i="24"/>
  <c r="Q30" i="24"/>
  <c r="Q27" i="24"/>
  <c r="Q18" i="24"/>
  <c r="Q14" i="24"/>
  <c r="Q7" i="24"/>
  <c r="Q12" i="24"/>
  <c r="Q9" i="24"/>
  <c r="Q10" i="24"/>
  <c r="R2" i="24"/>
  <c r="Q22" i="24"/>
  <c r="Q15" i="24"/>
  <c r="Q8" i="24"/>
  <c r="P29" i="24"/>
  <c r="P36" i="24"/>
  <c r="Q63" i="23"/>
  <c r="Q58" i="23"/>
  <c r="Q65" i="23"/>
  <c r="Q59" i="23"/>
  <c r="Q53" i="23"/>
  <c r="Q49" i="23"/>
  <c r="Q64" i="23"/>
  <c r="Q61" i="23"/>
  <c r="Q57" i="23"/>
  <c r="Q55" i="23"/>
  <c r="Q52" i="23"/>
  <c r="Q60" i="23"/>
  <c r="Q51" i="23"/>
  <c r="Q45" i="23"/>
  <c r="Q50" i="23"/>
  <c r="Q44" i="23"/>
  <c r="Q54" i="23"/>
  <c r="Q47" i="23"/>
  <c r="Q46" i="23"/>
  <c r="Q40" i="23"/>
  <c r="Q32" i="23"/>
  <c r="Q39" i="23"/>
  <c r="Q35" i="23"/>
  <c r="Q38" i="23"/>
  <c r="Q34" i="23"/>
  <c r="Q30" i="23"/>
  <c r="Q41" i="23"/>
  <c r="Q37" i="23"/>
  <c r="Q33" i="23"/>
  <c r="Q27" i="23"/>
  <c r="Q21" i="23"/>
  <c r="Q26" i="23"/>
  <c r="Q20" i="23"/>
  <c r="Q16" i="23"/>
  <c r="Q31" i="23"/>
  <c r="Q19" i="23"/>
  <c r="Q15" i="23"/>
  <c r="Q28" i="23"/>
  <c r="Q7" i="23"/>
  <c r="Q22" i="23"/>
  <c r="Q18" i="23"/>
  <c r="Q10" i="23"/>
  <c r="Q17" i="23"/>
  <c r="Q14" i="23"/>
  <c r="Q12" i="23"/>
  <c r="Q9" i="23"/>
  <c r="Q8" i="23"/>
  <c r="R2" i="23"/>
  <c r="P36" i="23"/>
  <c r="P56" i="23"/>
  <c r="O42" i="23"/>
  <c r="O23" i="23" s="1"/>
  <c r="P29" i="23"/>
  <c r="P24" i="23"/>
  <c r="P43" i="23"/>
  <c r="P62" i="23"/>
  <c r="Q63" i="22"/>
  <c r="Q57" i="22"/>
  <c r="Q59" i="22"/>
  <c r="Q49" i="22"/>
  <c r="Q45" i="22"/>
  <c r="Q41" i="22"/>
  <c r="Q30" i="22"/>
  <c r="Q26" i="22"/>
  <c r="Q9" i="22"/>
  <c r="Q18" i="22"/>
  <c r="Q16" i="22"/>
  <c r="Q14" i="22"/>
  <c r="Q58" i="22"/>
  <c r="Q55" i="22"/>
  <c r="Q53" i="22"/>
  <c r="Q46" i="22"/>
  <c r="Q38" i="22"/>
  <c r="Q35" i="22"/>
  <c r="Q27" i="22"/>
  <c r="Q19" i="22"/>
  <c r="Q31" i="22"/>
  <c r="Q44" i="22"/>
  <c r="Q33" i="22"/>
  <c r="Q8" i="22"/>
  <c r="Q65" i="22"/>
  <c r="Q60" i="22"/>
  <c r="Q50" i="22"/>
  <c r="Q39" i="22"/>
  <c r="Q51" i="22"/>
  <c r="Q40" i="22"/>
  <c r="Q54" i="22"/>
  <c r="Q15" i="22"/>
  <c r="Q28" i="22"/>
  <c r="Q21" i="22"/>
  <c r="Q7" i="22"/>
  <c r="Q20" i="22"/>
  <c r="Q61" i="22"/>
  <c r="Q64" i="22"/>
  <c r="Q47" i="22"/>
  <c r="Q52" i="22"/>
  <c r="Q32" i="22"/>
  <c r="Q34" i="22"/>
  <c r="Q37" i="22"/>
  <c r="Q12" i="22"/>
  <c r="Q22" i="22"/>
  <c r="Q17" i="22"/>
  <c r="R2" i="22"/>
  <c r="Q10" i="22"/>
  <c r="O42" i="22"/>
  <c r="O23" i="22" s="1"/>
  <c r="P4" i="22"/>
  <c r="P48" i="22"/>
  <c r="P13" i="22"/>
  <c r="P11" i="22" s="1"/>
  <c r="P24" i="22"/>
  <c r="P56" i="22"/>
  <c r="P29" i="22"/>
  <c r="P62" i="22"/>
  <c r="O3" i="22"/>
  <c r="P5" i="21"/>
  <c r="P4" i="21" s="1"/>
  <c r="P13" i="21"/>
  <c r="P11" i="21" s="1"/>
  <c r="P36" i="21"/>
  <c r="P56" i="21"/>
  <c r="P62" i="21"/>
  <c r="O3" i="21"/>
  <c r="Q63" i="21"/>
  <c r="Q59" i="21"/>
  <c r="Q58" i="21"/>
  <c r="Q65" i="21"/>
  <c r="Q64" i="21"/>
  <c r="Q61" i="21"/>
  <c r="Q55" i="21"/>
  <c r="Q52" i="21"/>
  <c r="Q60" i="21"/>
  <c r="Q57" i="21"/>
  <c r="Q53" i="21"/>
  <c r="Q44" i="21"/>
  <c r="Q41" i="21"/>
  <c r="Q54" i="21"/>
  <c r="Q50" i="21"/>
  <c r="Q47" i="21"/>
  <c r="Q40" i="21"/>
  <c r="Q49" i="21"/>
  <c r="Q46" i="21"/>
  <c r="Q39" i="21"/>
  <c r="Q34" i="21"/>
  <c r="Q31" i="21"/>
  <c r="Q28" i="21"/>
  <c r="Q51" i="21"/>
  <c r="Q45" i="21"/>
  <c r="Q38" i="21"/>
  <c r="Q33" i="21"/>
  <c r="Q30" i="21"/>
  <c r="Q27" i="21"/>
  <c r="Q37" i="21"/>
  <c r="Q26" i="21"/>
  <c r="Q21" i="21"/>
  <c r="Q17" i="21"/>
  <c r="Q32" i="21"/>
  <c r="Q19" i="21"/>
  <c r="Q16" i="21"/>
  <c r="Q35" i="21"/>
  <c r="Q22" i="21"/>
  <c r="Q18" i="21"/>
  <c r="Q15" i="21"/>
  <c r="Q20" i="21"/>
  <c r="Q12" i="21"/>
  <c r="Q9" i="21"/>
  <c r="Q14" i="21"/>
  <c r="Q8" i="21"/>
  <c r="Q7" i="21"/>
  <c r="Q10" i="21"/>
  <c r="R2" i="21"/>
  <c r="P43" i="21"/>
  <c r="P48" i="21"/>
  <c r="Q79" i="20"/>
  <c r="Q75" i="20"/>
  <c r="Q74" i="20"/>
  <c r="Q81" i="20"/>
  <c r="Q80" i="20"/>
  <c r="Q77" i="20"/>
  <c r="Q76" i="20"/>
  <c r="Q69" i="20"/>
  <c r="Q73" i="20"/>
  <c r="Q66" i="20"/>
  <c r="Q63" i="20"/>
  <c r="Q71" i="20"/>
  <c r="Q68" i="20"/>
  <c r="Q65" i="20"/>
  <c r="Q62" i="20"/>
  <c r="Q55" i="20"/>
  <c r="Q60" i="20"/>
  <c r="Q56" i="20"/>
  <c r="Q53" i="20"/>
  <c r="Q49" i="20"/>
  <c r="Q70" i="20"/>
  <c r="Q48" i="20"/>
  <c r="Q51" i="20"/>
  <c r="Q47" i="20"/>
  <c r="Q44" i="20"/>
  <c r="Q50" i="20"/>
  <c r="Q36" i="20"/>
  <c r="Q32" i="20"/>
  <c r="Q26" i="20"/>
  <c r="Q54" i="20"/>
  <c r="Q46" i="20"/>
  <c r="Q43" i="20"/>
  <c r="Q35" i="20"/>
  <c r="Q31" i="20"/>
  <c r="Q28" i="20"/>
  <c r="Q67" i="20"/>
  <c r="Q57" i="20"/>
  <c r="Q38" i="20"/>
  <c r="Q34" i="20"/>
  <c r="Q8" i="20"/>
  <c r="Q61" i="20"/>
  <c r="Q42" i="20"/>
  <c r="Q37" i="20"/>
  <c r="Q30" i="20"/>
  <c r="Q9" i="20"/>
  <c r="Q33" i="20"/>
  <c r="Q7" i="20"/>
  <c r="R2" i="20"/>
  <c r="P52" i="20"/>
  <c r="P5" i="20"/>
  <c r="P4" i="20" s="1"/>
  <c r="P40" i="20"/>
  <c r="P59" i="20"/>
  <c r="P45" i="20"/>
  <c r="P72" i="20"/>
  <c r="P78" i="20"/>
  <c r="P29" i="20"/>
  <c r="P27" i="20" s="1"/>
  <c r="P64" i="20"/>
  <c r="P42" i="19"/>
  <c r="P23" i="19" s="1"/>
  <c r="Q24" i="19"/>
  <c r="Q56" i="19"/>
  <c r="Q62" i="19"/>
  <c r="Q29" i="19"/>
  <c r="Q48" i="19"/>
  <c r="P3" i="19"/>
  <c r="R65" i="19"/>
  <c r="R61" i="19"/>
  <c r="R57" i="19"/>
  <c r="R64" i="19"/>
  <c r="R58" i="19"/>
  <c r="R63" i="19"/>
  <c r="R55" i="19"/>
  <c r="R52" i="19"/>
  <c r="R53" i="19"/>
  <c r="R51" i="19"/>
  <c r="R60" i="19"/>
  <c r="R46" i="19"/>
  <c r="R39" i="19"/>
  <c r="R35" i="19"/>
  <c r="R54" i="19"/>
  <c r="R47" i="19"/>
  <c r="R45" i="19"/>
  <c r="R50" i="19"/>
  <c r="R44" i="19"/>
  <c r="R41" i="19"/>
  <c r="R37" i="19"/>
  <c r="R32" i="19"/>
  <c r="R49" i="19"/>
  <c r="R31" i="19"/>
  <c r="R28" i="19"/>
  <c r="R19" i="19"/>
  <c r="R38" i="19"/>
  <c r="R33" i="19"/>
  <c r="R22" i="19"/>
  <c r="R59" i="19"/>
  <c r="R40" i="19"/>
  <c r="R34" i="19"/>
  <c r="R27" i="19"/>
  <c r="R21" i="19"/>
  <c r="R18" i="19"/>
  <c r="R14" i="19"/>
  <c r="R30" i="19"/>
  <c r="R26" i="19"/>
  <c r="R20" i="19"/>
  <c r="R17" i="19"/>
  <c r="R15" i="19"/>
  <c r="R12" i="19"/>
  <c r="R9" i="19"/>
  <c r="S2" i="19"/>
  <c r="R16" i="19"/>
  <c r="R8" i="19"/>
  <c r="R10" i="19"/>
  <c r="R7" i="19"/>
  <c r="O66" i="19"/>
  <c r="P43" i="18"/>
  <c r="P56" i="18"/>
  <c r="O42" i="18"/>
  <c r="O23" i="18" s="1"/>
  <c r="P62" i="18"/>
  <c r="P13" i="18"/>
  <c r="P11" i="18" s="1"/>
  <c r="P36" i="18"/>
  <c r="P24" i="18"/>
  <c r="P48" i="18"/>
  <c r="O3" i="18"/>
  <c r="N66" i="18"/>
  <c r="P29" i="18"/>
  <c r="P5" i="18"/>
  <c r="P4" i="18" s="1"/>
  <c r="Q63" i="18"/>
  <c r="Q59" i="18"/>
  <c r="Q65" i="18"/>
  <c r="Q61" i="18"/>
  <c r="Q57" i="18"/>
  <c r="Q54" i="18"/>
  <c r="Q64" i="18"/>
  <c r="Q60" i="18"/>
  <c r="Q52" i="18"/>
  <c r="Q55" i="18"/>
  <c r="Q51" i="18"/>
  <c r="Q58" i="18"/>
  <c r="Q53" i="18"/>
  <c r="Q50" i="18"/>
  <c r="Q46" i="18"/>
  <c r="Q39" i="18"/>
  <c r="Q45" i="18"/>
  <c r="Q38" i="18"/>
  <c r="Q44" i="18"/>
  <c r="Q41" i="18"/>
  <c r="Q37" i="18"/>
  <c r="Q49" i="18"/>
  <c r="Q47" i="18"/>
  <c r="Q33" i="18"/>
  <c r="Q26" i="18"/>
  <c r="Q21" i="18"/>
  <c r="Q32" i="18"/>
  <c r="Q20" i="18"/>
  <c r="Q40" i="18"/>
  <c r="Q35" i="18"/>
  <c r="Q31" i="18"/>
  <c r="Q28" i="18"/>
  <c r="Q34" i="18"/>
  <c r="Q30" i="18"/>
  <c r="Q27" i="18"/>
  <c r="Q19" i="18"/>
  <c r="Q17" i="18"/>
  <c r="Q15" i="18"/>
  <c r="Q12" i="18"/>
  <c r="Q9" i="18"/>
  <c r="Q22" i="18"/>
  <c r="Q18" i="18"/>
  <c r="Q14" i="18"/>
  <c r="Q8" i="18"/>
  <c r="R2" i="18"/>
  <c r="Q7" i="18"/>
  <c r="Q16" i="18"/>
  <c r="Q10" i="18"/>
  <c r="O24" i="16"/>
  <c r="O36" i="16"/>
  <c r="O48" i="16"/>
  <c r="O29" i="16"/>
  <c r="O56" i="16"/>
  <c r="M66" i="16"/>
  <c r="O5" i="16"/>
  <c r="O4" i="16" s="1"/>
  <c r="P64" i="16"/>
  <c r="P63" i="16"/>
  <c r="P59" i="16"/>
  <c r="P61" i="16"/>
  <c r="P65" i="16"/>
  <c r="P57" i="16"/>
  <c r="P60" i="16"/>
  <c r="P54" i="16"/>
  <c r="P51" i="16"/>
  <c r="P58" i="16"/>
  <c r="P55" i="16"/>
  <c r="P52" i="16"/>
  <c r="P50" i="16"/>
  <c r="P47" i="16"/>
  <c r="P53" i="16"/>
  <c r="P49" i="16"/>
  <c r="P46" i="16"/>
  <c r="P39" i="16"/>
  <c r="P45" i="16"/>
  <c r="P41" i="16"/>
  <c r="P34" i="16"/>
  <c r="P44" i="16"/>
  <c r="P40" i="16"/>
  <c r="P37" i="16"/>
  <c r="P33" i="16"/>
  <c r="P38" i="16"/>
  <c r="P32" i="16"/>
  <c r="P35" i="16"/>
  <c r="P31" i="16"/>
  <c r="P28" i="16"/>
  <c r="P26" i="16"/>
  <c r="P21" i="16"/>
  <c r="P17" i="16"/>
  <c r="P30" i="16"/>
  <c r="P27" i="16"/>
  <c r="P20" i="16"/>
  <c r="P16" i="16"/>
  <c r="P19" i="16"/>
  <c r="P15" i="16"/>
  <c r="P12" i="16"/>
  <c r="P9" i="16"/>
  <c r="P22" i="16"/>
  <c r="P18" i="16"/>
  <c r="P8" i="16"/>
  <c r="Q2" i="16"/>
  <c r="P14" i="16"/>
  <c r="P7" i="16"/>
  <c r="P10" i="16"/>
  <c r="O13" i="16"/>
  <c r="O11" i="16" s="1"/>
  <c r="O43" i="16"/>
  <c r="O24" i="15"/>
  <c r="O43" i="15"/>
  <c r="O56" i="15"/>
  <c r="P64" i="15"/>
  <c r="P60" i="15"/>
  <c r="P63" i="15"/>
  <c r="P59" i="15"/>
  <c r="P65" i="15"/>
  <c r="P58" i="15"/>
  <c r="P57" i="15"/>
  <c r="P53" i="15"/>
  <c r="P55" i="15"/>
  <c r="P52" i="15"/>
  <c r="P51" i="15"/>
  <c r="P50" i="15"/>
  <c r="P61" i="15"/>
  <c r="P47" i="15"/>
  <c r="P40" i="15"/>
  <c r="P49" i="15"/>
  <c r="P46" i="15"/>
  <c r="P39" i="15"/>
  <c r="P35" i="15"/>
  <c r="P45" i="15"/>
  <c r="P38" i="15"/>
  <c r="P34" i="15"/>
  <c r="P33" i="15"/>
  <c r="P31" i="15"/>
  <c r="P28" i="15"/>
  <c r="P30" i="15"/>
  <c r="P27" i="15"/>
  <c r="P22" i="15"/>
  <c r="P18" i="15"/>
  <c r="P54" i="15"/>
  <c r="P41" i="15"/>
  <c r="P37" i="15"/>
  <c r="P32" i="15"/>
  <c r="P26" i="15"/>
  <c r="P21" i="15"/>
  <c r="P17" i="15"/>
  <c r="P44" i="15"/>
  <c r="P20" i="15"/>
  <c r="P15" i="15"/>
  <c r="P14" i="15"/>
  <c r="P16" i="15"/>
  <c r="P19" i="15"/>
  <c r="P10" i="15"/>
  <c r="P8" i="15"/>
  <c r="P12" i="15"/>
  <c r="P7" i="15"/>
  <c r="P9" i="15"/>
  <c r="Q2" i="15"/>
  <c r="O48" i="15"/>
  <c r="O36" i="15"/>
  <c r="O5" i="15"/>
  <c r="O4" i="15" s="1"/>
  <c r="O13" i="15"/>
  <c r="O11" i="15" s="1"/>
  <c r="O29" i="15"/>
  <c r="N42" i="14"/>
  <c r="N23" i="14" s="1"/>
  <c r="O5" i="14"/>
  <c r="O4" i="14" s="1"/>
  <c r="O56" i="14"/>
  <c r="O24" i="14"/>
  <c r="O43" i="14"/>
  <c r="O62" i="14"/>
  <c r="N3" i="14"/>
  <c r="P64" i="14"/>
  <c r="P63" i="14"/>
  <c r="P59" i="14"/>
  <c r="P60" i="14"/>
  <c r="P55" i="14"/>
  <c r="P49" i="14"/>
  <c r="P61" i="14"/>
  <c r="P52" i="14"/>
  <c r="P65" i="14"/>
  <c r="P54" i="14"/>
  <c r="P51" i="14"/>
  <c r="P58" i="14"/>
  <c r="P57" i="14"/>
  <c r="P53" i="14"/>
  <c r="P50" i="14"/>
  <c r="P47" i="14"/>
  <c r="P46" i="14"/>
  <c r="P45" i="14"/>
  <c r="P38" i="14"/>
  <c r="P34" i="14"/>
  <c r="P30" i="14"/>
  <c r="P27" i="14"/>
  <c r="P22" i="14"/>
  <c r="P40" i="14"/>
  <c r="P32" i="14"/>
  <c r="P39" i="14"/>
  <c r="P35" i="14"/>
  <c r="P31" i="14"/>
  <c r="P19" i="14"/>
  <c r="P15" i="14"/>
  <c r="P44" i="14"/>
  <c r="P33" i="14"/>
  <c r="P41" i="14"/>
  <c r="P37" i="14"/>
  <c r="P28" i="14"/>
  <c r="P20" i="14"/>
  <c r="P26" i="14"/>
  <c r="P16" i="14"/>
  <c r="P7" i="14"/>
  <c r="P17" i="14"/>
  <c r="P18" i="14"/>
  <c r="P14" i="14"/>
  <c r="P10" i="14"/>
  <c r="P8" i="14"/>
  <c r="P21" i="14"/>
  <c r="P12" i="14"/>
  <c r="P9" i="14"/>
  <c r="Q2" i="14"/>
  <c r="L66" i="14"/>
  <c r="M66" i="14"/>
  <c r="O29" i="14"/>
  <c r="O13" i="14"/>
  <c r="O11" i="14" s="1"/>
  <c r="O36" i="14"/>
  <c r="O62" i="13"/>
  <c r="O13" i="13"/>
  <c r="O11" i="13" s="1"/>
  <c r="O29" i="13"/>
  <c r="O43" i="13"/>
  <c r="O48" i="13"/>
  <c r="O56" i="13"/>
  <c r="P64" i="13"/>
  <c r="P60" i="13"/>
  <c r="P63" i="13"/>
  <c r="P59" i="13"/>
  <c r="P61" i="13"/>
  <c r="P52" i="13"/>
  <c r="P65" i="13"/>
  <c r="P54" i="13"/>
  <c r="P51" i="13"/>
  <c r="P49" i="13"/>
  <c r="P45" i="13"/>
  <c r="P57" i="13"/>
  <c r="P53" i="13"/>
  <c r="P44" i="13"/>
  <c r="P41" i="13"/>
  <c r="P37" i="13"/>
  <c r="P47" i="13"/>
  <c r="P58" i="13"/>
  <c r="P55" i="13"/>
  <c r="P50" i="13"/>
  <c r="P46" i="13"/>
  <c r="P38" i="13"/>
  <c r="P34" i="13"/>
  <c r="P40" i="13"/>
  <c r="P32" i="13"/>
  <c r="P39" i="13"/>
  <c r="P20" i="13"/>
  <c r="P16" i="13"/>
  <c r="P35" i="13"/>
  <c r="P31" i="13"/>
  <c r="P28" i="13"/>
  <c r="P19" i="13"/>
  <c r="P30" i="13"/>
  <c r="P27" i="13"/>
  <c r="P22" i="13"/>
  <c r="P18" i="13"/>
  <c r="P14" i="13"/>
  <c r="P33" i="13"/>
  <c r="P26" i="13"/>
  <c r="P21" i="13"/>
  <c r="P17" i="13"/>
  <c r="P12" i="13"/>
  <c r="P9" i="13"/>
  <c r="P15" i="13"/>
  <c r="P8" i="13"/>
  <c r="P7" i="13"/>
  <c r="P10" i="13"/>
  <c r="O5" i="13"/>
  <c r="O4" i="13" s="1"/>
  <c r="O36" i="13"/>
  <c r="O24" i="13"/>
  <c r="J200" i="2"/>
  <c r="K200" i="2" s="1"/>
  <c r="N200" i="2" s="1"/>
  <c r="J201" i="2"/>
  <c r="K201" i="2" s="1"/>
  <c r="N201" i="2" s="1"/>
  <c r="J202" i="2"/>
  <c r="K202" i="2" s="1"/>
  <c r="N202" i="2" s="1"/>
  <c r="J203" i="2"/>
  <c r="K203" i="2" s="1"/>
  <c r="N203" i="2" s="1"/>
  <c r="J204" i="2"/>
  <c r="K204" i="2" s="1"/>
  <c r="N204" i="2" s="1"/>
  <c r="J205" i="2"/>
  <c r="K205" i="2" s="1"/>
  <c r="N205" i="2" s="1"/>
  <c r="K151" i="2"/>
  <c r="N151" i="2" s="1"/>
  <c r="K48" i="2"/>
  <c r="N48" i="2" s="1"/>
  <c r="R12" i="20" l="1"/>
  <c r="R25" i="20"/>
  <c r="R17" i="20"/>
  <c r="R24" i="20"/>
  <c r="R20" i="20"/>
  <c r="R16" i="20"/>
  <c r="R21" i="20"/>
  <c r="R13" i="20"/>
  <c r="R23" i="20"/>
  <c r="R15" i="20"/>
  <c r="R11" i="20"/>
  <c r="R18" i="20"/>
  <c r="R10" i="20"/>
  <c r="R22" i="20"/>
  <c r="R14" i="20"/>
  <c r="R19" i="20"/>
  <c r="N66" i="15"/>
  <c r="O82" i="20"/>
  <c r="N66" i="13"/>
  <c r="Q42" i="19"/>
  <c r="Q23" i="19" s="1"/>
  <c r="P43" i="15"/>
  <c r="Q36" i="22"/>
  <c r="P42" i="22"/>
  <c r="P23" i="22" s="1"/>
  <c r="Q36" i="23"/>
  <c r="Q45" i="20"/>
  <c r="P56" i="14"/>
  <c r="O42" i="15"/>
  <c r="O23" i="15" s="1"/>
  <c r="O42" i="14"/>
  <c r="O23" i="14" s="1"/>
  <c r="O42" i="16"/>
  <c r="O23" i="16" s="1"/>
  <c r="P29" i="16"/>
  <c r="Q40" i="20"/>
  <c r="Q72" i="20"/>
  <c r="P48" i="16"/>
  <c r="R62" i="19"/>
  <c r="P36" i="14"/>
  <c r="P43" i="16"/>
  <c r="Q56" i="23"/>
  <c r="N66" i="14"/>
  <c r="Q36" i="21"/>
  <c r="Q3" i="19"/>
  <c r="N66" i="16"/>
  <c r="Q5" i="22"/>
  <c r="Q4" i="22" s="1"/>
  <c r="Q5" i="20"/>
  <c r="Q4" i="20" s="1"/>
  <c r="P3" i="21"/>
  <c r="O3" i="14"/>
  <c r="O66" i="22"/>
  <c r="O66" i="23"/>
  <c r="Q29" i="20"/>
  <c r="Q27" i="20" s="1"/>
  <c r="P5" i="16"/>
  <c r="P4" i="16" s="1"/>
  <c r="P13" i="14"/>
  <c r="P11" i="14" s="1"/>
  <c r="P13" i="16"/>
  <c r="P11" i="16" s="1"/>
  <c r="P42" i="24"/>
  <c r="P23" i="24" s="1"/>
  <c r="Q56" i="24"/>
  <c r="R65" i="24"/>
  <c r="R61" i="24"/>
  <c r="R57" i="24"/>
  <c r="R64" i="24"/>
  <c r="R60" i="24"/>
  <c r="R54" i="24"/>
  <c r="R59" i="24"/>
  <c r="R55" i="24"/>
  <c r="R52" i="24"/>
  <c r="R63" i="24"/>
  <c r="R51" i="24"/>
  <c r="R46" i="24"/>
  <c r="R39" i="24"/>
  <c r="R35" i="24"/>
  <c r="R50" i="24"/>
  <c r="R45" i="24"/>
  <c r="R38" i="24"/>
  <c r="R49" i="24"/>
  <c r="R47" i="24"/>
  <c r="R41" i="24"/>
  <c r="R37" i="24"/>
  <c r="R58" i="24"/>
  <c r="R40" i="24"/>
  <c r="R32" i="24"/>
  <c r="R53" i="24"/>
  <c r="R44" i="24"/>
  <c r="R34" i="24"/>
  <c r="R20" i="24"/>
  <c r="R16" i="24"/>
  <c r="R31" i="24"/>
  <c r="R28" i="24"/>
  <c r="R19" i="24"/>
  <c r="R15" i="24"/>
  <c r="R12" i="24"/>
  <c r="R33" i="24"/>
  <c r="R30" i="24"/>
  <c r="R27" i="24"/>
  <c r="R22" i="24"/>
  <c r="R17" i="24"/>
  <c r="R10" i="24"/>
  <c r="S2" i="24"/>
  <c r="R8" i="24"/>
  <c r="R7" i="24"/>
  <c r="R26" i="24"/>
  <c r="R9" i="24"/>
  <c r="R21" i="24"/>
  <c r="R18" i="24"/>
  <c r="R14" i="24"/>
  <c r="Q5" i="24"/>
  <c r="Q4" i="24" s="1"/>
  <c r="Q29" i="24"/>
  <c r="Q24" i="24"/>
  <c r="Q36" i="24"/>
  <c r="Q62" i="24"/>
  <c r="Q13" i="24"/>
  <c r="Q11" i="24" s="1"/>
  <c r="Q43" i="24"/>
  <c r="Q48" i="24"/>
  <c r="O66" i="24"/>
  <c r="P3" i="24"/>
  <c r="Q5" i="23"/>
  <c r="Q4" i="23" s="1"/>
  <c r="Q29" i="23"/>
  <c r="Q48" i="23"/>
  <c r="P42" i="23"/>
  <c r="P23" i="23" s="1"/>
  <c r="Q62" i="23"/>
  <c r="P3" i="23"/>
  <c r="R65" i="23"/>
  <c r="R61" i="23"/>
  <c r="R57" i="23"/>
  <c r="R64" i="23"/>
  <c r="R58" i="23"/>
  <c r="R55" i="23"/>
  <c r="R52" i="23"/>
  <c r="R63" i="23"/>
  <c r="R60" i="23"/>
  <c r="R54" i="23"/>
  <c r="R50" i="23"/>
  <c r="R49" i="23"/>
  <c r="R47" i="23"/>
  <c r="R53" i="23"/>
  <c r="R46" i="23"/>
  <c r="R45" i="23"/>
  <c r="R39" i="23"/>
  <c r="R35" i="23"/>
  <c r="R31" i="23"/>
  <c r="R28" i="23"/>
  <c r="R38" i="23"/>
  <c r="R59" i="23"/>
  <c r="R44" i="23"/>
  <c r="R41" i="23"/>
  <c r="R37" i="23"/>
  <c r="R33" i="23"/>
  <c r="R40" i="23"/>
  <c r="R32" i="23"/>
  <c r="R26" i="23"/>
  <c r="R20" i="23"/>
  <c r="R19" i="23"/>
  <c r="R15" i="23"/>
  <c r="R51" i="23"/>
  <c r="R34" i="23"/>
  <c r="R30" i="23"/>
  <c r="R22" i="23"/>
  <c r="R18" i="23"/>
  <c r="R10" i="23"/>
  <c r="R21" i="23"/>
  <c r="R17" i="23"/>
  <c r="R14" i="23"/>
  <c r="R12" i="23"/>
  <c r="R9" i="23"/>
  <c r="S2" i="23"/>
  <c r="R16" i="23"/>
  <c r="R27" i="23"/>
  <c r="R7" i="23"/>
  <c r="R8" i="23"/>
  <c r="Q13" i="23"/>
  <c r="Q11" i="23" s="1"/>
  <c r="Q24" i="23"/>
  <c r="Q43" i="23"/>
  <c r="Q13" i="22"/>
  <c r="Q11" i="22" s="1"/>
  <c r="Q24" i="22"/>
  <c r="Q48" i="22"/>
  <c r="Q29" i="22"/>
  <c r="R57" i="22"/>
  <c r="R63" i="22"/>
  <c r="R46" i="22"/>
  <c r="R51" i="22"/>
  <c r="R38" i="22"/>
  <c r="R40" i="22"/>
  <c r="R37" i="22"/>
  <c r="R14" i="22"/>
  <c r="R47" i="22"/>
  <c r="S2" i="22"/>
  <c r="R10" i="22"/>
  <c r="R7" i="22"/>
  <c r="R60" i="22"/>
  <c r="R58" i="22"/>
  <c r="R52" i="22"/>
  <c r="R44" i="22"/>
  <c r="R35" i="22"/>
  <c r="R34" i="22"/>
  <c r="R33" i="22"/>
  <c r="R30" i="22"/>
  <c r="R20" i="22"/>
  <c r="R26" i="22"/>
  <c r="R19" i="22"/>
  <c r="R12" i="22"/>
  <c r="R65" i="22"/>
  <c r="R64" i="22"/>
  <c r="R55" i="22"/>
  <c r="R45" i="22"/>
  <c r="R41" i="22"/>
  <c r="R31" i="22"/>
  <c r="R53" i="22"/>
  <c r="R22" i="22"/>
  <c r="R27" i="22"/>
  <c r="R16" i="22"/>
  <c r="R8" i="22"/>
  <c r="R9" i="22"/>
  <c r="R50" i="22"/>
  <c r="R18" i="22"/>
  <c r="R15" i="22"/>
  <c r="R32" i="22"/>
  <c r="R61" i="22"/>
  <c r="R59" i="22"/>
  <c r="R49" i="22"/>
  <c r="R54" i="22"/>
  <c r="R28" i="22"/>
  <c r="R39" i="22"/>
  <c r="R21" i="22"/>
  <c r="R17" i="22"/>
  <c r="P3" i="22"/>
  <c r="Q43" i="22"/>
  <c r="Q56" i="22"/>
  <c r="Q62" i="22"/>
  <c r="O66" i="21"/>
  <c r="Q56" i="21"/>
  <c r="Q62" i="21"/>
  <c r="P42" i="21"/>
  <c r="P23" i="21" s="1"/>
  <c r="P66" i="21" s="1"/>
  <c r="R65" i="21"/>
  <c r="R61" i="21"/>
  <c r="R57" i="21"/>
  <c r="R64" i="21"/>
  <c r="R63" i="21"/>
  <c r="R60" i="21"/>
  <c r="R55" i="21"/>
  <c r="R52" i="21"/>
  <c r="R58" i="21"/>
  <c r="R54" i="21"/>
  <c r="R51" i="21"/>
  <c r="R59" i="21"/>
  <c r="R53" i="21"/>
  <c r="R50" i="21"/>
  <c r="R47" i="21"/>
  <c r="R49" i="21"/>
  <c r="R46" i="21"/>
  <c r="R39" i="21"/>
  <c r="R35" i="21"/>
  <c r="R45" i="21"/>
  <c r="R41" i="21"/>
  <c r="R38" i="21"/>
  <c r="R33" i="21"/>
  <c r="R30" i="21"/>
  <c r="R27" i="21"/>
  <c r="R44" i="21"/>
  <c r="R37" i="21"/>
  <c r="R40" i="21"/>
  <c r="R32" i="21"/>
  <c r="R20" i="21"/>
  <c r="R34" i="21"/>
  <c r="R31" i="21"/>
  <c r="R22" i="21"/>
  <c r="R18" i="21"/>
  <c r="R21" i="21"/>
  <c r="R17" i="21"/>
  <c r="R26" i="21"/>
  <c r="R28" i="21"/>
  <c r="R19" i="21"/>
  <c r="R16" i="21"/>
  <c r="R14" i="21"/>
  <c r="R15" i="21"/>
  <c r="R10" i="21"/>
  <c r="R12" i="21"/>
  <c r="R9" i="21"/>
  <c r="S2" i="21"/>
  <c r="R8" i="21"/>
  <c r="R7" i="21"/>
  <c r="Q13" i="21"/>
  <c r="Q11" i="21" s="1"/>
  <c r="Q29" i="21"/>
  <c r="Q43" i="21"/>
  <c r="Q24" i="21"/>
  <c r="Q5" i="21"/>
  <c r="Q4" i="21" s="1"/>
  <c r="Q48" i="21"/>
  <c r="Q52" i="20"/>
  <c r="R81" i="20"/>
  <c r="R77" i="20"/>
  <c r="R73" i="20"/>
  <c r="R80" i="20"/>
  <c r="R79" i="20"/>
  <c r="R76" i="20"/>
  <c r="R71" i="20"/>
  <c r="R68" i="20"/>
  <c r="R75" i="20"/>
  <c r="R66" i="20"/>
  <c r="R63" i="20"/>
  <c r="R65" i="20"/>
  <c r="R74" i="20"/>
  <c r="R70" i="20"/>
  <c r="R67" i="20"/>
  <c r="R61" i="20"/>
  <c r="R69" i="20"/>
  <c r="R55" i="20"/>
  <c r="R48" i="20"/>
  <c r="R62" i="20"/>
  <c r="R51" i="20"/>
  <c r="R57" i="20"/>
  <c r="R54" i="20"/>
  <c r="R50" i="20"/>
  <c r="R46" i="20"/>
  <c r="R49" i="20"/>
  <c r="R43" i="20"/>
  <c r="R35" i="20"/>
  <c r="R31" i="20"/>
  <c r="R28" i="20"/>
  <c r="R56" i="20"/>
  <c r="R53" i="20"/>
  <c r="R38" i="20"/>
  <c r="R34" i="20"/>
  <c r="R30" i="20"/>
  <c r="R60" i="20"/>
  <c r="R44" i="20"/>
  <c r="R42" i="20"/>
  <c r="R37" i="20"/>
  <c r="R47" i="20"/>
  <c r="R26" i="20"/>
  <c r="R36" i="20"/>
  <c r="R33" i="20"/>
  <c r="R9" i="20"/>
  <c r="S2" i="20"/>
  <c r="R8" i="20"/>
  <c r="R32" i="20"/>
  <c r="R7" i="20"/>
  <c r="P3" i="20"/>
  <c r="P58" i="20"/>
  <c r="P39" i="20" s="1"/>
  <c r="Q64" i="20"/>
  <c r="Q59" i="20"/>
  <c r="Q78" i="20"/>
  <c r="R43" i="19"/>
  <c r="R24" i="19"/>
  <c r="P66" i="19"/>
  <c r="R29" i="19"/>
  <c r="R36" i="19"/>
  <c r="R5" i="19"/>
  <c r="R4" i="19" s="1"/>
  <c r="S65" i="19"/>
  <c r="S64" i="19"/>
  <c r="S60" i="19"/>
  <c r="S63" i="19"/>
  <c r="S55" i="19"/>
  <c r="S61" i="19"/>
  <c r="S57" i="19"/>
  <c r="S54" i="19"/>
  <c r="S58" i="19"/>
  <c r="S50" i="19"/>
  <c r="S47" i="19"/>
  <c r="S59" i="19"/>
  <c r="S52" i="19"/>
  <c r="S45" i="19"/>
  <c r="S38" i="19"/>
  <c r="S34" i="19"/>
  <c r="S53" i="19"/>
  <c r="S51" i="19"/>
  <c r="S44" i="19"/>
  <c r="S41" i="19"/>
  <c r="S49" i="19"/>
  <c r="S40" i="19"/>
  <c r="S39" i="19"/>
  <c r="S31" i="19"/>
  <c r="S28" i="19"/>
  <c r="S35" i="19"/>
  <c r="S30" i="19"/>
  <c r="S27" i="19"/>
  <c r="S22" i="19"/>
  <c r="S46" i="19"/>
  <c r="S19" i="19"/>
  <c r="S32" i="19"/>
  <c r="S21" i="19"/>
  <c r="S18" i="19"/>
  <c r="S26" i="19"/>
  <c r="S20" i="19"/>
  <c r="S17" i="19"/>
  <c r="S37" i="19"/>
  <c r="S33" i="19"/>
  <c r="T2" i="19"/>
  <c r="S8" i="19"/>
  <c r="S16" i="19"/>
  <c r="S14" i="19"/>
  <c r="S10" i="19"/>
  <c r="S7" i="19"/>
  <c r="S12" i="19"/>
  <c r="S9" i="19"/>
  <c r="S15" i="19"/>
  <c r="R13" i="19"/>
  <c r="R11" i="19" s="1"/>
  <c r="R48" i="19"/>
  <c r="R56" i="19"/>
  <c r="P42" i="18"/>
  <c r="P23" i="18" s="1"/>
  <c r="P3" i="18"/>
  <c r="Q5" i="18"/>
  <c r="Q4" i="18" s="1"/>
  <c r="Q29" i="18"/>
  <c r="Q48" i="18"/>
  <c r="R58" i="18"/>
  <c r="R64" i="18"/>
  <c r="R60" i="18"/>
  <c r="R63" i="18"/>
  <c r="R55" i="18"/>
  <c r="R61" i="18"/>
  <c r="R65" i="18"/>
  <c r="R59" i="18"/>
  <c r="R54" i="18"/>
  <c r="R53" i="18"/>
  <c r="R50" i="18"/>
  <c r="R45" i="18"/>
  <c r="R52" i="18"/>
  <c r="R44" i="18"/>
  <c r="R41" i="18"/>
  <c r="R49" i="18"/>
  <c r="R47" i="18"/>
  <c r="R40" i="18"/>
  <c r="R57" i="18"/>
  <c r="R51" i="18"/>
  <c r="R46" i="18"/>
  <c r="R38" i="18"/>
  <c r="R32" i="18"/>
  <c r="R20" i="18"/>
  <c r="R35" i="18"/>
  <c r="R31" i="18"/>
  <c r="R28" i="18"/>
  <c r="R19" i="18"/>
  <c r="R39" i="18"/>
  <c r="R37" i="18"/>
  <c r="R34" i="18"/>
  <c r="R30" i="18"/>
  <c r="R33" i="18"/>
  <c r="R22" i="18"/>
  <c r="R18" i="18"/>
  <c r="R14" i="18"/>
  <c r="R8" i="18"/>
  <c r="R27" i="18"/>
  <c r="R21" i="18"/>
  <c r="R7" i="18"/>
  <c r="R9" i="18"/>
  <c r="S2" i="18"/>
  <c r="R16" i="18"/>
  <c r="R10" i="18"/>
  <c r="R26" i="18"/>
  <c r="R17" i="18"/>
  <c r="R15" i="18"/>
  <c r="R12" i="18"/>
  <c r="Q24" i="18"/>
  <c r="Q36" i="18"/>
  <c r="Q56" i="18"/>
  <c r="Q62" i="18"/>
  <c r="Q13" i="18"/>
  <c r="Q11" i="18" s="1"/>
  <c r="Q43" i="18"/>
  <c r="O66" i="18"/>
  <c r="P56" i="16"/>
  <c r="P62" i="16"/>
  <c r="Q63" i="16"/>
  <c r="Q58" i="16"/>
  <c r="Q65" i="16"/>
  <c r="Q61" i="16"/>
  <c r="Q57" i="16"/>
  <c r="Q55" i="16"/>
  <c r="Q52" i="16"/>
  <c r="Q60" i="16"/>
  <c r="Q64" i="16"/>
  <c r="Q59" i="16"/>
  <c r="Q53" i="16"/>
  <c r="Q50" i="16"/>
  <c r="Q47" i="16"/>
  <c r="Q54" i="16"/>
  <c r="Q49" i="16"/>
  <c r="Q46" i="16"/>
  <c r="Q51" i="16"/>
  <c r="Q45" i="16"/>
  <c r="Q38" i="16"/>
  <c r="Q44" i="16"/>
  <c r="Q40" i="16"/>
  <c r="Q37" i="16"/>
  <c r="Q39" i="16"/>
  <c r="Q32" i="16"/>
  <c r="Q35" i="16"/>
  <c r="Q31" i="16"/>
  <c r="Q41" i="16"/>
  <c r="Q34" i="16"/>
  <c r="Q30" i="16"/>
  <c r="Q27" i="16"/>
  <c r="Q33" i="16"/>
  <c r="Q28" i="16"/>
  <c r="Q20" i="16"/>
  <c r="Q16" i="16"/>
  <c r="Q10" i="16"/>
  <c r="Q19" i="16"/>
  <c r="Q15" i="16"/>
  <c r="Q22" i="16"/>
  <c r="Q18" i="16"/>
  <c r="Q14" i="16"/>
  <c r="Q26" i="16"/>
  <c r="Q21" i="16"/>
  <c r="Q17" i="16"/>
  <c r="Q12" i="16"/>
  <c r="Q9" i="16"/>
  <c r="Q7" i="16"/>
  <c r="R2" i="16"/>
  <c r="Q8" i="16"/>
  <c r="P36" i="16"/>
  <c r="O3" i="16"/>
  <c r="P24" i="16"/>
  <c r="P5" i="15"/>
  <c r="P4" i="15" s="1"/>
  <c r="P24" i="15"/>
  <c r="P29" i="15"/>
  <c r="O3" i="15"/>
  <c r="Q63" i="15"/>
  <c r="Q58" i="15"/>
  <c r="Q57" i="15"/>
  <c r="Q55" i="15"/>
  <c r="Q52" i="15"/>
  <c r="Q51" i="15"/>
  <c r="Q64" i="15"/>
  <c r="Q59" i="15"/>
  <c r="Q61" i="15"/>
  <c r="Q54" i="15"/>
  <c r="Q65" i="15"/>
  <c r="Q49" i="15"/>
  <c r="Q46" i="15"/>
  <c r="Q39" i="15"/>
  <c r="Q35" i="15"/>
  <c r="Q53" i="15"/>
  <c r="Q50" i="15"/>
  <c r="Q45" i="15"/>
  <c r="Q38" i="15"/>
  <c r="Q34" i="15"/>
  <c r="Q44" i="15"/>
  <c r="Q41" i="15"/>
  <c r="Q37" i="15"/>
  <c r="Q33" i="15"/>
  <c r="Q47" i="15"/>
  <c r="Q30" i="15"/>
  <c r="Q27" i="15"/>
  <c r="Q22" i="15"/>
  <c r="Q60" i="15"/>
  <c r="Q32" i="15"/>
  <c r="Q26" i="15"/>
  <c r="Q21" i="15"/>
  <c r="Q17" i="15"/>
  <c r="Q20" i="15"/>
  <c r="Q16" i="15"/>
  <c r="Q10" i="15"/>
  <c r="Q28" i="15"/>
  <c r="Q40" i="15"/>
  <c r="Q31" i="15"/>
  <c r="Q19" i="15"/>
  <c r="Q9" i="15"/>
  <c r="Q18" i="15"/>
  <c r="Q15" i="15"/>
  <c r="Q12" i="15"/>
  <c r="Q7" i="15"/>
  <c r="Q14" i="15"/>
  <c r="R2" i="15"/>
  <c r="Q8" i="15"/>
  <c r="P13" i="15"/>
  <c r="P11" i="15" s="1"/>
  <c r="P36" i="15"/>
  <c r="P48" i="15"/>
  <c r="P56" i="15"/>
  <c r="P62" i="15"/>
  <c r="P48" i="14"/>
  <c r="P62" i="14"/>
  <c r="P29" i="14"/>
  <c r="P24" i="14"/>
  <c r="Q63" i="14"/>
  <c r="Q58" i="14"/>
  <c r="Q65" i="14"/>
  <c r="Q61" i="14"/>
  <c r="Q57" i="14"/>
  <c r="Q55" i="14"/>
  <c r="Q52" i="14"/>
  <c r="Q54" i="14"/>
  <c r="Q51" i="14"/>
  <c r="Q59" i="14"/>
  <c r="Q53" i="14"/>
  <c r="Q50" i="14"/>
  <c r="Q64" i="14"/>
  <c r="Q60" i="14"/>
  <c r="Q46" i="14"/>
  <c r="Q45" i="14"/>
  <c r="Q49" i="14"/>
  <c r="Q44" i="14"/>
  <c r="Q41" i="14"/>
  <c r="Q37" i="14"/>
  <c r="Q33" i="14"/>
  <c r="Q40" i="14"/>
  <c r="Q32" i="14"/>
  <c r="Q26" i="14"/>
  <c r="Q21" i="14"/>
  <c r="Q39" i="14"/>
  <c r="Q35" i="14"/>
  <c r="Q47" i="14"/>
  <c r="Q38" i="14"/>
  <c r="Q34" i="14"/>
  <c r="Q30" i="14"/>
  <c r="Q28" i="14"/>
  <c r="Q18" i="14"/>
  <c r="Q14" i="14"/>
  <c r="Q27" i="14"/>
  <c r="Q22" i="14"/>
  <c r="Q31" i="14"/>
  <c r="Q15" i="14"/>
  <c r="Q10" i="14"/>
  <c r="R2" i="14"/>
  <c r="Q19" i="14"/>
  <c r="Q12" i="14"/>
  <c r="Q9" i="14"/>
  <c r="Q7" i="14"/>
  <c r="Q20" i="14"/>
  <c r="Q17" i="14"/>
  <c r="Q8" i="14"/>
  <c r="Q16" i="14"/>
  <c r="P5" i="14"/>
  <c r="P4" i="14" s="1"/>
  <c r="P43" i="14"/>
  <c r="P24" i="13"/>
  <c r="P62" i="13"/>
  <c r="P5" i="13"/>
  <c r="P4" i="13" s="1"/>
  <c r="O3" i="13"/>
  <c r="Q63" i="13"/>
  <c r="Q59" i="13"/>
  <c r="Q58" i="13"/>
  <c r="Q65" i="13"/>
  <c r="Q60" i="13"/>
  <c r="Q57" i="13"/>
  <c r="Q55" i="13"/>
  <c r="Q51" i="13"/>
  <c r="Q64" i="13"/>
  <c r="Q53" i="13"/>
  <c r="Q54" i="13"/>
  <c r="Q44" i="13"/>
  <c r="Q41" i="13"/>
  <c r="Q47" i="13"/>
  <c r="Q40" i="13"/>
  <c r="Q50" i="13"/>
  <c r="Q46" i="13"/>
  <c r="Q61" i="13"/>
  <c r="Q52" i="13"/>
  <c r="Q49" i="13"/>
  <c r="Q37" i="13"/>
  <c r="Q33" i="13"/>
  <c r="Q39" i="13"/>
  <c r="Q35" i="13"/>
  <c r="Q31" i="13"/>
  <c r="Q28" i="13"/>
  <c r="Q19" i="13"/>
  <c r="Q15" i="13"/>
  <c r="Q32" i="13"/>
  <c r="Q30" i="13"/>
  <c r="Q27" i="13"/>
  <c r="Q22" i="13"/>
  <c r="Q18" i="13"/>
  <c r="Q45" i="13"/>
  <c r="Q38" i="13"/>
  <c r="Q34" i="13"/>
  <c r="Q26" i="13"/>
  <c r="Q21" i="13"/>
  <c r="Q17" i="13"/>
  <c r="Q20" i="13"/>
  <c r="Q16" i="13"/>
  <c r="Q8" i="13"/>
  <c r="Q7" i="13"/>
  <c r="Q10" i="13"/>
  <c r="Q14" i="13"/>
  <c r="Q12" i="13"/>
  <c r="Q9" i="13"/>
  <c r="P43" i="13"/>
  <c r="P48" i="13"/>
  <c r="P13" i="13"/>
  <c r="P11" i="13" s="1"/>
  <c r="P29" i="13"/>
  <c r="O42" i="13"/>
  <c r="O23" i="13" s="1"/>
  <c r="P36" i="13"/>
  <c r="P56" i="13"/>
  <c r="J347" i="2"/>
  <c r="K347" i="2" s="1"/>
  <c r="N347" i="2" s="1"/>
  <c r="J348" i="2"/>
  <c r="K348" i="2" s="1"/>
  <c r="N348" i="2" s="1"/>
  <c r="J185" i="2"/>
  <c r="K185" i="2" s="1"/>
  <c r="N185" i="2" s="1"/>
  <c r="J184" i="2"/>
  <c r="K184" i="2" s="1"/>
  <c r="N184" i="2" s="1"/>
  <c r="N354" i="2"/>
  <c r="J366" i="2"/>
  <c r="K366" i="2" s="1"/>
  <c r="N366" i="2" s="1"/>
  <c r="J368" i="2"/>
  <c r="K368" i="2" s="1"/>
  <c r="N368" i="2" s="1"/>
  <c r="J369" i="2"/>
  <c r="K369" i="2" s="1"/>
  <c r="N369" i="2" s="1"/>
  <c r="J365" i="2"/>
  <c r="K365" i="2" s="1"/>
  <c r="N365" i="2" s="1"/>
  <c r="J362" i="2"/>
  <c r="K362" i="2" s="1"/>
  <c r="N362" i="2" s="1"/>
  <c r="J363" i="2"/>
  <c r="K363" i="2" s="1"/>
  <c r="N363" i="2" s="1"/>
  <c r="J360" i="2"/>
  <c r="K360" i="2" s="1"/>
  <c r="N360" i="2" s="1"/>
  <c r="J361" i="2"/>
  <c r="K361" i="2" s="1"/>
  <c r="N361" i="2" s="1"/>
  <c r="J359" i="2"/>
  <c r="K359" i="2" s="1"/>
  <c r="N359" i="2" s="1"/>
  <c r="J346" i="2"/>
  <c r="K346" i="2" s="1"/>
  <c r="N346" i="2" s="1"/>
  <c r="J357" i="2"/>
  <c r="K357" i="2" s="1"/>
  <c r="N357" i="2" s="1"/>
  <c r="J358" i="2"/>
  <c r="K358" i="2" s="1"/>
  <c r="N358" i="2" s="1"/>
  <c r="J356" i="2"/>
  <c r="K356" i="2" s="1"/>
  <c r="N356" i="2" s="1"/>
  <c r="J353" i="2"/>
  <c r="K353" i="2" s="1"/>
  <c r="N353" i="2" s="1"/>
  <c r="J354" i="2"/>
  <c r="K354" i="2" s="1"/>
  <c r="J352" i="2"/>
  <c r="K352" i="2" s="1"/>
  <c r="N352" i="2" s="1"/>
  <c r="J350" i="2"/>
  <c r="K350" i="2" s="1"/>
  <c r="J349" i="2"/>
  <c r="K349" i="2" s="1"/>
  <c r="N349" i="2" s="1"/>
  <c r="J284" i="3"/>
  <c r="K284" i="3" s="1"/>
  <c r="J283" i="3"/>
  <c r="K283" i="3" s="1"/>
  <c r="J282" i="3"/>
  <c r="K282" i="3" s="1"/>
  <c r="J280" i="3"/>
  <c r="K280" i="3" s="1"/>
  <c r="J279" i="3"/>
  <c r="K279" i="3" s="1"/>
  <c r="J278" i="3"/>
  <c r="K278" i="3" s="1"/>
  <c r="J276" i="3"/>
  <c r="K276" i="3" s="1"/>
  <c r="J275" i="3"/>
  <c r="K275" i="3" s="1"/>
  <c r="J272" i="3"/>
  <c r="K272" i="3" s="1"/>
  <c r="J271" i="3"/>
  <c r="K271" i="3" s="1"/>
  <c r="J270" i="3"/>
  <c r="K270" i="3" s="1"/>
  <c r="J269" i="3"/>
  <c r="K269" i="3" s="1"/>
  <c r="J268" i="3"/>
  <c r="K268" i="3" s="1"/>
  <c r="J267" i="3"/>
  <c r="K267" i="3" s="1"/>
  <c r="J210" i="2"/>
  <c r="K210" i="2" s="1"/>
  <c r="J211" i="2"/>
  <c r="K211" i="2" s="1"/>
  <c r="J214" i="2"/>
  <c r="K214" i="2" s="1"/>
  <c r="J215" i="2"/>
  <c r="K215" i="2" s="1"/>
  <c r="J218" i="2"/>
  <c r="K218" i="2" s="1"/>
  <c r="J219" i="2"/>
  <c r="K219" i="2" s="1"/>
  <c r="J228" i="2"/>
  <c r="K228" i="2" s="1"/>
  <c r="J229" i="2"/>
  <c r="K229" i="2" s="1"/>
  <c r="J209" i="2"/>
  <c r="K209" i="2" s="1"/>
  <c r="J249" i="2"/>
  <c r="K249" i="2" s="1"/>
  <c r="J250" i="2"/>
  <c r="K250" i="2" s="1"/>
  <c r="J251" i="2"/>
  <c r="K251" i="2" s="1"/>
  <c r="J252" i="2"/>
  <c r="K252" i="2" s="1"/>
  <c r="J248" i="2"/>
  <c r="K248" i="2" s="1"/>
  <c r="J244" i="2"/>
  <c r="K244" i="2" s="1"/>
  <c r="J245" i="2"/>
  <c r="K245" i="2" s="1"/>
  <c r="J246" i="2"/>
  <c r="K246" i="2" s="1"/>
  <c r="K243" i="2"/>
  <c r="J364" i="2"/>
  <c r="K364" i="2" s="1"/>
  <c r="J325" i="2"/>
  <c r="K325" i="2" s="1"/>
  <c r="J324" i="2"/>
  <c r="K324" i="2" s="1"/>
  <c r="J322" i="2"/>
  <c r="J316" i="2"/>
  <c r="K316" i="2" s="1"/>
  <c r="J321" i="2"/>
  <c r="K321" i="2" s="1"/>
  <c r="J311" i="2"/>
  <c r="K311" i="2" s="1"/>
  <c r="J310" i="2"/>
  <c r="K310" i="2" s="1"/>
  <c r="J319" i="2"/>
  <c r="K319" i="2" s="1"/>
  <c r="J320" i="2"/>
  <c r="K320" i="2" s="1"/>
  <c r="J314" i="2"/>
  <c r="K314" i="2" s="1"/>
  <c r="J315" i="2"/>
  <c r="K315" i="2" s="1"/>
  <c r="J318" i="2"/>
  <c r="K318" i="2" s="1"/>
  <c r="J313" i="2"/>
  <c r="K313" i="2" s="1"/>
  <c r="J312" i="2"/>
  <c r="K312" i="2" s="1"/>
  <c r="J286" i="2"/>
  <c r="K286" i="2" s="1"/>
  <c r="J264" i="2"/>
  <c r="K264" i="2" s="1"/>
  <c r="J306" i="2"/>
  <c r="K306" i="2" s="1"/>
  <c r="J307" i="2"/>
  <c r="K307" i="2" s="1"/>
  <c r="J308" i="2"/>
  <c r="K308" i="2" s="1"/>
  <c r="J300" i="2"/>
  <c r="K300" i="2" s="1"/>
  <c r="N300" i="2" s="1"/>
  <c r="J305" i="2"/>
  <c r="K305" i="2" s="1"/>
  <c r="J304" i="2"/>
  <c r="K304" i="2" s="1"/>
  <c r="J299" i="2"/>
  <c r="K299" i="2" s="1"/>
  <c r="N299" i="2" s="1"/>
  <c r="J302" i="2"/>
  <c r="K302" i="2" s="1"/>
  <c r="N302" i="2" s="1"/>
  <c r="J298" i="2"/>
  <c r="K298" i="2" s="1"/>
  <c r="N298" i="2" s="1"/>
  <c r="J301" i="2"/>
  <c r="K301" i="2" s="1"/>
  <c r="N301" i="2" s="1"/>
  <c r="J297" i="2"/>
  <c r="K297" i="2" s="1"/>
  <c r="N297" i="2" s="1"/>
  <c r="J296" i="2"/>
  <c r="K296" i="2" s="1"/>
  <c r="N296" i="2" s="1"/>
  <c r="J255" i="2"/>
  <c r="K255" i="2" s="1"/>
  <c r="J290" i="2"/>
  <c r="K290" i="2" s="1"/>
  <c r="J291" i="2"/>
  <c r="K291" i="2" s="1"/>
  <c r="J292" i="2"/>
  <c r="K292" i="2" s="1"/>
  <c r="J293" i="2"/>
  <c r="K293" i="2" s="1"/>
  <c r="J289" i="2"/>
  <c r="K289" i="2" s="1"/>
  <c r="J253" i="2"/>
  <c r="K253" i="2" s="1"/>
  <c r="J247" i="2"/>
  <c r="K247" i="2" s="1"/>
  <c r="J284" i="2"/>
  <c r="K284" i="2" s="1"/>
  <c r="J285" i="2"/>
  <c r="K285" i="2" s="1"/>
  <c r="J241" i="2"/>
  <c r="K241" i="2" s="1"/>
  <c r="N241" i="2" s="1"/>
  <c r="J242" i="2"/>
  <c r="K242" i="2" s="1"/>
  <c r="N242" i="2" s="1"/>
  <c r="J280" i="2"/>
  <c r="K280" i="2" s="1"/>
  <c r="J281" i="2"/>
  <c r="K281" i="2" s="1"/>
  <c r="J282" i="2"/>
  <c r="K282" i="2" s="1"/>
  <c r="J240" i="2"/>
  <c r="K240" i="2" s="1"/>
  <c r="N240" i="2" s="1"/>
  <c r="J283" i="2"/>
  <c r="K283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K270" i="2"/>
  <c r="J269" i="2"/>
  <c r="K269" i="2" s="1"/>
  <c r="J268" i="2"/>
  <c r="K268" i="2" s="1"/>
  <c r="J267" i="2"/>
  <c r="K267" i="2" s="1"/>
  <c r="J266" i="2"/>
  <c r="K266" i="2" s="1"/>
  <c r="J265" i="2"/>
  <c r="K265" i="2" s="1"/>
  <c r="J254" i="2"/>
  <c r="K254" i="2" s="1"/>
  <c r="N254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56" i="2"/>
  <c r="K256" i="2" s="1"/>
  <c r="N256" i="2" s="1"/>
  <c r="J208" i="2"/>
  <c r="K208" i="2" s="1"/>
  <c r="J207" i="2"/>
  <c r="K207" i="2" s="1"/>
  <c r="J206" i="2"/>
  <c r="K206" i="2" s="1"/>
  <c r="J199" i="2"/>
  <c r="K199" i="2" s="1"/>
  <c r="J196" i="2"/>
  <c r="K196" i="2" s="1"/>
  <c r="J195" i="2"/>
  <c r="K195" i="2" s="1"/>
  <c r="J192" i="2"/>
  <c r="K192" i="2" s="1"/>
  <c r="J191" i="2"/>
  <c r="K191" i="2" s="1"/>
  <c r="J236" i="2"/>
  <c r="K236" i="2" s="1"/>
  <c r="J237" i="2"/>
  <c r="K237" i="2" s="1"/>
  <c r="J238" i="2"/>
  <c r="K238" i="2" s="1"/>
  <c r="J239" i="2"/>
  <c r="K239" i="2" s="1"/>
  <c r="J235" i="2"/>
  <c r="K235" i="2" s="1"/>
  <c r="J294" i="2"/>
  <c r="K294" i="2" s="1"/>
  <c r="J295" i="2"/>
  <c r="K295" i="2" s="1"/>
  <c r="J303" i="2"/>
  <c r="K303" i="2" s="1"/>
  <c r="J309" i="2"/>
  <c r="K309" i="2" s="1"/>
  <c r="J288" i="2"/>
  <c r="K288" i="2" s="1"/>
  <c r="S24" i="20" l="1"/>
  <c r="S20" i="20"/>
  <c r="S16" i="20"/>
  <c r="S13" i="20"/>
  <c r="S25" i="20"/>
  <c r="S21" i="20"/>
  <c r="S17" i="20"/>
  <c r="S23" i="20"/>
  <c r="S15" i="20"/>
  <c r="S11" i="20"/>
  <c r="S18" i="20"/>
  <c r="S10" i="20"/>
  <c r="S19" i="20"/>
  <c r="S22" i="20"/>
  <c r="S14" i="20"/>
  <c r="S12" i="20"/>
  <c r="O66" i="14"/>
  <c r="Q66" i="19"/>
  <c r="S36" i="19"/>
  <c r="P66" i="22"/>
  <c r="Q42" i="18"/>
  <c r="Q23" i="18" s="1"/>
  <c r="P42" i="16"/>
  <c r="P23" i="16" s="1"/>
  <c r="Q42" i="23"/>
  <c r="Q23" i="23" s="1"/>
  <c r="R36" i="21"/>
  <c r="O66" i="15"/>
  <c r="R62" i="21"/>
  <c r="R48" i="22"/>
  <c r="R36" i="24"/>
  <c r="R48" i="24"/>
  <c r="Q24" i="16"/>
  <c r="R78" i="20"/>
  <c r="Q48" i="13"/>
  <c r="P42" i="14"/>
  <c r="P23" i="14" s="1"/>
  <c r="R59" i="20"/>
  <c r="Q42" i="22"/>
  <c r="Q23" i="22" s="1"/>
  <c r="Q29" i="16"/>
  <c r="R36" i="18"/>
  <c r="P66" i="18"/>
  <c r="S48" i="19"/>
  <c r="R42" i="19"/>
  <c r="R23" i="19" s="1"/>
  <c r="P3" i="14"/>
  <c r="S5" i="19"/>
  <c r="S4" i="19" s="1"/>
  <c r="R5" i="20"/>
  <c r="R4" i="20" s="1"/>
  <c r="Q3" i="20"/>
  <c r="R5" i="18"/>
  <c r="R4" i="18" s="1"/>
  <c r="Q3" i="24"/>
  <c r="R13" i="24"/>
  <c r="R11" i="24" s="1"/>
  <c r="R24" i="24"/>
  <c r="R29" i="24"/>
  <c r="R48" i="23"/>
  <c r="R56" i="23"/>
  <c r="P66" i="24"/>
  <c r="Q42" i="24"/>
  <c r="Q23" i="24" s="1"/>
  <c r="R5" i="24"/>
  <c r="R4" i="24" s="1"/>
  <c r="R56" i="24"/>
  <c r="R43" i="24"/>
  <c r="R62" i="24"/>
  <c r="S65" i="24"/>
  <c r="S64" i="24"/>
  <c r="S60" i="24"/>
  <c r="S63" i="24"/>
  <c r="S59" i="24"/>
  <c r="S53" i="24"/>
  <c r="S51" i="24"/>
  <c r="S61" i="24"/>
  <c r="S54" i="24"/>
  <c r="S50" i="24"/>
  <c r="S45" i="24"/>
  <c r="S38" i="24"/>
  <c r="S57" i="24"/>
  <c r="S55" i="24"/>
  <c r="S49" i="24"/>
  <c r="S44" i="24"/>
  <c r="S41" i="24"/>
  <c r="S37" i="24"/>
  <c r="S58" i="24"/>
  <c r="S46" i="24"/>
  <c r="S40" i="24"/>
  <c r="S52" i="24"/>
  <c r="S35" i="24"/>
  <c r="S47" i="24"/>
  <c r="S39" i="24"/>
  <c r="S31" i="24"/>
  <c r="S28" i="24"/>
  <c r="S19" i="24"/>
  <c r="S15" i="24"/>
  <c r="S12" i="24"/>
  <c r="S33" i="24"/>
  <c r="S30" i="24"/>
  <c r="S27" i="24"/>
  <c r="S22" i="24"/>
  <c r="S18" i="24"/>
  <c r="S14" i="24"/>
  <c r="S26" i="24"/>
  <c r="S21" i="24"/>
  <c r="S34" i="24"/>
  <c r="S32" i="24"/>
  <c r="S20" i="24"/>
  <c r="S9" i="24"/>
  <c r="T2" i="24"/>
  <c r="S16" i="24"/>
  <c r="S8" i="24"/>
  <c r="S7" i="24"/>
  <c r="S17" i="24"/>
  <c r="S10" i="24"/>
  <c r="R43" i="23"/>
  <c r="R62" i="23"/>
  <c r="P66" i="23"/>
  <c r="S65" i="23"/>
  <c r="S64" i="23"/>
  <c r="S60" i="23"/>
  <c r="S63" i="23"/>
  <c r="S55" i="23"/>
  <c r="S52" i="23"/>
  <c r="S61" i="23"/>
  <c r="S57" i="23"/>
  <c r="S54" i="23"/>
  <c r="S51" i="23"/>
  <c r="S59" i="23"/>
  <c r="S53" i="23"/>
  <c r="S49" i="23"/>
  <c r="S47" i="23"/>
  <c r="S46" i="23"/>
  <c r="S58" i="23"/>
  <c r="S45" i="23"/>
  <c r="S38" i="23"/>
  <c r="S34" i="23"/>
  <c r="S30" i="23"/>
  <c r="S27" i="23"/>
  <c r="S44" i="23"/>
  <c r="S41" i="23"/>
  <c r="S37" i="23"/>
  <c r="S50" i="23"/>
  <c r="S40" i="23"/>
  <c r="S32" i="23"/>
  <c r="S35" i="23"/>
  <c r="S19" i="23"/>
  <c r="S39" i="23"/>
  <c r="S31" i="23"/>
  <c r="S22" i="23"/>
  <c r="S18" i="23"/>
  <c r="S14" i="23"/>
  <c r="S28" i="23"/>
  <c r="S21" i="23"/>
  <c r="S17" i="23"/>
  <c r="S12" i="23"/>
  <c r="S9" i="23"/>
  <c r="S16" i="23"/>
  <c r="S8" i="23"/>
  <c r="S26" i="23"/>
  <c r="S20" i="23"/>
  <c r="S33" i="23"/>
  <c r="S15" i="23"/>
  <c r="S10" i="23"/>
  <c r="T2" i="23"/>
  <c r="S7" i="23"/>
  <c r="R5" i="23"/>
  <c r="R4" i="23" s="1"/>
  <c r="R29" i="23"/>
  <c r="R13" i="23"/>
  <c r="R11" i="23" s="1"/>
  <c r="R24" i="23"/>
  <c r="R36" i="23"/>
  <c r="Q3" i="23"/>
  <c r="R24" i="22"/>
  <c r="T2" i="22"/>
  <c r="S65" i="22"/>
  <c r="S63" i="22"/>
  <c r="S61" i="22"/>
  <c r="S44" i="22"/>
  <c r="S47" i="22"/>
  <c r="S30" i="22"/>
  <c r="S39" i="22"/>
  <c r="S35" i="22"/>
  <c r="S17" i="22"/>
  <c r="S15" i="22"/>
  <c r="S18" i="22"/>
  <c r="S10" i="22"/>
  <c r="S64" i="22"/>
  <c r="S58" i="22"/>
  <c r="S57" i="22"/>
  <c r="S41" i="22"/>
  <c r="S40" i="22"/>
  <c r="S27" i="22"/>
  <c r="S37" i="22"/>
  <c r="S31" i="22"/>
  <c r="S20" i="22"/>
  <c r="S12" i="22"/>
  <c r="S8" i="22"/>
  <c r="S7" i="22"/>
  <c r="S49" i="22"/>
  <c r="S52" i="22"/>
  <c r="S51" i="22"/>
  <c r="S34" i="22"/>
  <c r="S32" i="22"/>
  <c r="S22" i="22"/>
  <c r="S60" i="22"/>
  <c r="S55" i="22"/>
  <c r="S54" i="22"/>
  <c r="S53" i="22"/>
  <c r="S46" i="22"/>
  <c r="S33" i="22"/>
  <c r="S28" i="22"/>
  <c r="S26" i="22"/>
  <c r="S38" i="22"/>
  <c r="S16" i="22"/>
  <c r="S9" i="22"/>
  <c r="S59" i="22"/>
  <c r="S50" i="22"/>
  <c r="S45" i="22"/>
  <c r="S21" i="22"/>
  <c r="S19" i="22"/>
  <c r="S14" i="22"/>
  <c r="R62" i="22"/>
  <c r="R56" i="22"/>
  <c r="R29" i="22"/>
  <c r="R43" i="22"/>
  <c r="R5" i="22"/>
  <c r="R4" i="22" s="1"/>
  <c r="R13" i="22"/>
  <c r="R11" i="22" s="1"/>
  <c r="R36" i="22"/>
  <c r="Q3" i="22"/>
  <c r="R13" i="21"/>
  <c r="R11" i="21" s="1"/>
  <c r="R24" i="21"/>
  <c r="Q3" i="21"/>
  <c r="R5" i="21"/>
  <c r="R4" i="21" s="1"/>
  <c r="R29" i="21"/>
  <c r="R48" i="21"/>
  <c r="R56" i="21"/>
  <c r="Q42" i="21"/>
  <c r="Q23" i="21" s="1"/>
  <c r="S65" i="21"/>
  <c r="S61" i="21"/>
  <c r="S64" i="21"/>
  <c r="S60" i="21"/>
  <c r="S63" i="21"/>
  <c r="S59" i="21"/>
  <c r="S57" i="21"/>
  <c r="S54" i="21"/>
  <c r="S51" i="21"/>
  <c r="S53" i="21"/>
  <c r="S50" i="21"/>
  <c r="S55" i="21"/>
  <c r="S52" i="21"/>
  <c r="S49" i="21"/>
  <c r="S46" i="21"/>
  <c r="S45" i="21"/>
  <c r="S38" i="21"/>
  <c r="S34" i="21"/>
  <c r="S44" i="21"/>
  <c r="S37" i="21"/>
  <c r="S26" i="21"/>
  <c r="S40" i="21"/>
  <c r="S32" i="21"/>
  <c r="S58" i="21"/>
  <c r="S47" i="21"/>
  <c r="S35" i="21"/>
  <c r="S31" i="21"/>
  <c r="S28" i="21"/>
  <c r="S19" i="21"/>
  <c r="S27" i="21"/>
  <c r="S21" i="21"/>
  <c r="S17" i="21"/>
  <c r="S41" i="21"/>
  <c r="S30" i="21"/>
  <c r="S39" i="21"/>
  <c r="S20" i="21"/>
  <c r="S33" i="21"/>
  <c r="S22" i="21"/>
  <c r="S18" i="21"/>
  <c r="S15" i="21"/>
  <c r="S10" i="21"/>
  <c r="S12" i="21"/>
  <c r="S9" i="21"/>
  <c r="T2" i="21"/>
  <c r="S16" i="21"/>
  <c r="S14" i="21"/>
  <c r="S8" i="21"/>
  <c r="S7" i="21"/>
  <c r="R43" i="21"/>
  <c r="R52" i="20"/>
  <c r="R64" i="20"/>
  <c r="R29" i="20"/>
  <c r="R27" i="20" s="1"/>
  <c r="R72" i="20"/>
  <c r="R40" i="20"/>
  <c r="Q58" i="20"/>
  <c r="Q39" i="20" s="1"/>
  <c r="P82" i="20"/>
  <c r="S81" i="20"/>
  <c r="S77" i="20"/>
  <c r="S80" i="20"/>
  <c r="S76" i="20"/>
  <c r="S79" i="20"/>
  <c r="S75" i="20"/>
  <c r="S73" i="20"/>
  <c r="S70" i="20"/>
  <c r="S67" i="20"/>
  <c r="S65" i="20"/>
  <c r="S74" i="20"/>
  <c r="S71" i="20"/>
  <c r="S68" i="20"/>
  <c r="S69" i="20"/>
  <c r="S60" i="20"/>
  <c r="S57" i="20"/>
  <c r="S62" i="20"/>
  <c r="S51" i="20"/>
  <c r="S47" i="20"/>
  <c r="S44" i="20"/>
  <c r="S54" i="20"/>
  <c r="S50" i="20"/>
  <c r="S61" i="20"/>
  <c r="S56" i="20"/>
  <c r="S53" i="20"/>
  <c r="S49" i="20"/>
  <c r="S55" i="20"/>
  <c r="S46" i="20"/>
  <c r="S38" i="20"/>
  <c r="S34" i="20"/>
  <c r="S30" i="20"/>
  <c r="S66" i="20"/>
  <c r="S48" i="20"/>
  <c r="S42" i="20"/>
  <c r="S37" i="20"/>
  <c r="S33" i="20"/>
  <c r="S63" i="20"/>
  <c r="S36" i="20"/>
  <c r="S31" i="20"/>
  <c r="S28" i="20"/>
  <c r="S43" i="20"/>
  <c r="S32" i="20"/>
  <c r="S8" i="20"/>
  <c r="S35" i="20"/>
  <c r="S26" i="20"/>
  <c r="S9" i="20"/>
  <c r="S7" i="20"/>
  <c r="T2" i="20"/>
  <c r="R45" i="20"/>
  <c r="S62" i="19"/>
  <c r="T64" i="19"/>
  <c r="T63" i="19"/>
  <c r="T59" i="19"/>
  <c r="T65" i="19"/>
  <c r="T61" i="19"/>
  <c r="T57" i="19"/>
  <c r="T54" i="19"/>
  <c r="T60" i="19"/>
  <c r="T53" i="19"/>
  <c r="T49" i="19"/>
  <c r="T51" i="19"/>
  <c r="T47" i="19"/>
  <c r="T44" i="19"/>
  <c r="T41" i="19"/>
  <c r="T37" i="19"/>
  <c r="T33" i="19"/>
  <c r="T55" i="19"/>
  <c r="T50" i="19"/>
  <c r="T40" i="19"/>
  <c r="T46" i="19"/>
  <c r="T39" i="19"/>
  <c r="T52" i="19"/>
  <c r="T35" i="19"/>
  <c r="T30" i="19"/>
  <c r="T27" i="19"/>
  <c r="T58" i="19"/>
  <c r="T38" i="19"/>
  <c r="T34" i="19"/>
  <c r="T26" i="19"/>
  <c r="T21" i="19"/>
  <c r="T45" i="19"/>
  <c r="T32" i="19"/>
  <c r="T22" i="19"/>
  <c r="T18" i="19"/>
  <c r="T28" i="19"/>
  <c r="T20" i="19"/>
  <c r="T17" i="19"/>
  <c r="T31" i="19"/>
  <c r="T16" i="19"/>
  <c r="T10" i="19"/>
  <c r="T19" i="19"/>
  <c r="T14" i="19"/>
  <c r="T8" i="19"/>
  <c r="T7" i="19"/>
  <c r="U2" i="19"/>
  <c r="T15" i="19"/>
  <c r="T12" i="19"/>
  <c r="T9" i="19"/>
  <c r="R3" i="19"/>
  <c r="S13" i="19"/>
  <c r="S11" i="19" s="1"/>
  <c r="S24" i="19"/>
  <c r="S29" i="19"/>
  <c r="S43" i="19"/>
  <c r="S56" i="19"/>
  <c r="R24" i="18"/>
  <c r="R56" i="18"/>
  <c r="S65" i="18"/>
  <c r="S61" i="18"/>
  <c r="S57" i="18"/>
  <c r="S63" i="18"/>
  <c r="S59" i="18"/>
  <c r="S58" i="18"/>
  <c r="S54" i="18"/>
  <c r="S64" i="18"/>
  <c r="S55" i="18"/>
  <c r="S53" i="18"/>
  <c r="S49" i="18"/>
  <c r="S52" i="18"/>
  <c r="S60" i="18"/>
  <c r="S50" i="18"/>
  <c r="S44" i="18"/>
  <c r="S41" i="18"/>
  <c r="S47" i="18"/>
  <c r="S40" i="18"/>
  <c r="S51" i="18"/>
  <c r="S46" i="18"/>
  <c r="S39" i="18"/>
  <c r="S45" i="18"/>
  <c r="S35" i="18"/>
  <c r="S31" i="18"/>
  <c r="S28" i="18"/>
  <c r="S19" i="18"/>
  <c r="S37" i="18"/>
  <c r="S34" i="18"/>
  <c r="S30" i="18"/>
  <c r="S27" i="18"/>
  <c r="S22" i="18"/>
  <c r="S18" i="18"/>
  <c r="S33" i="18"/>
  <c r="S38" i="18"/>
  <c r="S32" i="18"/>
  <c r="S21" i="18"/>
  <c r="S7" i="18"/>
  <c r="S16" i="18"/>
  <c r="S10" i="18"/>
  <c r="T2" i="18"/>
  <c r="S8" i="18"/>
  <c r="S26" i="18"/>
  <c r="S20" i="18"/>
  <c r="S17" i="18"/>
  <c r="S15" i="18"/>
  <c r="S12" i="18"/>
  <c r="S9" i="18"/>
  <c r="S14" i="18"/>
  <c r="R43" i="18"/>
  <c r="R13" i="18"/>
  <c r="R11" i="18" s="1"/>
  <c r="R29" i="18"/>
  <c r="R48" i="18"/>
  <c r="R62" i="18"/>
  <c r="Q3" i="18"/>
  <c r="Q43" i="16"/>
  <c r="P3" i="16"/>
  <c r="O66" i="16"/>
  <c r="R65" i="16"/>
  <c r="R61" i="16"/>
  <c r="R57" i="16"/>
  <c r="R64" i="16"/>
  <c r="R60" i="16"/>
  <c r="R54" i="16"/>
  <c r="R59" i="16"/>
  <c r="R63" i="16"/>
  <c r="R58" i="16"/>
  <c r="R49" i="16"/>
  <c r="R53" i="16"/>
  <c r="R51" i="16"/>
  <c r="R44" i="16"/>
  <c r="R41" i="16"/>
  <c r="R55" i="16"/>
  <c r="R52" i="16"/>
  <c r="R50" i="16"/>
  <c r="R47" i="16"/>
  <c r="R45" i="16"/>
  <c r="R39" i="16"/>
  <c r="R38" i="16"/>
  <c r="R35" i="16"/>
  <c r="R46" i="16"/>
  <c r="R34" i="16"/>
  <c r="R40" i="16"/>
  <c r="R37" i="16"/>
  <c r="R33" i="16"/>
  <c r="R32" i="16"/>
  <c r="R30" i="16"/>
  <c r="R27" i="16"/>
  <c r="R19" i="16"/>
  <c r="R15" i="16"/>
  <c r="R12" i="16"/>
  <c r="R22" i="16"/>
  <c r="R18" i="16"/>
  <c r="R31" i="16"/>
  <c r="R26" i="16"/>
  <c r="R21" i="16"/>
  <c r="R17" i="16"/>
  <c r="R28" i="16"/>
  <c r="R20" i="16"/>
  <c r="R14" i="16"/>
  <c r="R7" i="16"/>
  <c r="R16" i="16"/>
  <c r="R10" i="16"/>
  <c r="S2" i="16"/>
  <c r="R8" i="16"/>
  <c r="R9" i="16"/>
  <c r="Q48" i="16"/>
  <c r="Q13" i="16"/>
  <c r="Q11" i="16" s="1"/>
  <c r="Q5" i="16"/>
  <c r="Q4" i="16" s="1"/>
  <c r="Q36" i="16"/>
  <c r="Q56" i="16"/>
  <c r="Q62" i="16"/>
  <c r="P42" i="15"/>
  <c r="P23" i="15" s="1"/>
  <c r="Q36" i="15"/>
  <c r="Q48" i="15"/>
  <c r="Q56" i="15"/>
  <c r="R65" i="15"/>
  <c r="R61" i="15"/>
  <c r="R57" i="15"/>
  <c r="R54" i="15"/>
  <c r="R64" i="15"/>
  <c r="R59" i="15"/>
  <c r="R55" i="15"/>
  <c r="R52" i="15"/>
  <c r="R63" i="15"/>
  <c r="R60" i="15"/>
  <c r="R53" i="15"/>
  <c r="R50" i="15"/>
  <c r="R45" i="15"/>
  <c r="R38" i="15"/>
  <c r="R51" i="15"/>
  <c r="R44" i="15"/>
  <c r="R41" i="15"/>
  <c r="R37" i="15"/>
  <c r="R58" i="15"/>
  <c r="R47" i="15"/>
  <c r="R40" i="15"/>
  <c r="R32" i="15"/>
  <c r="R49" i="15"/>
  <c r="R46" i="15"/>
  <c r="R26" i="15"/>
  <c r="R34" i="15"/>
  <c r="R20" i="15"/>
  <c r="R31" i="15"/>
  <c r="R28" i="15"/>
  <c r="R19" i="15"/>
  <c r="R15" i="15"/>
  <c r="R12" i="15"/>
  <c r="R39" i="15"/>
  <c r="R35" i="15"/>
  <c r="R27" i="15"/>
  <c r="R30" i="15"/>
  <c r="R22" i="15"/>
  <c r="R33" i="15"/>
  <c r="R18" i="15"/>
  <c r="R16" i="15"/>
  <c r="R21" i="15"/>
  <c r="R17" i="15"/>
  <c r="R14" i="15"/>
  <c r="R9" i="15"/>
  <c r="S2" i="15"/>
  <c r="R8" i="15"/>
  <c r="R10" i="15"/>
  <c r="R7" i="15"/>
  <c r="Q24" i="15"/>
  <c r="Q13" i="15"/>
  <c r="Q11" i="15" s="1"/>
  <c r="Q29" i="15"/>
  <c r="Q5" i="15"/>
  <c r="Q4" i="15" s="1"/>
  <c r="Q43" i="15"/>
  <c r="Q62" i="15"/>
  <c r="P3" i="15"/>
  <c r="Q29" i="14"/>
  <c r="Q13" i="14"/>
  <c r="Q11" i="14" s="1"/>
  <c r="Q43" i="14"/>
  <c r="Q48" i="14"/>
  <c r="Q56" i="14"/>
  <c r="Q62" i="14"/>
  <c r="Q5" i="14"/>
  <c r="Q4" i="14" s="1"/>
  <c r="R65" i="14"/>
  <c r="R61" i="14"/>
  <c r="R57" i="14"/>
  <c r="R64" i="14"/>
  <c r="R60" i="14"/>
  <c r="R54" i="14"/>
  <c r="R63" i="14"/>
  <c r="R51" i="14"/>
  <c r="R59" i="14"/>
  <c r="R53" i="14"/>
  <c r="R58" i="14"/>
  <c r="R55" i="14"/>
  <c r="R52" i="14"/>
  <c r="R49" i="14"/>
  <c r="R47" i="14"/>
  <c r="R40" i="14"/>
  <c r="R32" i="14"/>
  <c r="R50" i="14"/>
  <c r="R45" i="14"/>
  <c r="R39" i="14"/>
  <c r="R35" i="14"/>
  <c r="R31" i="14"/>
  <c r="R38" i="14"/>
  <c r="R34" i="14"/>
  <c r="R46" i="14"/>
  <c r="R44" i="14"/>
  <c r="R41" i="14"/>
  <c r="R37" i="14"/>
  <c r="R33" i="14"/>
  <c r="R30" i="14"/>
  <c r="R27" i="14"/>
  <c r="R22" i="14"/>
  <c r="R17" i="14"/>
  <c r="R26" i="14"/>
  <c r="R21" i="14"/>
  <c r="R20" i="14"/>
  <c r="R28" i="14"/>
  <c r="R18" i="14"/>
  <c r="R14" i="14"/>
  <c r="R12" i="14"/>
  <c r="R9" i="14"/>
  <c r="S2" i="14"/>
  <c r="R8" i="14"/>
  <c r="R15" i="14"/>
  <c r="R10" i="14"/>
  <c r="R19" i="14"/>
  <c r="R16" i="14"/>
  <c r="R7" i="14"/>
  <c r="Q24" i="14"/>
  <c r="Q36" i="14"/>
  <c r="Q13" i="13"/>
  <c r="Q11" i="13" s="1"/>
  <c r="Q24" i="13"/>
  <c r="Q43" i="13"/>
  <c r="O66" i="13"/>
  <c r="Q5" i="13"/>
  <c r="Q4" i="13" s="1"/>
  <c r="P3" i="13"/>
  <c r="Q29" i="13"/>
  <c r="Q56" i="13"/>
  <c r="P42" i="13"/>
  <c r="P23" i="13" s="1"/>
  <c r="R65" i="13"/>
  <c r="R61" i="13"/>
  <c r="R57" i="13"/>
  <c r="R64" i="13"/>
  <c r="R59" i="13"/>
  <c r="R54" i="13"/>
  <c r="R63" i="13"/>
  <c r="R58" i="13"/>
  <c r="R53" i="13"/>
  <c r="R47" i="13"/>
  <c r="R50" i="13"/>
  <c r="R46" i="13"/>
  <c r="R39" i="13"/>
  <c r="R60" i="13"/>
  <c r="R55" i="13"/>
  <c r="R52" i="13"/>
  <c r="R49" i="13"/>
  <c r="R51" i="13"/>
  <c r="R40" i="13"/>
  <c r="R45" i="13"/>
  <c r="R41" i="13"/>
  <c r="R38" i="13"/>
  <c r="R34" i="13"/>
  <c r="R35" i="13"/>
  <c r="R32" i="13"/>
  <c r="R30" i="13"/>
  <c r="R27" i="13"/>
  <c r="R22" i="13"/>
  <c r="R18" i="13"/>
  <c r="R37" i="13"/>
  <c r="R26" i="13"/>
  <c r="R21" i="13"/>
  <c r="R33" i="13"/>
  <c r="R20" i="13"/>
  <c r="R16" i="13"/>
  <c r="R44" i="13"/>
  <c r="R31" i="13"/>
  <c r="R28" i="13"/>
  <c r="R19" i="13"/>
  <c r="R15" i="13"/>
  <c r="R17" i="13"/>
  <c r="R10" i="13"/>
  <c r="R14" i="13"/>
  <c r="R12" i="13"/>
  <c r="R9" i="13"/>
  <c r="R8" i="13"/>
  <c r="R7" i="13"/>
  <c r="Q36" i="13"/>
  <c r="Q62" i="13"/>
  <c r="N275" i="3"/>
  <c r="N267" i="3"/>
  <c r="N268" i="3"/>
  <c r="N279" i="3"/>
  <c r="N282" i="3"/>
  <c r="N269" i="3"/>
  <c r="N283" i="3"/>
  <c r="N284" i="3"/>
  <c r="N271" i="3"/>
  <c r="N276" i="3"/>
  <c r="N278" i="3"/>
  <c r="N280" i="3"/>
  <c r="N272" i="3"/>
  <c r="N309" i="2"/>
  <c r="N257" i="2"/>
  <c r="N285" i="2"/>
  <c r="N312" i="2"/>
  <c r="N208" i="2"/>
  <c r="N283" i="2"/>
  <c r="N305" i="2"/>
  <c r="N273" i="2"/>
  <c r="N247" i="2"/>
  <c r="N318" i="2"/>
  <c r="N294" i="2"/>
  <c r="N266" i="2"/>
  <c r="N253" i="2"/>
  <c r="N308" i="2"/>
  <c r="N235" i="2"/>
  <c r="N275" i="2"/>
  <c r="N239" i="2"/>
  <c r="N276" i="2"/>
  <c r="N269" i="2"/>
  <c r="N364" i="2"/>
  <c r="N236" i="2"/>
  <c r="N207" i="2"/>
  <c r="N271" i="2"/>
  <c r="N279" i="2"/>
  <c r="N290" i="2"/>
  <c r="N304" i="2"/>
  <c r="N303" i="2"/>
  <c r="N272" i="2"/>
  <c r="N284" i="2"/>
  <c r="N255" i="2"/>
  <c r="N313" i="2"/>
  <c r="N295" i="2"/>
  <c r="N191" i="2"/>
  <c r="N265" i="2"/>
  <c r="N192" i="2"/>
  <c r="N262" i="2"/>
  <c r="N274" i="2"/>
  <c r="N282" i="2"/>
  <c r="N315" i="2"/>
  <c r="N195" i="2"/>
  <c r="N261" i="2"/>
  <c r="N267" i="2"/>
  <c r="N281" i="2"/>
  <c r="N289" i="2"/>
  <c r="N307" i="2"/>
  <c r="N314" i="2"/>
  <c r="N196" i="2"/>
  <c r="N260" i="2"/>
  <c r="N268" i="2"/>
  <c r="N280" i="2"/>
  <c r="N293" i="2"/>
  <c r="N306" i="2"/>
  <c r="N320" i="2"/>
  <c r="N238" i="2"/>
  <c r="N199" i="2"/>
  <c r="N259" i="2"/>
  <c r="N277" i="2"/>
  <c r="N292" i="2"/>
  <c r="N264" i="2"/>
  <c r="N319" i="2"/>
  <c r="N288" i="2"/>
  <c r="N237" i="2"/>
  <c r="N206" i="2"/>
  <c r="N258" i="2"/>
  <c r="N270" i="2"/>
  <c r="N278" i="2"/>
  <c r="N291" i="2"/>
  <c r="N286" i="2"/>
  <c r="K322" i="2"/>
  <c r="N322" i="2" s="1"/>
  <c r="N310" i="2"/>
  <c r="N311" i="2"/>
  <c r="N321" i="2"/>
  <c r="N316" i="2"/>
  <c r="N324" i="2"/>
  <c r="N325" i="2"/>
  <c r="N244" i="2"/>
  <c r="N245" i="2"/>
  <c r="N246" i="2"/>
  <c r="N243" i="2"/>
  <c r="N248" i="2"/>
  <c r="N252" i="2"/>
  <c r="N251" i="2"/>
  <c r="N250" i="2"/>
  <c r="N249" i="2"/>
  <c r="N210" i="2"/>
  <c r="N219" i="2"/>
  <c r="N215" i="2"/>
  <c r="N229" i="2"/>
  <c r="N218" i="2"/>
  <c r="N214" i="2"/>
  <c r="N209" i="2"/>
  <c r="N228" i="2"/>
  <c r="N211" i="2"/>
  <c r="N270" i="3"/>
  <c r="K287" i="2"/>
  <c r="J266" i="3"/>
  <c r="K266" i="3" s="1"/>
  <c r="J265" i="3"/>
  <c r="K265" i="3" s="1"/>
  <c r="N263" i="3"/>
  <c r="N261" i="3"/>
  <c r="N262" i="3"/>
  <c r="N258" i="3"/>
  <c r="N257" i="3"/>
  <c r="N255" i="3"/>
  <c r="N256" i="3"/>
  <c r="N254" i="3"/>
  <c r="J253" i="3"/>
  <c r="K253" i="3" s="1"/>
  <c r="J190" i="2"/>
  <c r="K190" i="2" s="1"/>
  <c r="N190" i="2" s="1"/>
  <c r="I138" i="3"/>
  <c r="I141" i="3"/>
  <c r="J141" i="3" s="1"/>
  <c r="K141" i="3" s="1"/>
  <c r="T13" i="20" l="1"/>
  <c r="T18" i="20"/>
  <c r="T25" i="20"/>
  <c r="T21" i="20"/>
  <c r="T17" i="20"/>
  <c r="T22" i="20"/>
  <c r="T14" i="20"/>
  <c r="T10" i="20"/>
  <c r="T24" i="20"/>
  <c r="T16" i="20"/>
  <c r="T19" i="20"/>
  <c r="T23" i="20"/>
  <c r="T20" i="20"/>
  <c r="T15" i="20"/>
  <c r="T11" i="20"/>
  <c r="T12" i="20"/>
  <c r="Q66" i="18"/>
  <c r="S3" i="19"/>
  <c r="R3" i="20"/>
  <c r="Q82" i="20"/>
  <c r="R66" i="19"/>
  <c r="S43" i="23"/>
  <c r="R42" i="21"/>
  <c r="R23" i="21" s="1"/>
  <c r="S78" i="20"/>
  <c r="S62" i="21"/>
  <c r="R36" i="14"/>
  <c r="R62" i="15"/>
  <c r="S24" i="23"/>
  <c r="S24" i="24"/>
  <c r="S42" i="19"/>
  <c r="S23" i="19" s="1"/>
  <c r="R62" i="16"/>
  <c r="S24" i="22"/>
  <c r="Q66" i="23"/>
  <c r="P66" i="16"/>
  <c r="R58" i="20"/>
  <c r="R39" i="20" s="1"/>
  <c r="P66" i="14"/>
  <c r="S5" i="22"/>
  <c r="S4" i="22" s="1"/>
  <c r="S5" i="20"/>
  <c r="S4" i="20" s="1"/>
  <c r="S5" i="24"/>
  <c r="S4" i="24" s="1"/>
  <c r="R3" i="24"/>
  <c r="S13" i="22"/>
  <c r="S11" i="22" s="1"/>
  <c r="R3" i="22"/>
  <c r="R42" i="24"/>
  <c r="R23" i="24" s="1"/>
  <c r="Q66" i="24"/>
  <c r="S36" i="24"/>
  <c r="S5" i="23"/>
  <c r="S4" i="23" s="1"/>
  <c r="S36" i="23"/>
  <c r="S62" i="23"/>
  <c r="S56" i="24"/>
  <c r="S13" i="24"/>
  <c r="S11" i="24" s="1"/>
  <c r="S29" i="24"/>
  <c r="S43" i="24"/>
  <c r="S62" i="24"/>
  <c r="T64" i="24"/>
  <c r="T63" i="24"/>
  <c r="T59" i="24"/>
  <c r="T65" i="24"/>
  <c r="T61" i="24"/>
  <c r="T58" i="24"/>
  <c r="T54" i="24"/>
  <c r="T50" i="24"/>
  <c r="T57" i="24"/>
  <c r="T55" i="24"/>
  <c r="T49" i="24"/>
  <c r="T44" i="24"/>
  <c r="T41" i="24"/>
  <c r="T37" i="24"/>
  <c r="T47" i="24"/>
  <c r="T40" i="24"/>
  <c r="T60" i="24"/>
  <c r="T46" i="24"/>
  <c r="T38" i="24"/>
  <c r="T52" i="24"/>
  <c r="T35" i="24"/>
  <c r="T53" i="24"/>
  <c r="T45" i="24"/>
  <c r="T39" i="24"/>
  <c r="T34" i="24"/>
  <c r="T51" i="24"/>
  <c r="T33" i="24"/>
  <c r="T30" i="24"/>
  <c r="T27" i="24"/>
  <c r="T22" i="24"/>
  <c r="T18" i="24"/>
  <c r="T14" i="24"/>
  <c r="T26" i="24"/>
  <c r="T21" i="24"/>
  <c r="T17" i="24"/>
  <c r="T32" i="24"/>
  <c r="T20" i="24"/>
  <c r="T31" i="24"/>
  <c r="T28" i="24"/>
  <c r="T16" i="24"/>
  <c r="T8" i="24"/>
  <c r="T19" i="24"/>
  <c r="T12" i="24"/>
  <c r="T7" i="24"/>
  <c r="T10" i="24"/>
  <c r="T15" i="24"/>
  <c r="U2" i="24"/>
  <c r="T9" i="24"/>
  <c r="S48" i="24"/>
  <c r="S29" i="23"/>
  <c r="S56" i="23"/>
  <c r="R3" i="23"/>
  <c r="T64" i="23"/>
  <c r="T63" i="23"/>
  <c r="T59" i="23"/>
  <c r="T65" i="23"/>
  <c r="T61" i="23"/>
  <c r="T57" i="23"/>
  <c r="T54" i="23"/>
  <c r="T60" i="23"/>
  <c r="T53" i="23"/>
  <c r="T50" i="23"/>
  <c r="T58" i="23"/>
  <c r="T55" i="23"/>
  <c r="T52" i="23"/>
  <c r="T46" i="23"/>
  <c r="T45" i="23"/>
  <c r="T51" i="23"/>
  <c r="T44" i="23"/>
  <c r="T41" i="23"/>
  <c r="T37" i="23"/>
  <c r="T33" i="23"/>
  <c r="T26" i="23"/>
  <c r="T49" i="23"/>
  <c r="T40" i="23"/>
  <c r="T47" i="23"/>
  <c r="T39" i="23"/>
  <c r="T35" i="23"/>
  <c r="T31" i="23"/>
  <c r="T22" i="23"/>
  <c r="T34" i="23"/>
  <c r="T30" i="23"/>
  <c r="T28" i="23"/>
  <c r="T21" i="23"/>
  <c r="T17" i="23"/>
  <c r="T38" i="23"/>
  <c r="T27" i="23"/>
  <c r="T20" i="23"/>
  <c r="T16" i="23"/>
  <c r="T32" i="23"/>
  <c r="T18" i="23"/>
  <c r="T14" i="23"/>
  <c r="T8" i="23"/>
  <c r="T7" i="23"/>
  <c r="T15" i="23"/>
  <c r="T10" i="23"/>
  <c r="T19" i="23"/>
  <c r="T12" i="23"/>
  <c r="T9" i="23"/>
  <c r="U2" i="23"/>
  <c r="S13" i="23"/>
  <c r="S11" i="23" s="1"/>
  <c r="S48" i="23"/>
  <c r="R42" i="23"/>
  <c r="R23" i="23" s="1"/>
  <c r="S29" i="22"/>
  <c r="S62" i="22"/>
  <c r="S48" i="22"/>
  <c r="Q66" i="22"/>
  <c r="R42" i="22"/>
  <c r="R23" i="22" s="1"/>
  <c r="S43" i="22"/>
  <c r="T63" i="22"/>
  <c r="T61" i="22"/>
  <c r="T51" i="22"/>
  <c r="T40" i="22"/>
  <c r="T45" i="22"/>
  <c r="T26" i="22"/>
  <c r="T44" i="22"/>
  <c r="T28" i="22"/>
  <c r="T16" i="22"/>
  <c r="T22" i="22"/>
  <c r="U2" i="22"/>
  <c r="T17" i="22"/>
  <c r="T59" i="22"/>
  <c r="T57" i="22"/>
  <c r="T53" i="22"/>
  <c r="T49" i="22"/>
  <c r="T41" i="22"/>
  <c r="T55" i="22"/>
  <c r="T38" i="22"/>
  <c r="T30" i="22"/>
  <c r="T10" i="22"/>
  <c r="T18" i="22"/>
  <c r="T15" i="22"/>
  <c r="T9" i="22"/>
  <c r="T65" i="22"/>
  <c r="T54" i="22"/>
  <c r="T50" i="22"/>
  <c r="T46" i="22"/>
  <c r="T37" i="22"/>
  <c r="T32" i="22"/>
  <c r="T35" i="22"/>
  <c r="T27" i="22"/>
  <c r="T34" i="22"/>
  <c r="T14" i="22"/>
  <c r="T8" i="22"/>
  <c r="T12" i="22"/>
  <c r="T64" i="22"/>
  <c r="T58" i="22"/>
  <c r="T52" i="22"/>
  <c r="T47" i="22"/>
  <c r="T39" i="22"/>
  <c r="T33" i="22"/>
  <c r="T60" i="22"/>
  <c r="T31" i="22"/>
  <c r="T20" i="22"/>
  <c r="T19" i="22"/>
  <c r="T7" i="22"/>
  <c r="T21" i="22"/>
  <c r="S36" i="22"/>
  <c r="S56" i="22"/>
  <c r="S13" i="21"/>
  <c r="S11" i="21" s="1"/>
  <c r="S29" i="21"/>
  <c r="R3" i="21"/>
  <c r="S43" i="21"/>
  <c r="S56" i="21"/>
  <c r="S48" i="21"/>
  <c r="S24" i="21"/>
  <c r="S5" i="21"/>
  <c r="S4" i="21" s="1"/>
  <c r="T64" i="21"/>
  <c r="T60" i="21"/>
  <c r="T63" i="21"/>
  <c r="T59" i="21"/>
  <c r="T65" i="21"/>
  <c r="T53" i="21"/>
  <c r="T49" i="21"/>
  <c r="T61" i="21"/>
  <c r="T58" i="21"/>
  <c r="T57" i="21"/>
  <c r="T55" i="21"/>
  <c r="T52" i="21"/>
  <c r="T54" i="21"/>
  <c r="T45" i="21"/>
  <c r="T44" i="21"/>
  <c r="T41" i="21"/>
  <c r="T37" i="21"/>
  <c r="T33" i="21"/>
  <c r="T51" i="21"/>
  <c r="T40" i="21"/>
  <c r="T32" i="21"/>
  <c r="T47" i="21"/>
  <c r="T35" i="21"/>
  <c r="T31" i="21"/>
  <c r="T28" i="21"/>
  <c r="T39" i="21"/>
  <c r="T34" i="21"/>
  <c r="T30" i="21"/>
  <c r="T27" i="21"/>
  <c r="T22" i="21"/>
  <c r="T18" i="21"/>
  <c r="T46" i="21"/>
  <c r="T38" i="21"/>
  <c r="T26" i="21"/>
  <c r="T20" i="21"/>
  <c r="T16" i="21"/>
  <c r="T19" i="21"/>
  <c r="T50" i="21"/>
  <c r="T21" i="21"/>
  <c r="T17" i="21"/>
  <c r="T15" i="21"/>
  <c r="T10" i="21"/>
  <c r="T12" i="21"/>
  <c r="T9" i="21"/>
  <c r="T14" i="21"/>
  <c r="T8" i="21"/>
  <c r="U2" i="21"/>
  <c r="T7" i="21"/>
  <c r="S36" i="21"/>
  <c r="Q66" i="21"/>
  <c r="S40" i="20"/>
  <c r="S64" i="20"/>
  <c r="S52" i="20"/>
  <c r="T80" i="20"/>
  <c r="T76" i="20"/>
  <c r="T79" i="20"/>
  <c r="T75" i="20"/>
  <c r="T81" i="20"/>
  <c r="T69" i="20"/>
  <c r="T77" i="20"/>
  <c r="T74" i="20"/>
  <c r="T73" i="20"/>
  <c r="T71" i="20"/>
  <c r="T68" i="20"/>
  <c r="T70" i="20"/>
  <c r="T67" i="20"/>
  <c r="T66" i="20"/>
  <c r="T63" i="20"/>
  <c r="T56" i="20"/>
  <c r="T65" i="20"/>
  <c r="T54" i="20"/>
  <c r="T50" i="20"/>
  <c r="T46" i="20"/>
  <c r="T43" i="20"/>
  <c r="T61" i="20"/>
  <c r="T57" i="20"/>
  <c r="T53" i="20"/>
  <c r="T49" i="20"/>
  <c r="T60" i="20"/>
  <c r="T55" i="20"/>
  <c r="T48" i="20"/>
  <c r="T62" i="20"/>
  <c r="T42" i="20"/>
  <c r="T37" i="20"/>
  <c r="T33" i="20"/>
  <c r="T44" i="20"/>
  <c r="T36" i="20"/>
  <c r="T32" i="20"/>
  <c r="T51" i="20"/>
  <c r="T47" i="20"/>
  <c r="T35" i="20"/>
  <c r="T38" i="20"/>
  <c r="T34" i="20"/>
  <c r="T9" i="20"/>
  <c r="T26" i="20"/>
  <c r="T7" i="20"/>
  <c r="T31" i="20"/>
  <c r="T28" i="20"/>
  <c r="T30" i="20"/>
  <c r="T8" i="20"/>
  <c r="U2" i="20"/>
  <c r="S45" i="20"/>
  <c r="S29" i="20"/>
  <c r="S27" i="20" s="1"/>
  <c r="S59" i="20"/>
  <c r="S72" i="20"/>
  <c r="T13" i="19"/>
  <c r="T11" i="19" s="1"/>
  <c r="T48" i="19"/>
  <c r="T56" i="19"/>
  <c r="T62" i="19"/>
  <c r="U63" i="19"/>
  <c r="U58" i="19"/>
  <c r="U65" i="19"/>
  <c r="U64" i="19"/>
  <c r="U61" i="19"/>
  <c r="U60" i="19"/>
  <c r="U53" i="19"/>
  <c r="U59" i="19"/>
  <c r="U57" i="19"/>
  <c r="U55" i="19"/>
  <c r="U54" i="19"/>
  <c r="U50" i="19"/>
  <c r="U40" i="19"/>
  <c r="U32" i="19"/>
  <c r="U49" i="19"/>
  <c r="U46" i="19"/>
  <c r="U39" i="19"/>
  <c r="U52" i="19"/>
  <c r="U45" i="19"/>
  <c r="U38" i="19"/>
  <c r="U44" i="19"/>
  <c r="U34" i="19"/>
  <c r="U26" i="19"/>
  <c r="U33" i="19"/>
  <c r="U20" i="19"/>
  <c r="U41" i="19"/>
  <c r="U37" i="19"/>
  <c r="U51" i="19"/>
  <c r="U28" i="19"/>
  <c r="U21" i="19"/>
  <c r="U17" i="19"/>
  <c r="U35" i="19"/>
  <c r="U31" i="19"/>
  <c r="U27" i="19"/>
  <c r="U16" i="19"/>
  <c r="U47" i="19"/>
  <c r="U30" i="19"/>
  <c r="U19" i="19"/>
  <c r="U15" i="19"/>
  <c r="U12" i="19"/>
  <c r="U9" i="19"/>
  <c r="U22" i="19"/>
  <c r="U7" i="19"/>
  <c r="U10" i="19"/>
  <c r="V2" i="19"/>
  <c r="U8" i="19"/>
  <c r="U18" i="19"/>
  <c r="U14" i="19"/>
  <c r="T24" i="19"/>
  <c r="T43" i="19"/>
  <c r="T5" i="19"/>
  <c r="T4" i="19" s="1"/>
  <c r="T29" i="19"/>
  <c r="T36" i="19"/>
  <c r="S24" i="18"/>
  <c r="R3" i="18"/>
  <c r="R42" i="18"/>
  <c r="R23" i="18" s="1"/>
  <c r="S5" i="18"/>
  <c r="S4" i="18" s="1"/>
  <c r="S29" i="18"/>
  <c r="S13" i="18"/>
  <c r="S11" i="18" s="1"/>
  <c r="T64" i="18"/>
  <c r="T60" i="18"/>
  <c r="T55" i="18"/>
  <c r="T65" i="18"/>
  <c r="T61" i="18"/>
  <c r="T57" i="18"/>
  <c r="T59" i="18"/>
  <c r="T54" i="18"/>
  <c r="T58" i="18"/>
  <c r="T52" i="18"/>
  <c r="T51" i="18"/>
  <c r="T47" i="18"/>
  <c r="T40" i="18"/>
  <c r="T49" i="18"/>
  <c r="T46" i="18"/>
  <c r="T39" i="18"/>
  <c r="T63" i="18"/>
  <c r="T45" i="18"/>
  <c r="T38" i="18"/>
  <c r="T53" i="18"/>
  <c r="T50" i="18"/>
  <c r="T44" i="18"/>
  <c r="T41" i="18"/>
  <c r="T37" i="18"/>
  <c r="T34" i="18"/>
  <c r="T30" i="18"/>
  <c r="T27" i="18"/>
  <c r="T22" i="18"/>
  <c r="T18" i="18"/>
  <c r="T33" i="18"/>
  <c r="T26" i="18"/>
  <c r="T21" i="18"/>
  <c r="T17" i="18"/>
  <c r="T32" i="18"/>
  <c r="T35" i="18"/>
  <c r="T31" i="18"/>
  <c r="T28" i="18"/>
  <c r="T16" i="18"/>
  <c r="T10" i="18"/>
  <c r="T20" i="18"/>
  <c r="T15" i="18"/>
  <c r="T12" i="18"/>
  <c r="T9" i="18"/>
  <c r="U2" i="18"/>
  <c r="T7" i="18"/>
  <c r="T14" i="18"/>
  <c r="T8" i="18"/>
  <c r="T19" i="18"/>
  <c r="S62" i="18"/>
  <c r="S36" i="18"/>
  <c r="S43" i="18"/>
  <c r="S48" i="18"/>
  <c r="S56" i="18"/>
  <c r="R36" i="16"/>
  <c r="Q42" i="16"/>
  <c r="Q23" i="16" s="1"/>
  <c r="R5" i="16"/>
  <c r="R4" i="16" s="1"/>
  <c r="R56" i="16"/>
  <c r="Q3" i="16"/>
  <c r="S65" i="16"/>
  <c r="S61" i="16"/>
  <c r="S64" i="16"/>
  <c r="S60" i="16"/>
  <c r="S63" i="16"/>
  <c r="S59" i="16"/>
  <c r="S53" i="16"/>
  <c r="S58" i="16"/>
  <c r="S55" i="16"/>
  <c r="S52" i="16"/>
  <c r="S54" i="16"/>
  <c r="S51" i="16"/>
  <c r="S50" i="16"/>
  <c r="S47" i="16"/>
  <c r="S40" i="16"/>
  <c r="S57" i="16"/>
  <c r="S49" i="16"/>
  <c r="S46" i="16"/>
  <c r="S38" i="16"/>
  <c r="S35" i="16"/>
  <c r="S34" i="16"/>
  <c r="S41" i="16"/>
  <c r="S37" i="16"/>
  <c r="S33" i="16"/>
  <c r="S45" i="16"/>
  <c r="S44" i="16"/>
  <c r="S39" i="16"/>
  <c r="S32" i="16"/>
  <c r="S22" i="16"/>
  <c r="S18" i="16"/>
  <c r="S14" i="16"/>
  <c r="S31" i="16"/>
  <c r="S26" i="16"/>
  <c r="S21" i="16"/>
  <c r="S17" i="16"/>
  <c r="S28" i="16"/>
  <c r="S20" i="16"/>
  <c r="S16" i="16"/>
  <c r="S10" i="16"/>
  <c r="S30" i="16"/>
  <c r="S27" i="16"/>
  <c r="S19" i="16"/>
  <c r="T2" i="16"/>
  <c r="S8" i="16"/>
  <c r="S9" i="16"/>
  <c r="S15" i="16"/>
  <c r="S7" i="16"/>
  <c r="S12" i="16"/>
  <c r="R13" i="16"/>
  <c r="R11" i="16" s="1"/>
  <c r="R48" i="16"/>
  <c r="R24" i="16"/>
  <c r="R29" i="16"/>
  <c r="R43" i="16"/>
  <c r="P66" i="15"/>
  <c r="R48" i="15"/>
  <c r="Q42" i="15"/>
  <c r="Q23" i="15" s="1"/>
  <c r="S65" i="15"/>
  <c r="S61" i="15"/>
  <c r="S64" i="15"/>
  <c r="S60" i="15"/>
  <c r="S59" i="15"/>
  <c r="S53" i="15"/>
  <c r="S63" i="15"/>
  <c r="S54" i="15"/>
  <c r="S58" i="15"/>
  <c r="S51" i="15"/>
  <c r="S44" i="15"/>
  <c r="S41" i="15"/>
  <c r="S37" i="15"/>
  <c r="S52" i="15"/>
  <c r="S47" i="15"/>
  <c r="S40" i="15"/>
  <c r="S49" i="15"/>
  <c r="S46" i="15"/>
  <c r="S39" i="15"/>
  <c r="S35" i="15"/>
  <c r="S50" i="15"/>
  <c r="S38" i="15"/>
  <c r="S34" i="15"/>
  <c r="S32" i="15"/>
  <c r="S45" i="15"/>
  <c r="S31" i="15"/>
  <c r="S28" i="15"/>
  <c r="S19" i="15"/>
  <c r="S33" i="15"/>
  <c r="S30" i="15"/>
  <c r="S27" i="15"/>
  <c r="S22" i="15"/>
  <c r="S18" i="15"/>
  <c r="S14" i="15"/>
  <c r="S57" i="15"/>
  <c r="S55" i="15"/>
  <c r="S20" i="15"/>
  <c r="S26" i="15"/>
  <c r="S16" i="15"/>
  <c r="S21" i="15"/>
  <c r="S17" i="15"/>
  <c r="S10" i="15"/>
  <c r="S15" i="15"/>
  <c r="S12" i="15"/>
  <c r="S9" i="15"/>
  <c r="S8" i="15"/>
  <c r="S7" i="15"/>
  <c r="T2" i="15"/>
  <c r="R24" i="15"/>
  <c r="R5" i="15"/>
  <c r="R4" i="15" s="1"/>
  <c r="R29" i="15"/>
  <c r="R43" i="15"/>
  <c r="R13" i="15"/>
  <c r="R11" i="15" s="1"/>
  <c r="R56" i="15"/>
  <c r="Q3" i="15"/>
  <c r="R36" i="15"/>
  <c r="R5" i="14"/>
  <c r="R4" i="14" s="1"/>
  <c r="Q3" i="14"/>
  <c r="R13" i="14"/>
  <c r="R11" i="14" s="1"/>
  <c r="R62" i="14"/>
  <c r="R56" i="14"/>
  <c r="Q42" i="14"/>
  <c r="Q23" i="14" s="1"/>
  <c r="S65" i="14"/>
  <c r="S64" i="14"/>
  <c r="S60" i="14"/>
  <c r="S61" i="14"/>
  <c r="S63" i="14"/>
  <c r="S59" i="14"/>
  <c r="S53" i="14"/>
  <c r="S54" i="14"/>
  <c r="S50" i="14"/>
  <c r="S58" i="14"/>
  <c r="S57" i="14"/>
  <c r="S55" i="14"/>
  <c r="S52" i="14"/>
  <c r="S49" i="14"/>
  <c r="S51" i="14"/>
  <c r="S47" i="14"/>
  <c r="S46" i="14"/>
  <c r="S39" i="14"/>
  <c r="S35" i="14"/>
  <c r="S31" i="14"/>
  <c r="S38" i="14"/>
  <c r="S34" i="14"/>
  <c r="S30" i="14"/>
  <c r="S28" i="14"/>
  <c r="S44" i="14"/>
  <c r="S41" i="14"/>
  <c r="S37" i="14"/>
  <c r="S33" i="14"/>
  <c r="S32" i="14"/>
  <c r="S26" i="14"/>
  <c r="S21" i="14"/>
  <c r="S20" i="14"/>
  <c r="S16" i="14"/>
  <c r="S40" i="14"/>
  <c r="S19" i="14"/>
  <c r="S45" i="14"/>
  <c r="S27" i="14"/>
  <c r="S22" i="14"/>
  <c r="S8" i="14"/>
  <c r="S7" i="14"/>
  <c r="S17" i="14"/>
  <c r="S14" i="14"/>
  <c r="S12" i="14"/>
  <c r="S9" i="14"/>
  <c r="S15" i="14"/>
  <c r="S10" i="14"/>
  <c r="S18" i="14"/>
  <c r="T2" i="14"/>
  <c r="R24" i="14"/>
  <c r="R29" i="14"/>
  <c r="R43" i="14"/>
  <c r="R48" i="14"/>
  <c r="R43" i="13"/>
  <c r="Q3" i="13"/>
  <c r="R5" i="13"/>
  <c r="R4" i="13" s="1"/>
  <c r="R36" i="13"/>
  <c r="R24" i="13"/>
  <c r="R62" i="13"/>
  <c r="R56" i="13"/>
  <c r="R29" i="13"/>
  <c r="Q42" i="13"/>
  <c r="Q23" i="13" s="1"/>
  <c r="R13" i="13"/>
  <c r="R11" i="13" s="1"/>
  <c r="S65" i="13"/>
  <c r="S61" i="13"/>
  <c r="S64" i="13"/>
  <c r="S60" i="13"/>
  <c r="S63" i="13"/>
  <c r="S53" i="13"/>
  <c r="S55" i="13"/>
  <c r="S57" i="13"/>
  <c r="S50" i="13"/>
  <c r="S46" i="13"/>
  <c r="S52" i="13"/>
  <c r="S49" i="13"/>
  <c r="S45" i="13"/>
  <c r="S38" i="13"/>
  <c r="S58" i="13"/>
  <c r="S51" i="13"/>
  <c r="S59" i="13"/>
  <c r="S54" i="13"/>
  <c r="S47" i="13"/>
  <c r="S35" i="13"/>
  <c r="S41" i="13"/>
  <c r="S39" i="13"/>
  <c r="S44" i="13"/>
  <c r="S37" i="13"/>
  <c r="S33" i="13"/>
  <c r="S40" i="13"/>
  <c r="S26" i="13"/>
  <c r="S21" i="13"/>
  <c r="S17" i="13"/>
  <c r="S34" i="13"/>
  <c r="S20" i="13"/>
  <c r="S31" i="13"/>
  <c r="S28" i="13"/>
  <c r="S19" i="13"/>
  <c r="S15" i="13"/>
  <c r="S32" i="13"/>
  <c r="S30" i="13"/>
  <c r="S27" i="13"/>
  <c r="S22" i="13"/>
  <c r="S18" i="13"/>
  <c r="S10" i="13"/>
  <c r="S14" i="13"/>
  <c r="S12" i="13"/>
  <c r="S9" i="13"/>
  <c r="S16" i="13"/>
  <c r="S8" i="13"/>
  <c r="S7" i="13"/>
  <c r="R48" i="13"/>
  <c r="P66" i="13"/>
  <c r="N265" i="3"/>
  <c r="N266" i="3"/>
  <c r="N287" i="2"/>
  <c r="N259" i="3"/>
  <c r="N253" i="3"/>
  <c r="N260" i="3"/>
  <c r="J251" i="3"/>
  <c r="K251" i="3" s="1"/>
  <c r="J249" i="3"/>
  <c r="K249" i="3" s="1"/>
  <c r="N248" i="3"/>
  <c r="J248" i="3"/>
  <c r="J247" i="3"/>
  <c r="N247" i="3"/>
  <c r="E53" i="1"/>
  <c r="E41" i="1"/>
  <c r="E40" i="1"/>
  <c r="E39" i="1"/>
  <c r="E38" i="1"/>
  <c r="E37" i="1"/>
  <c r="E31" i="1"/>
  <c r="E35" i="1"/>
  <c r="E34" i="1"/>
  <c r="E33" i="1"/>
  <c r="E32" i="1"/>
  <c r="E30" i="1"/>
  <c r="E27" i="1"/>
  <c r="E28" i="1"/>
  <c r="E26" i="1"/>
  <c r="D29" i="1"/>
  <c r="D24" i="1"/>
  <c r="D4" i="1"/>
  <c r="D13" i="1"/>
  <c r="J238" i="3"/>
  <c r="K238" i="3" s="1"/>
  <c r="J246" i="3"/>
  <c r="K246" i="3" s="1"/>
  <c r="N237" i="3"/>
  <c r="J236" i="3"/>
  <c r="K236" i="3" s="1"/>
  <c r="J235" i="3"/>
  <c r="K235" i="3" s="1"/>
  <c r="J233" i="3"/>
  <c r="N233" i="3"/>
  <c r="J232" i="3"/>
  <c r="N232" i="3" s="1"/>
  <c r="U25" i="20" l="1"/>
  <c r="U21" i="20"/>
  <c r="U17" i="20"/>
  <c r="U10" i="20"/>
  <c r="U22" i="20"/>
  <c r="U18" i="20"/>
  <c r="U14" i="20"/>
  <c r="U24" i="20"/>
  <c r="U16" i="20"/>
  <c r="U19" i="20"/>
  <c r="U20" i="20"/>
  <c r="U23" i="20"/>
  <c r="U12" i="20"/>
  <c r="U15" i="20"/>
  <c r="U13" i="20"/>
  <c r="U11" i="20"/>
  <c r="S66" i="19"/>
  <c r="R82" i="20"/>
  <c r="T62" i="18"/>
  <c r="T42" i="19"/>
  <c r="T23" i="19" s="1"/>
  <c r="R66" i="24"/>
  <c r="S62" i="14"/>
  <c r="S62" i="13"/>
  <c r="S56" i="15"/>
  <c r="T43" i="18"/>
  <c r="U56" i="19"/>
  <c r="T48" i="23"/>
  <c r="R42" i="13"/>
  <c r="R23" i="13" s="1"/>
  <c r="R42" i="16"/>
  <c r="R23" i="16" s="1"/>
  <c r="S62" i="16"/>
  <c r="U36" i="19"/>
  <c r="S58" i="20"/>
  <c r="S39" i="20" s="1"/>
  <c r="T56" i="21"/>
  <c r="R66" i="21"/>
  <c r="S48" i="16"/>
  <c r="T64" i="20"/>
  <c r="T72" i="20"/>
  <c r="S29" i="16"/>
  <c r="S56" i="16"/>
  <c r="S62" i="15"/>
  <c r="U29" i="19"/>
  <c r="T48" i="22"/>
  <c r="R66" i="22"/>
  <c r="S3" i="23"/>
  <c r="S3" i="24"/>
  <c r="Q66" i="14"/>
  <c r="T13" i="21"/>
  <c r="T11" i="21" s="1"/>
  <c r="S5" i="16"/>
  <c r="S4" i="16" s="1"/>
  <c r="T29" i="20"/>
  <c r="T27" i="20" s="1"/>
  <c r="T5" i="22"/>
  <c r="T4" i="22" s="1"/>
  <c r="T5" i="24"/>
  <c r="T4" i="24" s="1"/>
  <c r="S5" i="14"/>
  <c r="S4" i="14" s="1"/>
  <c r="S5" i="15"/>
  <c r="S4" i="15" s="1"/>
  <c r="S42" i="23"/>
  <c r="S23" i="23" s="1"/>
  <c r="U63" i="24"/>
  <c r="U58" i="24"/>
  <c r="U65" i="24"/>
  <c r="U60" i="24"/>
  <c r="U55" i="24"/>
  <c r="U52" i="24"/>
  <c r="U53" i="24"/>
  <c r="U49" i="24"/>
  <c r="U64" i="24"/>
  <c r="U61" i="24"/>
  <c r="U57" i="24"/>
  <c r="U47" i="24"/>
  <c r="U40" i="24"/>
  <c r="U46" i="24"/>
  <c r="U39" i="24"/>
  <c r="U35" i="24"/>
  <c r="U59" i="24"/>
  <c r="U54" i="24"/>
  <c r="U41" i="24"/>
  <c r="U37" i="24"/>
  <c r="U45" i="24"/>
  <c r="U34" i="24"/>
  <c r="U51" i="24"/>
  <c r="U44" i="24"/>
  <c r="U33" i="24"/>
  <c r="U50" i="24"/>
  <c r="U38" i="24"/>
  <c r="U26" i="24"/>
  <c r="U21" i="24"/>
  <c r="U17" i="24"/>
  <c r="U32" i="24"/>
  <c r="U20" i="24"/>
  <c r="U16" i="24"/>
  <c r="U31" i="24"/>
  <c r="U28" i="24"/>
  <c r="U19" i="24"/>
  <c r="U30" i="24"/>
  <c r="U27" i="24"/>
  <c r="U12" i="24"/>
  <c r="U7" i="24"/>
  <c r="V2" i="24"/>
  <c r="U15" i="24"/>
  <c r="U10" i="24"/>
  <c r="U22" i="24"/>
  <c r="U18" i="24"/>
  <c r="U14" i="24"/>
  <c r="U9" i="24"/>
  <c r="U8" i="24"/>
  <c r="T48" i="24"/>
  <c r="T36" i="24"/>
  <c r="T62" i="24"/>
  <c r="S42" i="24"/>
  <c r="S23" i="24" s="1"/>
  <c r="T24" i="24"/>
  <c r="T56" i="24"/>
  <c r="T13" i="24"/>
  <c r="T11" i="24" s="1"/>
  <c r="T29" i="24"/>
  <c r="T43" i="24"/>
  <c r="T36" i="23"/>
  <c r="T5" i="23"/>
  <c r="T4" i="23" s="1"/>
  <c r="T29" i="23"/>
  <c r="T56" i="23"/>
  <c r="T62" i="23"/>
  <c r="T24" i="23"/>
  <c r="T43" i="23"/>
  <c r="U63" i="23"/>
  <c r="U58" i="23"/>
  <c r="U65" i="23"/>
  <c r="U60" i="23"/>
  <c r="U53" i="23"/>
  <c r="U64" i="23"/>
  <c r="U59" i="23"/>
  <c r="U49" i="23"/>
  <c r="U55" i="23"/>
  <c r="U52" i="23"/>
  <c r="U45" i="23"/>
  <c r="U61" i="23"/>
  <c r="U57" i="23"/>
  <c r="U54" i="23"/>
  <c r="U51" i="23"/>
  <c r="U44" i="23"/>
  <c r="U50" i="23"/>
  <c r="U47" i="23"/>
  <c r="U40" i="23"/>
  <c r="U32" i="23"/>
  <c r="U39" i="23"/>
  <c r="U35" i="23"/>
  <c r="U38" i="23"/>
  <c r="U34" i="23"/>
  <c r="U30" i="23"/>
  <c r="U31" i="23"/>
  <c r="U28" i="23"/>
  <c r="U21" i="23"/>
  <c r="U46" i="23"/>
  <c r="U27" i="23"/>
  <c r="U20" i="23"/>
  <c r="U16" i="23"/>
  <c r="U33" i="23"/>
  <c r="U26" i="23"/>
  <c r="U19" i="23"/>
  <c r="U15" i="23"/>
  <c r="U41" i="23"/>
  <c r="U22" i="23"/>
  <c r="U17" i="23"/>
  <c r="U7" i="23"/>
  <c r="U37" i="23"/>
  <c r="U10" i="23"/>
  <c r="U12" i="23"/>
  <c r="U9" i="23"/>
  <c r="U18" i="23"/>
  <c r="U14" i="23"/>
  <c r="U8" i="23"/>
  <c r="V2" i="23"/>
  <c r="T13" i="23"/>
  <c r="T11" i="23" s="1"/>
  <c r="R66" i="23"/>
  <c r="T36" i="22"/>
  <c r="T62" i="22"/>
  <c r="S42" i="22"/>
  <c r="S23" i="22" s="1"/>
  <c r="U63" i="22"/>
  <c r="U55" i="22"/>
  <c r="U53" i="22"/>
  <c r="U49" i="22"/>
  <c r="U45" i="22"/>
  <c r="U44" i="22"/>
  <c r="U30" i="22"/>
  <c r="U12" i="22"/>
  <c r="U18" i="22"/>
  <c r="U17" i="22"/>
  <c r="U14" i="22"/>
  <c r="V2" i="22"/>
  <c r="U58" i="22"/>
  <c r="U61" i="22"/>
  <c r="U54" i="22"/>
  <c r="U46" i="22"/>
  <c r="U38" i="22"/>
  <c r="U35" i="22"/>
  <c r="U27" i="22"/>
  <c r="U9" i="22"/>
  <c r="U51" i="22"/>
  <c r="U41" i="22"/>
  <c r="U10" i="22"/>
  <c r="U16" i="22"/>
  <c r="U60" i="22"/>
  <c r="U59" i="22"/>
  <c r="U34" i="22"/>
  <c r="U22" i="22"/>
  <c r="U28" i="22"/>
  <c r="U8" i="22"/>
  <c r="U65" i="22"/>
  <c r="U57" i="22"/>
  <c r="U50" i="22"/>
  <c r="U39" i="22"/>
  <c r="U40" i="22"/>
  <c r="U52" i="22"/>
  <c r="U19" i="22"/>
  <c r="U26" i="22"/>
  <c r="U33" i="22"/>
  <c r="U37" i="22"/>
  <c r="U7" i="22"/>
  <c r="U20" i="22"/>
  <c r="U64" i="22"/>
  <c r="U47" i="22"/>
  <c r="U32" i="22"/>
  <c r="U15" i="22"/>
  <c r="U21" i="22"/>
  <c r="U31" i="22"/>
  <c r="T43" i="22"/>
  <c r="S3" i="22"/>
  <c r="T29" i="22"/>
  <c r="T13" i="22"/>
  <c r="T11" i="22" s="1"/>
  <c r="T56" i="22"/>
  <c r="T24" i="22"/>
  <c r="S3" i="21"/>
  <c r="S42" i="21"/>
  <c r="S23" i="21" s="1"/>
  <c r="T36" i="21"/>
  <c r="T29" i="21"/>
  <c r="T5" i="21"/>
  <c r="T4" i="21" s="1"/>
  <c r="U63" i="21"/>
  <c r="U59" i="21"/>
  <c r="U58" i="21"/>
  <c r="U65" i="21"/>
  <c r="U61" i="21"/>
  <c r="U64" i="21"/>
  <c r="U60" i="21"/>
  <c r="U57" i="21"/>
  <c r="U55" i="21"/>
  <c r="U54" i="21"/>
  <c r="U44" i="21"/>
  <c r="U41" i="21"/>
  <c r="U51" i="21"/>
  <c r="U47" i="21"/>
  <c r="U40" i="21"/>
  <c r="U52" i="21"/>
  <c r="U35" i="21"/>
  <c r="U31" i="21"/>
  <c r="U28" i="21"/>
  <c r="U53" i="21"/>
  <c r="U39" i="21"/>
  <c r="U34" i="21"/>
  <c r="U30" i="21"/>
  <c r="U27" i="21"/>
  <c r="U50" i="21"/>
  <c r="U46" i="21"/>
  <c r="U38" i="21"/>
  <c r="U33" i="21"/>
  <c r="U26" i="21"/>
  <c r="U21" i="21"/>
  <c r="U17" i="21"/>
  <c r="U37" i="21"/>
  <c r="U20" i="21"/>
  <c r="U16" i="21"/>
  <c r="U19" i="21"/>
  <c r="U15" i="21"/>
  <c r="U45" i="21"/>
  <c r="U22" i="21"/>
  <c r="U18" i="21"/>
  <c r="U49" i="21"/>
  <c r="U32" i="21"/>
  <c r="U12" i="21"/>
  <c r="U9" i="21"/>
  <c r="U14" i="21"/>
  <c r="U8" i="21"/>
  <c r="U7" i="21"/>
  <c r="U10" i="21"/>
  <c r="V2" i="21"/>
  <c r="T43" i="21"/>
  <c r="T48" i="21"/>
  <c r="T62" i="21"/>
  <c r="T24" i="21"/>
  <c r="T5" i="20"/>
  <c r="T4" i="20" s="1"/>
  <c r="T78" i="20"/>
  <c r="S3" i="20"/>
  <c r="T40" i="20"/>
  <c r="T59" i="20"/>
  <c r="U79" i="20"/>
  <c r="U75" i="20"/>
  <c r="U74" i="20"/>
  <c r="U81" i="20"/>
  <c r="U77" i="20"/>
  <c r="U80" i="20"/>
  <c r="U70" i="20"/>
  <c r="U67" i="20"/>
  <c r="U69" i="20"/>
  <c r="U66" i="20"/>
  <c r="U63" i="20"/>
  <c r="U65" i="20"/>
  <c r="U62" i="20"/>
  <c r="U55" i="20"/>
  <c r="U68" i="20"/>
  <c r="U61" i="20"/>
  <c r="U57" i="20"/>
  <c r="U53" i="20"/>
  <c r="U49" i="20"/>
  <c r="U60" i="20"/>
  <c r="U56" i="20"/>
  <c r="U48" i="20"/>
  <c r="U73" i="20"/>
  <c r="U71" i="20"/>
  <c r="U51" i="20"/>
  <c r="U47" i="20"/>
  <c r="U44" i="20"/>
  <c r="U54" i="20"/>
  <c r="U36" i="20"/>
  <c r="U32" i="20"/>
  <c r="U26" i="20"/>
  <c r="U35" i="20"/>
  <c r="U31" i="20"/>
  <c r="U28" i="20"/>
  <c r="U76" i="20"/>
  <c r="U43" i="20"/>
  <c r="U38" i="20"/>
  <c r="U34" i="20"/>
  <c r="U30" i="20"/>
  <c r="U8" i="20"/>
  <c r="U46" i="20"/>
  <c r="U42" i="20"/>
  <c r="U37" i="20"/>
  <c r="U33" i="20"/>
  <c r="U50" i="20"/>
  <c r="U9" i="20"/>
  <c r="V2" i="20"/>
  <c r="U7" i="20"/>
  <c r="T52" i="20"/>
  <c r="T45" i="20"/>
  <c r="T3" i="19"/>
  <c r="V65" i="19"/>
  <c r="V61" i="19"/>
  <c r="V57" i="19"/>
  <c r="V63" i="19"/>
  <c r="V59" i="19"/>
  <c r="V58" i="19"/>
  <c r="V55" i="19"/>
  <c r="V52" i="19"/>
  <c r="V60" i="19"/>
  <c r="V51" i="19"/>
  <c r="V64" i="19"/>
  <c r="V53" i="19"/>
  <c r="V49" i="19"/>
  <c r="V46" i="19"/>
  <c r="V39" i="19"/>
  <c r="V35" i="19"/>
  <c r="V45" i="19"/>
  <c r="V47" i="19"/>
  <c r="V44" i="19"/>
  <c r="V41" i="19"/>
  <c r="V38" i="19"/>
  <c r="V33" i="19"/>
  <c r="V50" i="19"/>
  <c r="V37" i="19"/>
  <c r="V32" i="19"/>
  <c r="V31" i="19"/>
  <c r="V28" i="19"/>
  <c r="V19" i="19"/>
  <c r="V54" i="19"/>
  <c r="V40" i="19"/>
  <c r="V27" i="19"/>
  <c r="V20" i="19"/>
  <c r="V34" i="19"/>
  <c r="V30" i="19"/>
  <c r="V26" i="19"/>
  <c r="V22" i="19"/>
  <c r="V18" i="19"/>
  <c r="V14" i="19"/>
  <c r="V21" i="19"/>
  <c r="V16" i="19"/>
  <c r="V10" i="19"/>
  <c r="W2" i="19"/>
  <c r="V15" i="19"/>
  <c r="V12" i="19"/>
  <c r="V9" i="19"/>
  <c r="V8" i="19"/>
  <c r="V17" i="19"/>
  <c r="V7" i="19"/>
  <c r="U43" i="19"/>
  <c r="U62" i="19"/>
  <c r="U13" i="19"/>
  <c r="U11" i="19" s="1"/>
  <c r="U5" i="19"/>
  <c r="U4" i="19" s="1"/>
  <c r="U24" i="19"/>
  <c r="U48" i="19"/>
  <c r="T36" i="18"/>
  <c r="S42" i="18"/>
  <c r="S23" i="18" s="1"/>
  <c r="S3" i="18"/>
  <c r="T5" i="18"/>
  <c r="T4" i="18" s="1"/>
  <c r="U63" i="18"/>
  <c r="U59" i="18"/>
  <c r="U58" i="18"/>
  <c r="U54" i="18"/>
  <c r="U65" i="18"/>
  <c r="U61" i="18"/>
  <c r="U64" i="18"/>
  <c r="U60" i="18"/>
  <c r="U52" i="18"/>
  <c r="U51" i="18"/>
  <c r="U57" i="18"/>
  <c r="U53" i="18"/>
  <c r="U50" i="18"/>
  <c r="U49" i="18"/>
  <c r="U46" i="18"/>
  <c r="U39" i="18"/>
  <c r="U45" i="18"/>
  <c r="U38" i="18"/>
  <c r="U44" i="18"/>
  <c r="U41" i="18"/>
  <c r="U37" i="18"/>
  <c r="U55" i="18"/>
  <c r="U47" i="18"/>
  <c r="U33" i="18"/>
  <c r="U26" i="18"/>
  <c r="U21" i="18"/>
  <c r="U40" i="18"/>
  <c r="U32" i="18"/>
  <c r="U20" i="18"/>
  <c r="U35" i="18"/>
  <c r="U31" i="18"/>
  <c r="U28" i="18"/>
  <c r="U34" i="18"/>
  <c r="U30" i="18"/>
  <c r="U27" i="18"/>
  <c r="U15" i="18"/>
  <c r="U12" i="18"/>
  <c r="U9" i="18"/>
  <c r="U17" i="18"/>
  <c r="U14" i="18"/>
  <c r="U8" i="18"/>
  <c r="V2" i="18"/>
  <c r="U19" i="18"/>
  <c r="U7" i="18"/>
  <c r="U22" i="18"/>
  <c r="U18" i="18"/>
  <c r="U16" i="18"/>
  <c r="U10" i="18"/>
  <c r="R66" i="18"/>
  <c r="T24" i="18"/>
  <c r="T13" i="18"/>
  <c r="T11" i="18" s="1"/>
  <c r="T29" i="18"/>
  <c r="T48" i="18"/>
  <c r="T56" i="18"/>
  <c r="S43" i="16"/>
  <c r="Q66" i="16"/>
  <c r="T64" i="16"/>
  <c r="T63" i="16"/>
  <c r="T59" i="16"/>
  <c r="T65" i="16"/>
  <c r="T58" i="16"/>
  <c r="T57" i="16"/>
  <c r="T54" i="16"/>
  <c r="T51" i="16"/>
  <c r="T61" i="16"/>
  <c r="T53" i="16"/>
  <c r="T50" i="16"/>
  <c r="T47" i="16"/>
  <c r="T60" i="16"/>
  <c r="T55" i="16"/>
  <c r="T52" i="16"/>
  <c r="T49" i="16"/>
  <c r="T46" i="16"/>
  <c r="T39" i="16"/>
  <c r="T45" i="16"/>
  <c r="T34" i="16"/>
  <c r="T41" i="16"/>
  <c r="T37" i="16"/>
  <c r="T33" i="16"/>
  <c r="T44" i="16"/>
  <c r="T40" i="16"/>
  <c r="T32" i="16"/>
  <c r="T38" i="16"/>
  <c r="T35" i="16"/>
  <c r="T31" i="16"/>
  <c r="T28" i="16"/>
  <c r="T26" i="16"/>
  <c r="T21" i="16"/>
  <c r="T17" i="16"/>
  <c r="T20" i="16"/>
  <c r="T16" i="16"/>
  <c r="T30" i="16"/>
  <c r="T27" i="16"/>
  <c r="T19" i="16"/>
  <c r="T15" i="16"/>
  <c r="T12" i="16"/>
  <c r="T9" i="16"/>
  <c r="T22" i="16"/>
  <c r="T18" i="16"/>
  <c r="T10" i="16"/>
  <c r="T8" i="16"/>
  <c r="U2" i="16"/>
  <c r="T7" i="16"/>
  <c r="T14" i="16"/>
  <c r="S13" i="16"/>
  <c r="S11" i="16" s="1"/>
  <c r="S36" i="16"/>
  <c r="R3" i="16"/>
  <c r="S24" i="16"/>
  <c r="Q66" i="15"/>
  <c r="S24" i="15"/>
  <c r="S13" i="15"/>
  <c r="S11" i="15" s="1"/>
  <c r="S29" i="15"/>
  <c r="S48" i="15"/>
  <c r="S36" i="15"/>
  <c r="R3" i="15"/>
  <c r="R42" i="15"/>
  <c r="R23" i="15" s="1"/>
  <c r="T64" i="15"/>
  <c r="T60" i="15"/>
  <c r="T63" i="15"/>
  <c r="T59" i="15"/>
  <c r="T61" i="15"/>
  <c r="T58" i="15"/>
  <c r="T54" i="15"/>
  <c r="T53" i="15"/>
  <c r="T51" i="15"/>
  <c r="T65" i="15"/>
  <c r="T57" i="15"/>
  <c r="T55" i="15"/>
  <c r="T52" i="15"/>
  <c r="T50" i="15"/>
  <c r="T47" i="15"/>
  <c r="T40" i="15"/>
  <c r="T49" i="15"/>
  <c r="T46" i="15"/>
  <c r="T39" i="15"/>
  <c r="T35" i="15"/>
  <c r="T45" i="15"/>
  <c r="T38" i="15"/>
  <c r="T34" i="15"/>
  <c r="T31" i="15"/>
  <c r="T28" i="15"/>
  <c r="T41" i="15"/>
  <c r="T37" i="15"/>
  <c r="T33" i="15"/>
  <c r="T30" i="15"/>
  <c r="T27" i="15"/>
  <c r="T22" i="15"/>
  <c r="T18" i="15"/>
  <c r="T44" i="15"/>
  <c r="T26" i="15"/>
  <c r="T21" i="15"/>
  <c r="T17" i="15"/>
  <c r="T32" i="15"/>
  <c r="T19" i="15"/>
  <c r="T15" i="15"/>
  <c r="T12" i="15"/>
  <c r="T16" i="15"/>
  <c r="T20" i="15"/>
  <c r="T14" i="15"/>
  <c r="T8" i="15"/>
  <c r="T10" i="15"/>
  <c r="T7" i="15"/>
  <c r="T9" i="15"/>
  <c r="U2" i="15"/>
  <c r="S43" i="15"/>
  <c r="R3" i="14"/>
  <c r="R42" i="14"/>
  <c r="R23" i="14" s="1"/>
  <c r="S36" i="14"/>
  <c r="S29" i="14"/>
  <c r="S56" i="14"/>
  <c r="S13" i="14"/>
  <c r="S11" i="14" s="1"/>
  <c r="S24" i="14"/>
  <c r="S48" i="14"/>
  <c r="T64" i="14"/>
  <c r="T63" i="14"/>
  <c r="T59" i="14"/>
  <c r="T61" i="14"/>
  <c r="T65" i="14"/>
  <c r="T60" i="14"/>
  <c r="T58" i="14"/>
  <c r="T53" i="14"/>
  <c r="T49" i="14"/>
  <c r="T57" i="14"/>
  <c r="T55" i="14"/>
  <c r="T52" i="14"/>
  <c r="T51" i="14"/>
  <c r="T54" i="14"/>
  <c r="T47" i="14"/>
  <c r="T46" i="14"/>
  <c r="T50" i="14"/>
  <c r="T45" i="14"/>
  <c r="T38" i="14"/>
  <c r="T34" i="14"/>
  <c r="T30" i="14"/>
  <c r="T44" i="14"/>
  <c r="T41" i="14"/>
  <c r="T37" i="14"/>
  <c r="T33" i="14"/>
  <c r="T27" i="14"/>
  <c r="T22" i="14"/>
  <c r="T40" i="14"/>
  <c r="T32" i="14"/>
  <c r="T39" i="14"/>
  <c r="T19" i="14"/>
  <c r="T15" i="14"/>
  <c r="T28" i="14"/>
  <c r="T31" i="14"/>
  <c r="T35" i="14"/>
  <c r="T26" i="14"/>
  <c r="T21" i="14"/>
  <c r="T20" i="14"/>
  <c r="T17" i="14"/>
  <c r="T7" i="14"/>
  <c r="T16" i="14"/>
  <c r="T10" i="14"/>
  <c r="T8" i="14"/>
  <c r="T18" i="14"/>
  <c r="T14" i="14"/>
  <c r="T12" i="14"/>
  <c r="T9" i="14"/>
  <c r="U2" i="14"/>
  <c r="S43" i="14"/>
  <c r="R3" i="13"/>
  <c r="Q66" i="13"/>
  <c r="S29" i="13"/>
  <c r="S36" i="13"/>
  <c r="S5" i="13"/>
  <c r="S4" i="13" s="1"/>
  <c r="S48" i="13"/>
  <c r="S56" i="13"/>
  <c r="T64" i="13"/>
  <c r="T60" i="13"/>
  <c r="T63" i="13"/>
  <c r="T59" i="13"/>
  <c r="T65" i="13"/>
  <c r="T58" i="13"/>
  <c r="T52" i="13"/>
  <c r="T61" i="13"/>
  <c r="T57" i="13"/>
  <c r="T54" i="13"/>
  <c r="T49" i="13"/>
  <c r="T45" i="13"/>
  <c r="T55" i="13"/>
  <c r="T51" i="13"/>
  <c r="T44" i="13"/>
  <c r="T41" i="13"/>
  <c r="T37" i="13"/>
  <c r="T47" i="13"/>
  <c r="T53" i="13"/>
  <c r="T50" i="13"/>
  <c r="T46" i="13"/>
  <c r="T39" i="13"/>
  <c r="T34" i="13"/>
  <c r="T38" i="13"/>
  <c r="T40" i="13"/>
  <c r="T32" i="13"/>
  <c r="T20" i="13"/>
  <c r="T16" i="13"/>
  <c r="T33" i="13"/>
  <c r="T31" i="13"/>
  <c r="T28" i="13"/>
  <c r="T19" i="13"/>
  <c r="T30" i="13"/>
  <c r="T27" i="13"/>
  <c r="T22" i="13"/>
  <c r="T18" i="13"/>
  <c r="T14" i="13"/>
  <c r="T35" i="13"/>
  <c r="T26" i="13"/>
  <c r="T21" i="13"/>
  <c r="T17" i="13"/>
  <c r="T12" i="13"/>
  <c r="T9" i="13"/>
  <c r="T8" i="13"/>
  <c r="T7" i="13"/>
  <c r="T15" i="13"/>
  <c r="T10" i="13"/>
  <c r="S24" i="13"/>
  <c r="S43" i="13"/>
  <c r="S13" i="13"/>
  <c r="S11" i="13" s="1"/>
  <c r="E29" i="1"/>
  <c r="E36" i="1"/>
  <c r="D11" i="1"/>
  <c r="D3" i="1" s="1"/>
  <c r="E42" i="1"/>
  <c r="E24" i="1"/>
  <c r="N246" i="3"/>
  <c r="N249" i="3"/>
  <c r="N251" i="3"/>
  <c r="N235" i="3"/>
  <c r="N236" i="3"/>
  <c r="N238" i="3"/>
  <c r="D23" i="1"/>
  <c r="K66" i="2"/>
  <c r="V10" i="20" l="1"/>
  <c r="V19" i="20"/>
  <c r="V22" i="20"/>
  <c r="V18" i="20"/>
  <c r="V14" i="20"/>
  <c r="V23" i="20"/>
  <c r="V15" i="20"/>
  <c r="V11" i="20"/>
  <c r="V25" i="20"/>
  <c r="V17" i="20"/>
  <c r="V20" i="20"/>
  <c r="V12" i="20"/>
  <c r="V16" i="20"/>
  <c r="V13" i="20"/>
  <c r="V24" i="20"/>
  <c r="V21" i="20"/>
  <c r="S42" i="16"/>
  <c r="S23" i="16" s="1"/>
  <c r="S66" i="22"/>
  <c r="V24" i="19"/>
  <c r="S42" i="15"/>
  <c r="S23" i="15" s="1"/>
  <c r="U24" i="22"/>
  <c r="U43" i="24"/>
  <c r="T43" i="15"/>
  <c r="U36" i="23"/>
  <c r="T29" i="16"/>
  <c r="U59" i="20"/>
  <c r="U48" i="21"/>
  <c r="U36" i="21"/>
  <c r="R66" i="16"/>
  <c r="U56" i="18"/>
  <c r="T56" i="13"/>
  <c r="S42" i="14"/>
  <c r="S23" i="14" s="1"/>
  <c r="T56" i="14"/>
  <c r="T43" i="16"/>
  <c r="U56" i="22"/>
  <c r="U56" i="23"/>
  <c r="T24" i="13"/>
  <c r="S42" i="13"/>
  <c r="S23" i="13" s="1"/>
  <c r="T36" i="15"/>
  <c r="T56" i="15"/>
  <c r="T24" i="15"/>
  <c r="T48" i="15"/>
  <c r="U24" i="23"/>
  <c r="T43" i="14"/>
  <c r="U48" i="18"/>
  <c r="S66" i="18"/>
  <c r="U42" i="19"/>
  <c r="U23" i="19" s="1"/>
  <c r="T66" i="19"/>
  <c r="U40" i="20"/>
  <c r="U5" i="20"/>
  <c r="U4" i="20" s="1"/>
  <c r="S66" i="21"/>
  <c r="S3" i="15"/>
  <c r="S66" i="24"/>
  <c r="U5" i="22"/>
  <c r="U4" i="22" s="1"/>
  <c r="S66" i="23"/>
  <c r="R66" i="13"/>
  <c r="T13" i="16"/>
  <c r="T11" i="16" s="1"/>
  <c r="T3" i="18"/>
  <c r="U3" i="19"/>
  <c r="U13" i="21"/>
  <c r="U11" i="21" s="1"/>
  <c r="T5" i="15"/>
  <c r="T4" i="15" s="1"/>
  <c r="T13" i="14"/>
  <c r="T11" i="14" s="1"/>
  <c r="R66" i="14"/>
  <c r="V5" i="19"/>
  <c r="V4" i="19" s="1"/>
  <c r="T3" i="20"/>
  <c r="U24" i="24"/>
  <c r="U36" i="24"/>
  <c r="U48" i="24"/>
  <c r="T42" i="23"/>
  <c r="T23" i="23" s="1"/>
  <c r="U13" i="23"/>
  <c r="U11" i="23" s="1"/>
  <c r="U13" i="24"/>
  <c r="U11" i="24" s="1"/>
  <c r="U5" i="24"/>
  <c r="U4" i="24" s="1"/>
  <c r="V65" i="24"/>
  <c r="V61" i="24"/>
  <c r="V57" i="24"/>
  <c r="V64" i="24"/>
  <c r="V59" i="24"/>
  <c r="V54" i="24"/>
  <c r="V63" i="24"/>
  <c r="V60" i="24"/>
  <c r="V58" i="24"/>
  <c r="V46" i="24"/>
  <c r="V39" i="24"/>
  <c r="V35" i="24"/>
  <c r="V53" i="24"/>
  <c r="V52" i="24"/>
  <c r="V51" i="24"/>
  <c r="V45" i="24"/>
  <c r="V38" i="24"/>
  <c r="V40" i="24"/>
  <c r="V55" i="24"/>
  <c r="V44" i="24"/>
  <c r="V50" i="24"/>
  <c r="V47" i="24"/>
  <c r="V32" i="24"/>
  <c r="V49" i="24"/>
  <c r="V41" i="24"/>
  <c r="V37" i="24"/>
  <c r="V20" i="24"/>
  <c r="V16" i="24"/>
  <c r="V31" i="24"/>
  <c r="V28" i="24"/>
  <c r="V19" i="24"/>
  <c r="V15" i="24"/>
  <c r="V12" i="24"/>
  <c r="V34" i="24"/>
  <c r="V30" i="24"/>
  <c r="V27" i="24"/>
  <c r="V22" i="24"/>
  <c r="V33" i="24"/>
  <c r="V26" i="24"/>
  <c r="V10" i="24"/>
  <c r="V7" i="24"/>
  <c r="V18" i="24"/>
  <c r="V14" i="24"/>
  <c r="V9" i="24"/>
  <c r="W2" i="24"/>
  <c r="V21" i="24"/>
  <c r="V17" i="24"/>
  <c r="V8" i="24"/>
  <c r="U29" i="24"/>
  <c r="U62" i="24"/>
  <c r="T3" i="24"/>
  <c r="T42" i="24"/>
  <c r="T23" i="24" s="1"/>
  <c r="U56" i="24"/>
  <c r="U5" i="23"/>
  <c r="U4" i="23" s="1"/>
  <c r="U43" i="23"/>
  <c r="U48" i="23"/>
  <c r="T3" i="23"/>
  <c r="V65" i="23"/>
  <c r="V61" i="23"/>
  <c r="V57" i="23"/>
  <c r="V64" i="23"/>
  <c r="V59" i="23"/>
  <c r="V63" i="23"/>
  <c r="V58" i="23"/>
  <c r="V55" i="23"/>
  <c r="V52" i="23"/>
  <c r="V54" i="23"/>
  <c r="V51" i="23"/>
  <c r="V53" i="23"/>
  <c r="V50" i="23"/>
  <c r="V47" i="23"/>
  <c r="V49" i="23"/>
  <c r="V46" i="23"/>
  <c r="V60" i="23"/>
  <c r="V44" i="23"/>
  <c r="V39" i="23"/>
  <c r="V35" i="23"/>
  <c r="V31" i="23"/>
  <c r="V28" i="23"/>
  <c r="V38" i="23"/>
  <c r="V41" i="23"/>
  <c r="V37" i="23"/>
  <c r="V33" i="23"/>
  <c r="V34" i="23"/>
  <c r="V30" i="23"/>
  <c r="V27" i="23"/>
  <c r="V20" i="23"/>
  <c r="V26" i="23"/>
  <c r="V19" i="23"/>
  <c r="V15" i="23"/>
  <c r="V12" i="23"/>
  <c r="V32" i="23"/>
  <c r="V22" i="23"/>
  <c r="V18" i="23"/>
  <c r="V45" i="23"/>
  <c r="V21" i="23"/>
  <c r="V16" i="23"/>
  <c r="V10" i="23"/>
  <c r="V9" i="23"/>
  <c r="W2" i="23"/>
  <c r="V14" i="23"/>
  <c r="V40" i="23"/>
  <c r="V17" i="23"/>
  <c r="V8" i="23"/>
  <c r="V7" i="23"/>
  <c r="U29" i="23"/>
  <c r="U62" i="23"/>
  <c r="U36" i="22"/>
  <c r="V65" i="22"/>
  <c r="V60" i="22"/>
  <c r="V49" i="22"/>
  <c r="V55" i="22"/>
  <c r="V41" i="22"/>
  <c r="V28" i="22"/>
  <c r="V47" i="22"/>
  <c r="V26" i="22"/>
  <c r="V21" i="22"/>
  <c r="V10" i="22"/>
  <c r="V9" i="22"/>
  <c r="V8" i="22"/>
  <c r="V61" i="22"/>
  <c r="V59" i="22"/>
  <c r="V46" i="22"/>
  <c r="V52" i="22"/>
  <c r="V39" i="22"/>
  <c r="V38" i="22"/>
  <c r="V37" i="22"/>
  <c r="V22" i="22"/>
  <c r="V32" i="22"/>
  <c r="V40" i="22"/>
  <c r="W2" i="22"/>
  <c r="V19" i="22"/>
  <c r="V57" i="22"/>
  <c r="V58" i="22"/>
  <c r="V45" i="22"/>
  <c r="V51" i="22"/>
  <c r="V35" i="22"/>
  <c r="V34" i="22"/>
  <c r="V33" i="22"/>
  <c r="V18" i="22"/>
  <c r="V20" i="22"/>
  <c r="V27" i="22"/>
  <c r="V30" i="22"/>
  <c r="V15" i="22"/>
  <c r="V63" i="22"/>
  <c r="V53" i="22"/>
  <c r="V64" i="22"/>
  <c r="V44" i="22"/>
  <c r="V31" i="22"/>
  <c r="V54" i="22"/>
  <c r="V50" i="22"/>
  <c r="V14" i="22"/>
  <c r="V16" i="22"/>
  <c r="V17" i="22"/>
  <c r="V12" i="22"/>
  <c r="V7" i="22"/>
  <c r="U48" i="22"/>
  <c r="T3" i="22"/>
  <c r="U13" i="22"/>
  <c r="U11" i="22" s="1"/>
  <c r="U29" i="22"/>
  <c r="U43" i="22"/>
  <c r="T42" i="22"/>
  <c r="T23" i="22" s="1"/>
  <c r="U62" i="22"/>
  <c r="U24" i="21"/>
  <c r="T42" i="21"/>
  <c r="T23" i="21" s="1"/>
  <c r="V65" i="21"/>
  <c r="V61" i="21"/>
  <c r="V57" i="21"/>
  <c r="V64" i="21"/>
  <c r="V58" i="21"/>
  <c r="V55" i="21"/>
  <c r="V52" i="21"/>
  <c r="V60" i="21"/>
  <c r="V63" i="21"/>
  <c r="V59" i="21"/>
  <c r="V51" i="21"/>
  <c r="V47" i="21"/>
  <c r="V53" i="21"/>
  <c r="V50" i="21"/>
  <c r="V46" i="21"/>
  <c r="V39" i="21"/>
  <c r="V35" i="21"/>
  <c r="V34" i="21"/>
  <c r="V30" i="21"/>
  <c r="V27" i="21"/>
  <c r="V38" i="21"/>
  <c r="V33" i="21"/>
  <c r="V49" i="21"/>
  <c r="V45" i="21"/>
  <c r="V41" i="21"/>
  <c r="V37" i="21"/>
  <c r="V32" i="21"/>
  <c r="V20" i="21"/>
  <c r="V26" i="21"/>
  <c r="V19" i="21"/>
  <c r="V22" i="21"/>
  <c r="V18" i="21"/>
  <c r="V44" i="21"/>
  <c r="V40" i="21"/>
  <c r="V28" i="21"/>
  <c r="V21" i="21"/>
  <c r="V54" i="21"/>
  <c r="V31" i="21"/>
  <c r="V17" i="21"/>
  <c r="V14" i="21"/>
  <c r="V16" i="21"/>
  <c r="V10" i="21"/>
  <c r="V15" i="21"/>
  <c r="V12" i="21"/>
  <c r="V9" i="21"/>
  <c r="W2" i="21"/>
  <c r="V8" i="21"/>
  <c r="V7" i="21"/>
  <c r="U56" i="21"/>
  <c r="T3" i="21"/>
  <c r="U29" i="21"/>
  <c r="U43" i="21"/>
  <c r="U5" i="21"/>
  <c r="U4" i="21" s="1"/>
  <c r="U62" i="21"/>
  <c r="S82" i="20"/>
  <c r="T58" i="20"/>
  <c r="T39" i="20" s="1"/>
  <c r="V81" i="20"/>
  <c r="V77" i="20"/>
  <c r="V73" i="20"/>
  <c r="V80" i="20"/>
  <c r="V74" i="20"/>
  <c r="V71" i="20"/>
  <c r="V68" i="20"/>
  <c r="V69" i="20"/>
  <c r="V66" i="20"/>
  <c r="V63" i="20"/>
  <c r="V79" i="20"/>
  <c r="V65" i="20"/>
  <c r="V76" i="20"/>
  <c r="V61" i="20"/>
  <c r="V70" i="20"/>
  <c r="V60" i="20"/>
  <c r="V56" i="20"/>
  <c r="V48" i="20"/>
  <c r="V55" i="20"/>
  <c r="V51" i="20"/>
  <c r="V67" i="20"/>
  <c r="V62" i="20"/>
  <c r="V54" i="20"/>
  <c r="V50" i="20"/>
  <c r="V46" i="20"/>
  <c r="V75" i="20"/>
  <c r="V53" i="20"/>
  <c r="V44" i="20"/>
  <c r="V35" i="20"/>
  <c r="V31" i="20"/>
  <c r="V28" i="20"/>
  <c r="V57" i="20"/>
  <c r="V47" i="20"/>
  <c r="V43" i="20"/>
  <c r="V38" i="20"/>
  <c r="V34" i="20"/>
  <c r="V30" i="20"/>
  <c r="V42" i="20"/>
  <c r="V37" i="20"/>
  <c r="V49" i="20"/>
  <c r="V33" i="20"/>
  <c r="V36" i="20"/>
  <c r="V9" i="20"/>
  <c r="W2" i="20"/>
  <c r="V8" i="20"/>
  <c r="V32" i="20"/>
  <c r="V7" i="20"/>
  <c r="V26" i="20"/>
  <c r="U29" i="20"/>
  <c r="U27" i="20" s="1"/>
  <c r="U72" i="20"/>
  <c r="U52" i="20"/>
  <c r="U45" i="20"/>
  <c r="U78" i="20"/>
  <c r="U64" i="20"/>
  <c r="W65" i="19"/>
  <c r="W64" i="19"/>
  <c r="W60" i="19"/>
  <c r="W58" i="19"/>
  <c r="W55" i="19"/>
  <c r="W54" i="19"/>
  <c r="W52" i="19"/>
  <c r="W50" i="19"/>
  <c r="W47" i="19"/>
  <c r="W59" i="19"/>
  <c r="W61" i="19"/>
  <c r="W63" i="19"/>
  <c r="W45" i="19"/>
  <c r="W38" i="19"/>
  <c r="W34" i="19"/>
  <c r="W44" i="19"/>
  <c r="W41" i="19"/>
  <c r="W51" i="19"/>
  <c r="W40" i="19"/>
  <c r="W49" i="19"/>
  <c r="W37" i="19"/>
  <c r="W32" i="19"/>
  <c r="W31" i="19"/>
  <c r="W28" i="19"/>
  <c r="W46" i="19"/>
  <c r="W30" i="19"/>
  <c r="W27" i="19"/>
  <c r="W22" i="19"/>
  <c r="W53" i="19"/>
  <c r="W39" i="19"/>
  <c r="W35" i="19"/>
  <c r="W26" i="19"/>
  <c r="W57" i="19"/>
  <c r="W19" i="19"/>
  <c r="W18" i="19"/>
  <c r="W33" i="19"/>
  <c r="W21" i="19"/>
  <c r="W17" i="19"/>
  <c r="W20" i="19"/>
  <c r="W15" i="19"/>
  <c r="W12" i="19"/>
  <c r="W9" i="19"/>
  <c r="X2" i="19"/>
  <c r="W8" i="19"/>
  <c r="W14" i="19"/>
  <c r="W7" i="19"/>
  <c r="W10" i="19"/>
  <c r="W16" i="19"/>
  <c r="V13" i="19"/>
  <c r="V11" i="19" s="1"/>
  <c r="V29" i="19"/>
  <c r="V48" i="19"/>
  <c r="V36" i="19"/>
  <c r="V62" i="19"/>
  <c r="V43" i="19"/>
  <c r="V56" i="19"/>
  <c r="U29" i="18"/>
  <c r="U5" i="18"/>
  <c r="U4" i="18" s="1"/>
  <c r="T42" i="18"/>
  <c r="T23" i="18" s="1"/>
  <c r="U43" i="18"/>
  <c r="V58" i="18"/>
  <c r="V65" i="18"/>
  <c r="V61" i="18"/>
  <c r="V57" i="18"/>
  <c r="V64" i="18"/>
  <c r="V60" i="18"/>
  <c r="V63" i="18"/>
  <c r="V59" i="18"/>
  <c r="V55" i="18"/>
  <c r="V53" i="18"/>
  <c r="V50" i="18"/>
  <c r="V47" i="18"/>
  <c r="V52" i="18"/>
  <c r="V45" i="18"/>
  <c r="V51" i="18"/>
  <c r="V44" i="18"/>
  <c r="V41" i="18"/>
  <c r="V40" i="18"/>
  <c r="V54" i="18"/>
  <c r="V49" i="18"/>
  <c r="V46" i="18"/>
  <c r="V32" i="18"/>
  <c r="V20" i="18"/>
  <c r="V39" i="18"/>
  <c r="V35" i="18"/>
  <c r="V31" i="18"/>
  <c r="V28" i="18"/>
  <c r="V19" i="18"/>
  <c r="V38" i="18"/>
  <c r="V34" i="18"/>
  <c r="V30" i="18"/>
  <c r="V37" i="18"/>
  <c r="V33" i="18"/>
  <c r="V27" i="18"/>
  <c r="V17" i="18"/>
  <c r="V14" i="18"/>
  <c r="V8" i="18"/>
  <c r="V26" i="18"/>
  <c r="V7" i="18"/>
  <c r="V9" i="18"/>
  <c r="W2" i="18"/>
  <c r="V22" i="18"/>
  <c r="V18" i="18"/>
  <c r="V16" i="18"/>
  <c r="V10" i="18"/>
  <c r="V21" i="18"/>
  <c r="V15" i="18"/>
  <c r="V12" i="18"/>
  <c r="U24" i="18"/>
  <c r="U36" i="18"/>
  <c r="U62" i="18"/>
  <c r="U13" i="18"/>
  <c r="U11" i="18" s="1"/>
  <c r="T48" i="16"/>
  <c r="S3" i="16"/>
  <c r="T5" i="16"/>
  <c r="T4" i="16" s="1"/>
  <c r="T24" i="16"/>
  <c r="U63" i="16"/>
  <c r="U58" i="16"/>
  <c r="U65" i="16"/>
  <c r="U61" i="16"/>
  <c r="U55" i="16"/>
  <c r="U52" i="16"/>
  <c r="U64" i="16"/>
  <c r="U57" i="16"/>
  <c r="U60" i="16"/>
  <c r="U53" i="16"/>
  <c r="U50" i="16"/>
  <c r="U47" i="16"/>
  <c r="U59" i="16"/>
  <c r="U49" i="16"/>
  <c r="U46" i="16"/>
  <c r="U45" i="16"/>
  <c r="U38" i="16"/>
  <c r="U54" i="16"/>
  <c r="U51" i="16"/>
  <c r="U41" i="16"/>
  <c r="U37" i="16"/>
  <c r="U33" i="16"/>
  <c r="U44" i="16"/>
  <c r="U40" i="16"/>
  <c r="U32" i="16"/>
  <c r="U39" i="16"/>
  <c r="U35" i="16"/>
  <c r="U31" i="16"/>
  <c r="U34" i="16"/>
  <c r="U30" i="16"/>
  <c r="U27" i="16"/>
  <c r="U20" i="16"/>
  <c r="U16" i="16"/>
  <c r="U10" i="16"/>
  <c r="U28" i="16"/>
  <c r="U19" i="16"/>
  <c r="U15" i="16"/>
  <c r="U22" i="16"/>
  <c r="U18" i="16"/>
  <c r="U14" i="16"/>
  <c r="U26" i="16"/>
  <c r="U21" i="16"/>
  <c r="U17" i="16"/>
  <c r="U7" i="16"/>
  <c r="U9" i="16"/>
  <c r="U12" i="16"/>
  <c r="V2" i="16"/>
  <c r="U8" i="16"/>
  <c r="T36" i="16"/>
  <c r="T56" i="16"/>
  <c r="T62" i="16"/>
  <c r="T13" i="15"/>
  <c r="T11" i="15" s="1"/>
  <c r="U63" i="15"/>
  <c r="U58" i="15"/>
  <c r="U65" i="15"/>
  <c r="U60" i="15"/>
  <c r="U55" i="15"/>
  <c r="U52" i="15"/>
  <c r="U53" i="15"/>
  <c r="U51" i="15"/>
  <c r="U61" i="15"/>
  <c r="U57" i="15"/>
  <c r="U64" i="15"/>
  <c r="U59" i="15"/>
  <c r="U49" i="15"/>
  <c r="U46" i="15"/>
  <c r="U39" i="15"/>
  <c r="U35" i="15"/>
  <c r="U45" i="15"/>
  <c r="U38" i="15"/>
  <c r="U34" i="15"/>
  <c r="U54" i="15"/>
  <c r="U50" i="15"/>
  <c r="U44" i="15"/>
  <c r="U41" i="15"/>
  <c r="U37" i="15"/>
  <c r="U33" i="15"/>
  <c r="U30" i="15"/>
  <c r="U27" i="15"/>
  <c r="U22" i="15"/>
  <c r="U26" i="15"/>
  <c r="U21" i="15"/>
  <c r="U17" i="15"/>
  <c r="U40" i="15"/>
  <c r="U32" i="15"/>
  <c r="U20" i="15"/>
  <c r="U16" i="15"/>
  <c r="U10" i="15"/>
  <c r="U47" i="15"/>
  <c r="U28" i="15"/>
  <c r="U31" i="15"/>
  <c r="U19" i="15"/>
  <c r="U18" i="15"/>
  <c r="U15" i="15"/>
  <c r="U14" i="15"/>
  <c r="U12" i="15"/>
  <c r="U9" i="15"/>
  <c r="U7" i="15"/>
  <c r="V2" i="15"/>
  <c r="U8" i="15"/>
  <c r="T62" i="15"/>
  <c r="R66" i="15"/>
  <c r="T29" i="15"/>
  <c r="T62" i="14"/>
  <c r="T29" i="14"/>
  <c r="T48" i="14"/>
  <c r="U63" i="14"/>
  <c r="U58" i="14"/>
  <c r="U65" i="14"/>
  <c r="U60" i="14"/>
  <c r="U64" i="14"/>
  <c r="U59" i="14"/>
  <c r="U55" i="14"/>
  <c r="U61" i="14"/>
  <c r="U57" i="14"/>
  <c r="U52" i="14"/>
  <c r="U51" i="14"/>
  <c r="U54" i="14"/>
  <c r="U50" i="14"/>
  <c r="U53" i="14"/>
  <c r="U46" i="14"/>
  <c r="U45" i="14"/>
  <c r="U44" i="14"/>
  <c r="U41" i="14"/>
  <c r="U37" i="14"/>
  <c r="U33" i="14"/>
  <c r="U26" i="14"/>
  <c r="U21" i="14"/>
  <c r="U47" i="14"/>
  <c r="U40" i="14"/>
  <c r="U32" i="14"/>
  <c r="U49" i="14"/>
  <c r="U39" i="14"/>
  <c r="U35" i="14"/>
  <c r="U31" i="14"/>
  <c r="U28" i="14"/>
  <c r="U18" i="14"/>
  <c r="U14" i="14"/>
  <c r="U34" i="14"/>
  <c r="U27" i="14"/>
  <c r="U38" i="14"/>
  <c r="U30" i="14"/>
  <c r="U16" i="14"/>
  <c r="U10" i="14"/>
  <c r="U12" i="14"/>
  <c r="V2" i="14"/>
  <c r="U22" i="14"/>
  <c r="U20" i="14"/>
  <c r="U19" i="14"/>
  <c r="U15" i="14"/>
  <c r="U9" i="14"/>
  <c r="U7" i="14"/>
  <c r="U8" i="14"/>
  <c r="U17" i="14"/>
  <c r="T5" i="14"/>
  <c r="T4" i="14" s="1"/>
  <c r="T24" i="14"/>
  <c r="T36" i="14"/>
  <c r="S3" i="14"/>
  <c r="T5" i="13"/>
  <c r="T4" i="13" s="1"/>
  <c r="T43" i="13"/>
  <c r="T48" i="13"/>
  <c r="T62" i="13"/>
  <c r="S3" i="13"/>
  <c r="U63" i="13"/>
  <c r="U59" i="13"/>
  <c r="U58" i="13"/>
  <c r="U65" i="13"/>
  <c r="U55" i="13"/>
  <c r="U51" i="13"/>
  <c r="U64" i="13"/>
  <c r="U61" i="13"/>
  <c r="U60" i="13"/>
  <c r="U53" i="13"/>
  <c r="U52" i="13"/>
  <c r="U44" i="13"/>
  <c r="U41" i="13"/>
  <c r="U47" i="13"/>
  <c r="U40" i="13"/>
  <c r="U54" i="13"/>
  <c r="U50" i="13"/>
  <c r="U46" i="13"/>
  <c r="U57" i="13"/>
  <c r="U49" i="13"/>
  <c r="U38" i="13"/>
  <c r="U33" i="13"/>
  <c r="U45" i="13"/>
  <c r="U37" i="13"/>
  <c r="U35" i="13"/>
  <c r="U34" i="13"/>
  <c r="U31" i="13"/>
  <c r="U28" i="13"/>
  <c r="U19" i="13"/>
  <c r="U15" i="13"/>
  <c r="U30" i="13"/>
  <c r="U27" i="13"/>
  <c r="U22" i="13"/>
  <c r="U18" i="13"/>
  <c r="U32" i="13"/>
  <c r="U26" i="13"/>
  <c r="U21" i="13"/>
  <c r="U17" i="13"/>
  <c r="U39" i="13"/>
  <c r="U20" i="13"/>
  <c r="U16" i="13"/>
  <c r="U14" i="13"/>
  <c r="U8" i="13"/>
  <c r="U7" i="13"/>
  <c r="U10" i="13"/>
  <c r="U12" i="13"/>
  <c r="U9" i="13"/>
  <c r="T13" i="13"/>
  <c r="T11" i="13" s="1"/>
  <c r="T29" i="13"/>
  <c r="T36" i="13"/>
  <c r="D66" i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I115" i="3"/>
  <c r="J115" i="3" s="1"/>
  <c r="K115" i="3" s="1"/>
  <c r="I114" i="3"/>
  <c r="J114" i="3" s="1"/>
  <c r="K114" i="3" s="1"/>
  <c r="I113" i="3"/>
  <c r="J113" i="3" s="1"/>
  <c r="K113" i="3" s="1"/>
  <c r="I112" i="3"/>
  <c r="J112" i="3" s="1"/>
  <c r="K112" i="3" s="1"/>
  <c r="I111" i="3"/>
  <c r="J111" i="3" s="1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I45" i="3"/>
  <c r="J45" i="3" s="1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I20" i="3"/>
  <c r="J20" i="3" s="1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I135" i="3"/>
  <c r="J135" i="3"/>
  <c r="K135" i="3" s="1"/>
  <c r="I136" i="3"/>
  <c r="J136" i="3"/>
  <c r="K136" i="3" s="1"/>
  <c r="I137" i="3"/>
  <c r="J137" i="3"/>
  <c r="K137" i="3" s="1"/>
  <c r="J138" i="3"/>
  <c r="K138" i="3" s="1"/>
  <c r="I139" i="3"/>
  <c r="J139" i="3" s="1"/>
  <c r="K139" i="3" s="1"/>
  <c r="I140" i="3"/>
  <c r="J140" i="3" s="1"/>
  <c r="K140" i="3" s="1"/>
  <c r="I142" i="3"/>
  <c r="J142" i="3" s="1"/>
  <c r="K142" i="3" s="1"/>
  <c r="J143" i="3"/>
  <c r="K143" i="3" s="1"/>
  <c r="I144" i="3"/>
  <c r="J144" i="3" s="1"/>
  <c r="K144" i="3" s="1"/>
  <c r="I145" i="3"/>
  <c r="J145" i="3" s="1"/>
  <c r="K145" i="3" s="1"/>
  <c r="J149" i="3"/>
  <c r="K149" i="3" s="1"/>
  <c r="J150" i="3"/>
  <c r="K150" i="3" s="1"/>
  <c r="J151" i="3"/>
  <c r="K151" i="3" s="1"/>
  <c r="J152" i="3"/>
  <c r="K152" i="3" s="1"/>
  <c r="I153" i="3"/>
  <c r="J153" i="3" s="1"/>
  <c r="K153" i="3" s="1"/>
  <c r="I154" i="3"/>
  <c r="J154" i="3" s="1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I205" i="3"/>
  <c r="J205" i="3" s="1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2" i="3"/>
  <c r="K222" i="3" s="1"/>
  <c r="J223" i="3"/>
  <c r="K223" i="3" s="1"/>
  <c r="J224" i="3"/>
  <c r="K224" i="3" s="1"/>
  <c r="I227" i="3"/>
  <c r="J227" i="3" s="1"/>
  <c r="K227" i="3" s="1"/>
  <c r="J12" i="2"/>
  <c r="K12" i="2" s="1"/>
  <c r="J11" i="2"/>
  <c r="K11" i="2" s="1"/>
  <c r="J10" i="2"/>
  <c r="K10" i="2" s="1"/>
  <c r="N10" i="2" s="1"/>
  <c r="J9" i="2"/>
  <c r="K9" i="2" s="1"/>
  <c r="N9" i="2" s="1"/>
  <c r="J8" i="2"/>
  <c r="K8" i="2" s="1"/>
  <c r="N8" i="2" s="1"/>
  <c r="J7" i="2"/>
  <c r="K7" i="2" s="1"/>
  <c r="N7" i="2" s="1"/>
  <c r="J3" i="2"/>
  <c r="K3" i="2" s="1"/>
  <c r="N3" i="2" s="1"/>
  <c r="J6" i="2"/>
  <c r="K6" i="2" s="1"/>
  <c r="N6" i="2" s="1"/>
  <c r="J5" i="2"/>
  <c r="K5" i="2" s="1"/>
  <c r="J4" i="2"/>
  <c r="K4" i="2" s="1"/>
  <c r="J144" i="2"/>
  <c r="K144" i="2" s="1"/>
  <c r="N144" i="2" s="1"/>
  <c r="J143" i="2"/>
  <c r="K143" i="2" s="1"/>
  <c r="N143" i="2" s="1"/>
  <c r="J142" i="2"/>
  <c r="K142" i="2" s="1"/>
  <c r="N142" i="2" s="1"/>
  <c r="J141" i="2"/>
  <c r="K141" i="2" s="1"/>
  <c r="N141" i="2" s="1"/>
  <c r="J140" i="2"/>
  <c r="K140" i="2" s="1"/>
  <c r="N140" i="2" s="1"/>
  <c r="J139" i="2"/>
  <c r="K139" i="2" s="1"/>
  <c r="J65" i="2"/>
  <c r="K65" i="2" s="1"/>
  <c r="J137" i="2"/>
  <c r="K137" i="2" s="1"/>
  <c r="N137" i="2" s="1"/>
  <c r="J136" i="2"/>
  <c r="K136" i="2" s="1"/>
  <c r="N136" i="2" s="1"/>
  <c r="J135" i="2"/>
  <c r="K135" i="2" s="1"/>
  <c r="N135" i="2" s="1"/>
  <c r="J133" i="2"/>
  <c r="K133" i="2" s="1"/>
  <c r="J132" i="2"/>
  <c r="K132" i="2" s="1"/>
  <c r="N132" i="2" s="1"/>
  <c r="J131" i="2"/>
  <c r="K131" i="2" s="1"/>
  <c r="N131" i="2" s="1"/>
  <c r="J129" i="2"/>
  <c r="K129" i="2" s="1"/>
  <c r="N129" i="2" s="1"/>
  <c r="J128" i="2"/>
  <c r="K128" i="2" s="1"/>
  <c r="N128" i="2" s="1"/>
  <c r="J127" i="2"/>
  <c r="K127" i="2" s="1"/>
  <c r="J134" i="2"/>
  <c r="K134" i="2" s="1"/>
  <c r="J125" i="2"/>
  <c r="K125" i="2" s="1"/>
  <c r="J124" i="2"/>
  <c r="K124" i="2" s="1"/>
  <c r="N124" i="2" s="1"/>
  <c r="J123" i="2"/>
  <c r="K123" i="2" s="1"/>
  <c r="N123" i="2" s="1"/>
  <c r="J64" i="2"/>
  <c r="K64" i="2" s="1"/>
  <c r="N64" i="2" s="1"/>
  <c r="J58" i="2"/>
  <c r="K58" i="2" s="1"/>
  <c r="N58" i="2" s="1"/>
  <c r="J23" i="2"/>
  <c r="K23" i="2" s="1"/>
  <c r="N23" i="2" s="1"/>
  <c r="J122" i="2"/>
  <c r="K122" i="2" s="1"/>
  <c r="N122" i="2" s="1"/>
  <c r="J121" i="2"/>
  <c r="K121" i="2" s="1"/>
  <c r="N121" i="2" s="1"/>
  <c r="J120" i="2"/>
  <c r="J119" i="2"/>
  <c r="K119" i="2" s="1"/>
  <c r="N119" i="2" s="1"/>
  <c r="J13" i="2"/>
  <c r="K13" i="2" s="1"/>
  <c r="J117" i="2"/>
  <c r="K117" i="2" s="1"/>
  <c r="N117" i="2" s="1"/>
  <c r="J116" i="2"/>
  <c r="K116" i="2" s="1"/>
  <c r="J115" i="2"/>
  <c r="K115" i="2" s="1"/>
  <c r="J114" i="2"/>
  <c r="K114" i="2" s="1"/>
  <c r="N114" i="2" s="1"/>
  <c r="J113" i="2"/>
  <c r="K113" i="2" s="1"/>
  <c r="N113" i="2" s="1"/>
  <c r="J89" i="2"/>
  <c r="K89" i="2" s="1"/>
  <c r="N89" i="2" s="1"/>
  <c r="J72" i="2"/>
  <c r="K72" i="2" s="1"/>
  <c r="J67" i="2"/>
  <c r="K67" i="2" s="1"/>
  <c r="N67" i="2" s="1"/>
  <c r="J126" i="2"/>
  <c r="K126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J103" i="2"/>
  <c r="K103" i="2" s="1"/>
  <c r="J102" i="2"/>
  <c r="K102" i="2" s="1"/>
  <c r="K101" i="2"/>
  <c r="J101" i="2"/>
  <c r="J99" i="2"/>
  <c r="K99" i="2" s="1"/>
  <c r="J98" i="2"/>
  <c r="K98" i="2" s="1"/>
  <c r="J97" i="2"/>
  <c r="J95" i="2"/>
  <c r="K95" i="2" s="1"/>
  <c r="J94" i="2"/>
  <c r="K94" i="2" s="1"/>
  <c r="J93" i="2"/>
  <c r="K93" i="2" s="1"/>
  <c r="J92" i="2"/>
  <c r="J91" i="2"/>
  <c r="K91" i="2" s="1"/>
  <c r="J90" i="2"/>
  <c r="K90" i="2" s="1"/>
  <c r="J118" i="2"/>
  <c r="K118" i="2" s="1"/>
  <c r="J87" i="2"/>
  <c r="K87" i="2" s="1"/>
  <c r="J86" i="2"/>
  <c r="K86" i="2" s="1"/>
  <c r="J85" i="2"/>
  <c r="J84" i="2"/>
  <c r="K84" i="2" s="1"/>
  <c r="J83" i="2"/>
  <c r="K83" i="2" s="1"/>
  <c r="J88" i="2"/>
  <c r="K88" i="2" s="1"/>
  <c r="J76" i="2"/>
  <c r="K76" i="2" s="1"/>
  <c r="J49" i="2"/>
  <c r="K49" i="2" s="1"/>
  <c r="J112" i="2"/>
  <c r="K112" i="2" s="1"/>
  <c r="J79" i="2"/>
  <c r="K79" i="2" s="1"/>
  <c r="J78" i="2"/>
  <c r="J75" i="2"/>
  <c r="K75" i="2" s="1"/>
  <c r="J74" i="2"/>
  <c r="J111" i="2"/>
  <c r="K111" i="2" s="1"/>
  <c r="J71" i="2"/>
  <c r="K71" i="2" s="1"/>
  <c r="J70" i="2"/>
  <c r="J69" i="2"/>
  <c r="K69" i="2" s="1"/>
  <c r="J68" i="2"/>
  <c r="K68" i="2" s="1"/>
  <c r="J50" i="2"/>
  <c r="K50" i="2" s="1"/>
  <c r="J96" i="2"/>
  <c r="K96" i="2" s="1"/>
  <c r="J63" i="2"/>
  <c r="K63" i="2" s="1"/>
  <c r="J62" i="2"/>
  <c r="K62" i="2" s="1"/>
  <c r="J61" i="2"/>
  <c r="K61" i="2" s="1"/>
  <c r="J60" i="2"/>
  <c r="J59" i="2"/>
  <c r="K59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J82" i="2"/>
  <c r="K82" i="2" s="1"/>
  <c r="J38" i="2"/>
  <c r="K3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7" i="2"/>
  <c r="K37" i="2" s="1"/>
  <c r="J36" i="2"/>
  <c r="J34" i="2"/>
  <c r="K34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J26" i="2"/>
  <c r="K26" i="2" s="1"/>
  <c r="J80" i="2"/>
  <c r="K80" i="2" s="1"/>
  <c r="J24" i="2"/>
  <c r="K24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J81" i="2"/>
  <c r="K81" i="2" s="1"/>
  <c r="J33" i="2"/>
  <c r="K33" i="2" s="1"/>
  <c r="W22" i="20" l="1"/>
  <c r="W18" i="20"/>
  <c r="W14" i="20"/>
  <c r="W11" i="20"/>
  <c r="W23" i="20"/>
  <c r="W19" i="20"/>
  <c r="W15" i="20"/>
  <c r="W25" i="20"/>
  <c r="W17" i="20"/>
  <c r="W10" i="20"/>
  <c r="W20" i="20"/>
  <c r="W12" i="20"/>
  <c r="W13" i="20"/>
  <c r="W21" i="20"/>
  <c r="W24" i="20"/>
  <c r="W16" i="20"/>
  <c r="T3" i="15"/>
  <c r="U66" i="19"/>
  <c r="S66" i="16"/>
  <c r="T42" i="15"/>
  <c r="T23" i="15" s="1"/>
  <c r="V62" i="21"/>
  <c r="V36" i="24"/>
  <c r="V48" i="21"/>
  <c r="W56" i="19"/>
  <c r="T66" i="23"/>
  <c r="U56" i="15"/>
  <c r="U48" i="14"/>
  <c r="W24" i="19"/>
  <c r="U42" i="24"/>
  <c r="U23" i="24" s="1"/>
  <c r="V29" i="18"/>
  <c r="V52" i="20"/>
  <c r="V78" i="20"/>
  <c r="V48" i="23"/>
  <c r="V48" i="24"/>
  <c r="V40" i="20"/>
  <c r="V43" i="22"/>
  <c r="U43" i="16"/>
  <c r="T42" i="14"/>
  <c r="T23" i="14" s="1"/>
  <c r="V43" i="21"/>
  <c r="V62" i="23"/>
  <c r="U58" i="20"/>
  <c r="U39" i="20" s="1"/>
  <c r="T66" i="18"/>
  <c r="T82" i="20"/>
  <c r="S66" i="15"/>
  <c r="U3" i="22"/>
  <c r="V3" i="19"/>
  <c r="U3" i="20"/>
  <c r="W5" i="19"/>
  <c r="W4" i="19" s="1"/>
  <c r="V5" i="20"/>
  <c r="V4" i="20" s="1"/>
  <c r="U5" i="13"/>
  <c r="U4" i="13" s="1"/>
  <c r="V5" i="18"/>
  <c r="V4" i="18" s="1"/>
  <c r="T3" i="14"/>
  <c r="U5" i="14"/>
  <c r="U4" i="14" s="1"/>
  <c r="U13" i="15"/>
  <c r="U11" i="15" s="1"/>
  <c r="V5" i="22"/>
  <c r="V4" i="22" s="1"/>
  <c r="U3" i="21"/>
  <c r="V43" i="24"/>
  <c r="V5" i="23"/>
  <c r="V4" i="23" s="1"/>
  <c r="U3" i="23"/>
  <c r="T66" i="24"/>
  <c r="V13" i="24"/>
  <c r="V11" i="24" s="1"/>
  <c r="V24" i="24"/>
  <c r="V29" i="24"/>
  <c r="V62" i="24"/>
  <c r="V56" i="24"/>
  <c r="U3" i="24"/>
  <c r="W65" i="24"/>
  <c r="W64" i="24"/>
  <c r="W60" i="24"/>
  <c r="W63" i="24"/>
  <c r="W61" i="24"/>
  <c r="W57" i="24"/>
  <c r="W53" i="24"/>
  <c r="W58" i="24"/>
  <c r="W55" i="24"/>
  <c r="W52" i="24"/>
  <c r="W51" i="24"/>
  <c r="W45" i="24"/>
  <c r="W38" i="24"/>
  <c r="W59" i="24"/>
  <c r="W50" i="24"/>
  <c r="W44" i="24"/>
  <c r="W41" i="24"/>
  <c r="W37" i="24"/>
  <c r="W47" i="24"/>
  <c r="W39" i="24"/>
  <c r="W49" i="24"/>
  <c r="W31" i="24"/>
  <c r="W54" i="24"/>
  <c r="W46" i="24"/>
  <c r="W40" i="24"/>
  <c r="W32" i="24"/>
  <c r="W28" i="24"/>
  <c r="W19" i="24"/>
  <c r="W15" i="24"/>
  <c r="W12" i="24"/>
  <c r="W35" i="24"/>
  <c r="W34" i="24"/>
  <c r="W30" i="24"/>
  <c r="W27" i="24"/>
  <c r="W22" i="24"/>
  <c r="W18" i="24"/>
  <c r="W14" i="24"/>
  <c r="W33" i="24"/>
  <c r="W26" i="24"/>
  <c r="W21" i="24"/>
  <c r="W9" i="24"/>
  <c r="X2" i="24"/>
  <c r="W7" i="24"/>
  <c r="W17" i="24"/>
  <c r="W8" i="24"/>
  <c r="W20" i="24"/>
  <c r="W16" i="24"/>
  <c r="W10" i="24"/>
  <c r="V5" i="24"/>
  <c r="V4" i="24" s="1"/>
  <c r="V43" i="23"/>
  <c r="V36" i="23"/>
  <c r="V13" i="23"/>
  <c r="V11" i="23" s="1"/>
  <c r="V29" i="23"/>
  <c r="U42" i="23"/>
  <c r="U23" i="23" s="1"/>
  <c r="W65" i="23"/>
  <c r="W64" i="23"/>
  <c r="W60" i="23"/>
  <c r="W63" i="23"/>
  <c r="W58" i="23"/>
  <c r="W55" i="23"/>
  <c r="W52" i="23"/>
  <c r="W54" i="23"/>
  <c r="W51" i="23"/>
  <c r="W61" i="23"/>
  <c r="W57" i="23"/>
  <c r="W53" i="23"/>
  <c r="W50" i="23"/>
  <c r="W47" i="23"/>
  <c r="W49" i="23"/>
  <c r="W46" i="23"/>
  <c r="W59" i="23"/>
  <c r="W45" i="23"/>
  <c r="W38" i="23"/>
  <c r="W34" i="23"/>
  <c r="W30" i="23"/>
  <c r="W27" i="23"/>
  <c r="W41" i="23"/>
  <c r="W37" i="23"/>
  <c r="W40" i="23"/>
  <c r="W32" i="23"/>
  <c r="W39" i="23"/>
  <c r="W26" i="23"/>
  <c r="W19" i="23"/>
  <c r="W33" i="23"/>
  <c r="W22" i="23"/>
  <c r="W18" i="23"/>
  <c r="W14" i="23"/>
  <c r="W21" i="23"/>
  <c r="W17" i="23"/>
  <c r="W44" i="23"/>
  <c r="W31" i="23"/>
  <c r="W9" i="23"/>
  <c r="W35" i="23"/>
  <c r="W20" i="23"/>
  <c r="W15" i="23"/>
  <c r="W12" i="23"/>
  <c r="W8" i="23"/>
  <c r="W28" i="23"/>
  <c r="W16" i="23"/>
  <c r="W10" i="23"/>
  <c r="W7" i="23"/>
  <c r="X2" i="23"/>
  <c r="V24" i="23"/>
  <c r="V56" i="23"/>
  <c r="T66" i="22"/>
  <c r="U42" i="22"/>
  <c r="U23" i="22" s="1"/>
  <c r="V62" i="22"/>
  <c r="V56" i="22"/>
  <c r="V13" i="22"/>
  <c r="V11" i="22" s="1"/>
  <c r="V24" i="22"/>
  <c r="V29" i="22"/>
  <c r="W60" i="22"/>
  <c r="W58" i="22"/>
  <c r="W44" i="22"/>
  <c r="W47" i="22"/>
  <c r="W53" i="22"/>
  <c r="W46" i="22"/>
  <c r="W19" i="22"/>
  <c r="W7" i="22"/>
  <c r="W37" i="22"/>
  <c r="W15" i="22"/>
  <c r="W18" i="22"/>
  <c r="W57" i="22"/>
  <c r="W54" i="22"/>
  <c r="W33" i="22"/>
  <c r="W31" i="22"/>
  <c r="W14" i="22"/>
  <c r="W30" i="22"/>
  <c r="W64" i="22"/>
  <c r="W59" i="22"/>
  <c r="W51" i="22"/>
  <c r="W50" i="22"/>
  <c r="W49" i="22"/>
  <c r="W27" i="22"/>
  <c r="W32" i="22"/>
  <c r="W21" i="22"/>
  <c r="W28" i="22"/>
  <c r="W35" i="22"/>
  <c r="W16" i="22"/>
  <c r="W26" i="22"/>
  <c r="W38" i="22"/>
  <c r="W17" i="22"/>
  <c r="W8" i="22"/>
  <c r="W10" i="22"/>
  <c r="W61" i="22"/>
  <c r="W55" i="22"/>
  <c r="W41" i="22"/>
  <c r="W40" i="22"/>
  <c r="W34" i="22"/>
  <c r="W45" i="22"/>
  <c r="W20" i="22"/>
  <c r="W22" i="22"/>
  <c r="X2" i="22"/>
  <c r="W65" i="22"/>
  <c r="W52" i="22"/>
  <c r="W63" i="22"/>
  <c r="W39" i="22"/>
  <c r="W12" i="22"/>
  <c r="W9" i="22"/>
  <c r="V36" i="22"/>
  <c r="V48" i="22"/>
  <c r="V5" i="21"/>
  <c r="V4" i="21" s="1"/>
  <c r="T66" i="21"/>
  <c r="W65" i="21"/>
  <c r="W61" i="21"/>
  <c r="W64" i="21"/>
  <c r="W60" i="21"/>
  <c r="W63" i="21"/>
  <c r="W54" i="21"/>
  <c r="W51" i="21"/>
  <c r="W59" i="21"/>
  <c r="W57" i="21"/>
  <c r="W55" i="21"/>
  <c r="W52" i="21"/>
  <c r="W50" i="21"/>
  <c r="W47" i="21"/>
  <c r="W58" i="21"/>
  <c r="W53" i="21"/>
  <c r="W46" i="21"/>
  <c r="W49" i="21"/>
  <c r="W45" i="21"/>
  <c r="W38" i="21"/>
  <c r="W34" i="21"/>
  <c r="W39" i="21"/>
  <c r="W33" i="21"/>
  <c r="W26" i="21"/>
  <c r="W41" i="21"/>
  <c r="W37" i="21"/>
  <c r="W32" i="21"/>
  <c r="W44" i="21"/>
  <c r="W40" i="21"/>
  <c r="W31" i="21"/>
  <c r="W28" i="21"/>
  <c r="W19" i="21"/>
  <c r="W35" i="21"/>
  <c r="W30" i="21"/>
  <c r="W22" i="21"/>
  <c r="W18" i="21"/>
  <c r="W21" i="21"/>
  <c r="W17" i="21"/>
  <c r="W27" i="21"/>
  <c r="W20" i="21"/>
  <c r="W16" i="21"/>
  <c r="W10" i="21"/>
  <c r="W15" i="21"/>
  <c r="W12" i="21"/>
  <c r="W9" i="21"/>
  <c r="X2" i="21"/>
  <c r="W14" i="21"/>
  <c r="W8" i="21"/>
  <c r="W7" i="21"/>
  <c r="V36" i="21"/>
  <c r="V24" i="21"/>
  <c r="U42" i="21"/>
  <c r="U23" i="21" s="1"/>
  <c r="U66" i="21" s="1"/>
  <c r="V13" i="21"/>
  <c r="V11" i="21" s="1"/>
  <c r="V29" i="21"/>
  <c r="V56" i="21"/>
  <c r="W81" i="20"/>
  <c r="W77" i="20"/>
  <c r="W80" i="20"/>
  <c r="W76" i="20"/>
  <c r="W79" i="20"/>
  <c r="W70" i="20"/>
  <c r="W67" i="20"/>
  <c r="W65" i="20"/>
  <c r="W75" i="20"/>
  <c r="W73" i="20"/>
  <c r="W71" i="20"/>
  <c r="W68" i="20"/>
  <c r="W60" i="20"/>
  <c r="W57" i="20"/>
  <c r="W74" i="20"/>
  <c r="W55" i="20"/>
  <c r="W51" i="20"/>
  <c r="W47" i="20"/>
  <c r="W44" i="20"/>
  <c r="W62" i="20"/>
  <c r="W54" i="20"/>
  <c r="W50" i="20"/>
  <c r="W66" i="20"/>
  <c r="W63" i="20"/>
  <c r="W53" i="20"/>
  <c r="W49" i="20"/>
  <c r="W56" i="20"/>
  <c r="W48" i="20"/>
  <c r="W43" i="20"/>
  <c r="W38" i="20"/>
  <c r="W34" i="20"/>
  <c r="W30" i="20"/>
  <c r="W69" i="20"/>
  <c r="W42" i="20"/>
  <c r="W37" i="20"/>
  <c r="W33" i="20"/>
  <c r="W61" i="20"/>
  <c r="W46" i="20"/>
  <c r="W36" i="20"/>
  <c r="W32" i="20"/>
  <c r="W26" i="20"/>
  <c r="W35" i="20"/>
  <c r="W31" i="20"/>
  <c r="W28" i="20"/>
  <c r="W8" i="20"/>
  <c r="W7" i="20"/>
  <c r="X2" i="20"/>
  <c r="W9" i="20"/>
  <c r="V59" i="20"/>
  <c r="V64" i="20"/>
  <c r="V72" i="20"/>
  <c r="V29" i="20"/>
  <c r="V27" i="20" s="1"/>
  <c r="V45" i="20"/>
  <c r="W48" i="19"/>
  <c r="W62" i="19"/>
  <c r="X64" i="19"/>
  <c r="X63" i="19"/>
  <c r="X59" i="19"/>
  <c r="X54" i="19"/>
  <c r="X61" i="19"/>
  <c r="X57" i="19"/>
  <c r="X53" i="19"/>
  <c r="X55" i="19"/>
  <c r="X49" i="19"/>
  <c r="X65" i="19"/>
  <c r="X58" i="19"/>
  <c r="X44" i="19"/>
  <c r="X41" i="19"/>
  <c r="X37" i="19"/>
  <c r="X33" i="19"/>
  <c r="X52" i="19"/>
  <c r="X51" i="19"/>
  <c r="X47" i="19"/>
  <c r="X40" i="19"/>
  <c r="X50" i="19"/>
  <c r="X46" i="19"/>
  <c r="X39" i="19"/>
  <c r="X30" i="19"/>
  <c r="X27" i="19"/>
  <c r="X60" i="19"/>
  <c r="X35" i="19"/>
  <c r="X26" i="19"/>
  <c r="X21" i="19"/>
  <c r="X45" i="19"/>
  <c r="X38" i="19"/>
  <c r="X34" i="19"/>
  <c r="X31" i="19"/>
  <c r="X19" i="19"/>
  <c r="X18" i="19"/>
  <c r="X22" i="19"/>
  <c r="X17" i="19"/>
  <c r="X20" i="19"/>
  <c r="X16" i="19"/>
  <c r="X10" i="19"/>
  <c r="X32" i="19"/>
  <c r="X28" i="19"/>
  <c r="X8" i="19"/>
  <c r="X7" i="19"/>
  <c r="Y2" i="19"/>
  <c r="X14" i="19"/>
  <c r="X12" i="19"/>
  <c r="X9" i="19"/>
  <c r="X15" i="19"/>
  <c r="W29" i="19"/>
  <c r="V42" i="19"/>
  <c r="V23" i="19" s="1"/>
  <c r="W13" i="19"/>
  <c r="W11" i="19" s="1"/>
  <c r="W36" i="19"/>
  <c r="W43" i="19"/>
  <c r="V24" i="18"/>
  <c r="U3" i="18"/>
  <c r="V36" i="18"/>
  <c r="V48" i="18"/>
  <c r="W65" i="18"/>
  <c r="W61" i="18"/>
  <c r="W57" i="18"/>
  <c r="W64" i="18"/>
  <c r="W60" i="18"/>
  <c r="W63" i="18"/>
  <c r="W54" i="18"/>
  <c r="W58" i="18"/>
  <c r="W53" i="18"/>
  <c r="W49" i="18"/>
  <c r="W55" i="18"/>
  <c r="W52" i="18"/>
  <c r="W51" i="18"/>
  <c r="W44" i="18"/>
  <c r="W41" i="18"/>
  <c r="W40" i="18"/>
  <c r="W50" i="18"/>
  <c r="W47" i="18"/>
  <c r="W46" i="18"/>
  <c r="W39" i="18"/>
  <c r="W59" i="18"/>
  <c r="W45" i="18"/>
  <c r="W35" i="18"/>
  <c r="W31" i="18"/>
  <c r="W28" i="18"/>
  <c r="W19" i="18"/>
  <c r="W38" i="18"/>
  <c r="W34" i="18"/>
  <c r="W30" i="18"/>
  <c r="W27" i="18"/>
  <c r="W22" i="18"/>
  <c r="W18" i="18"/>
  <c r="W37" i="18"/>
  <c r="W33" i="18"/>
  <c r="W32" i="18"/>
  <c r="W26" i="18"/>
  <c r="W20" i="18"/>
  <c r="W7" i="18"/>
  <c r="W16" i="18"/>
  <c r="W10" i="18"/>
  <c r="X2" i="18"/>
  <c r="W8" i="18"/>
  <c r="W21" i="18"/>
  <c r="W15" i="18"/>
  <c r="W12" i="18"/>
  <c r="W9" i="18"/>
  <c r="W17" i="18"/>
  <c r="W14" i="18"/>
  <c r="V13" i="18"/>
  <c r="V11" i="18" s="1"/>
  <c r="V43" i="18"/>
  <c r="V56" i="18"/>
  <c r="V62" i="18"/>
  <c r="U42" i="18"/>
  <c r="U23" i="18" s="1"/>
  <c r="T3" i="16"/>
  <c r="T42" i="16"/>
  <c r="T23" i="16" s="1"/>
  <c r="U29" i="16"/>
  <c r="U48" i="16"/>
  <c r="V65" i="16"/>
  <c r="V61" i="16"/>
  <c r="V57" i="16"/>
  <c r="V64" i="16"/>
  <c r="V54" i="16"/>
  <c r="V63" i="16"/>
  <c r="V60" i="16"/>
  <c r="V59" i="16"/>
  <c r="V49" i="16"/>
  <c r="V55" i="16"/>
  <c r="V52" i="16"/>
  <c r="V45" i="16"/>
  <c r="V51" i="16"/>
  <c r="V44" i="16"/>
  <c r="V41" i="16"/>
  <c r="V58" i="16"/>
  <c r="V53" i="16"/>
  <c r="V50" i="16"/>
  <c r="V47" i="16"/>
  <c r="V40" i="16"/>
  <c r="V46" i="16"/>
  <c r="V39" i="16"/>
  <c r="V35" i="16"/>
  <c r="V38" i="16"/>
  <c r="V34" i="16"/>
  <c r="V37" i="16"/>
  <c r="V33" i="16"/>
  <c r="V31" i="16"/>
  <c r="V28" i="16"/>
  <c r="V19" i="16"/>
  <c r="V15" i="16"/>
  <c r="V12" i="16"/>
  <c r="V30" i="16"/>
  <c r="V27" i="16"/>
  <c r="V22" i="16"/>
  <c r="V18" i="16"/>
  <c r="V26" i="16"/>
  <c r="V21" i="16"/>
  <c r="V17" i="16"/>
  <c r="V32" i="16"/>
  <c r="V20" i="16"/>
  <c r="V16" i="16"/>
  <c r="V9" i="16"/>
  <c r="W2" i="16"/>
  <c r="V7" i="16"/>
  <c r="V14" i="16"/>
  <c r="V8" i="16"/>
  <c r="V10" i="16"/>
  <c r="U24" i="16"/>
  <c r="U36" i="16"/>
  <c r="U62" i="16"/>
  <c r="U5" i="16"/>
  <c r="U4" i="16" s="1"/>
  <c r="U13" i="16"/>
  <c r="U11" i="16" s="1"/>
  <c r="U56" i="16"/>
  <c r="V65" i="15"/>
  <c r="V61" i="15"/>
  <c r="V57" i="15"/>
  <c r="V64" i="15"/>
  <c r="V54" i="15"/>
  <c r="V60" i="15"/>
  <c r="V58" i="15"/>
  <c r="V55" i="15"/>
  <c r="V52" i="15"/>
  <c r="V59" i="15"/>
  <c r="V63" i="15"/>
  <c r="V53" i="15"/>
  <c r="V51" i="15"/>
  <c r="V45" i="15"/>
  <c r="V38" i="15"/>
  <c r="V50" i="15"/>
  <c r="V44" i="15"/>
  <c r="V41" i="15"/>
  <c r="V37" i="15"/>
  <c r="V47" i="15"/>
  <c r="V40" i="15"/>
  <c r="V32" i="15"/>
  <c r="V33" i="15"/>
  <c r="V26" i="15"/>
  <c r="V20" i="15"/>
  <c r="V39" i="15"/>
  <c r="V35" i="15"/>
  <c r="V31" i="15"/>
  <c r="V28" i="15"/>
  <c r="V19" i="15"/>
  <c r="V15" i="15"/>
  <c r="V12" i="15"/>
  <c r="V49" i="15"/>
  <c r="V34" i="15"/>
  <c r="V30" i="15"/>
  <c r="V22" i="15"/>
  <c r="V21" i="15"/>
  <c r="V17" i="15"/>
  <c r="V46" i="15"/>
  <c r="V18" i="15"/>
  <c r="V14" i="15"/>
  <c r="V27" i="15"/>
  <c r="V10" i="15"/>
  <c r="V16" i="15"/>
  <c r="V9" i="15"/>
  <c r="W2" i="15"/>
  <c r="V8" i="15"/>
  <c r="V7" i="15"/>
  <c r="U5" i="15"/>
  <c r="U4" i="15" s="1"/>
  <c r="U29" i="15"/>
  <c r="U43" i="15"/>
  <c r="U24" i="15"/>
  <c r="U48" i="15"/>
  <c r="U62" i="15"/>
  <c r="U36" i="15"/>
  <c r="U29" i="14"/>
  <c r="S66" i="14"/>
  <c r="U13" i="14"/>
  <c r="U11" i="14" s="1"/>
  <c r="V65" i="14"/>
  <c r="V61" i="14"/>
  <c r="V57" i="14"/>
  <c r="V64" i="14"/>
  <c r="V63" i="14"/>
  <c r="V54" i="14"/>
  <c r="V59" i="14"/>
  <c r="V58" i="14"/>
  <c r="V55" i="14"/>
  <c r="V51" i="14"/>
  <c r="V60" i="14"/>
  <c r="V53" i="14"/>
  <c r="V50" i="14"/>
  <c r="V49" i="14"/>
  <c r="V47" i="14"/>
  <c r="V40" i="14"/>
  <c r="V32" i="14"/>
  <c r="V52" i="14"/>
  <c r="V46" i="14"/>
  <c r="V39" i="14"/>
  <c r="V35" i="14"/>
  <c r="V45" i="14"/>
  <c r="V38" i="14"/>
  <c r="V34" i="14"/>
  <c r="V30" i="14"/>
  <c r="V44" i="14"/>
  <c r="V33" i="14"/>
  <c r="V28" i="14"/>
  <c r="V17" i="14"/>
  <c r="V41" i="14"/>
  <c r="V37" i="14"/>
  <c r="V31" i="14"/>
  <c r="V27" i="14"/>
  <c r="V22" i="14"/>
  <c r="V20" i="14"/>
  <c r="V19" i="14"/>
  <c r="V15" i="14"/>
  <c r="V12" i="14"/>
  <c r="V9" i="14"/>
  <c r="W2" i="14"/>
  <c r="V8" i="14"/>
  <c r="V26" i="14"/>
  <c r="V21" i="14"/>
  <c r="V18" i="14"/>
  <c r="V14" i="14"/>
  <c r="V10" i="14"/>
  <c r="V7" i="14"/>
  <c r="V16" i="14"/>
  <c r="U36" i="14"/>
  <c r="U24" i="14"/>
  <c r="U43" i="14"/>
  <c r="U56" i="14"/>
  <c r="U62" i="14"/>
  <c r="U24" i="13"/>
  <c r="U56" i="13"/>
  <c r="T42" i="13"/>
  <c r="T23" i="13" s="1"/>
  <c r="U13" i="13"/>
  <c r="U11" i="13" s="1"/>
  <c r="U36" i="13"/>
  <c r="U48" i="13"/>
  <c r="U43" i="13"/>
  <c r="T3" i="13"/>
  <c r="U29" i="13"/>
  <c r="S66" i="13"/>
  <c r="V65" i="13"/>
  <c r="V61" i="13"/>
  <c r="V57" i="13"/>
  <c r="V64" i="13"/>
  <c r="V54" i="13"/>
  <c r="V50" i="13"/>
  <c r="V63" i="13"/>
  <c r="V59" i="13"/>
  <c r="V55" i="13"/>
  <c r="V51" i="13"/>
  <c r="V47" i="13"/>
  <c r="V60" i="13"/>
  <c r="V58" i="13"/>
  <c r="V46" i="13"/>
  <c r="V39" i="13"/>
  <c r="V35" i="13"/>
  <c r="V53" i="13"/>
  <c r="V49" i="13"/>
  <c r="V52" i="13"/>
  <c r="V45" i="13"/>
  <c r="V41" i="13"/>
  <c r="V37" i="13"/>
  <c r="V44" i="13"/>
  <c r="V40" i="13"/>
  <c r="V34" i="13"/>
  <c r="V33" i="13"/>
  <c r="V30" i="13"/>
  <c r="V27" i="13"/>
  <c r="V22" i="13"/>
  <c r="V18" i="13"/>
  <c r="V38" i="13"/>
  <c r="V32" i="13"/>
  <c r="V26" i="13"/>
  <c r="V21" i="13"/>
  <c r="V20" i="13"/>
  <c r="V16" i="13"/>
  <c r="V31" i="13"/>
  <c r="V28" i="13"/>
  <c r="V19" i="13"/>
  <c r="V17" i="13"/>
  <c r="V10" i="13"/>
  <c r="V15" i="13"/>
  <c r="V12" i="13"/>
  <c r="V9" i="13"/>
  <c r="V8" i="13"/>
  <c r="V7" i="13"/>
  <c r="V14" i="13"/>
  <c r="U62" i="13"/>
  <c r="N4" i="2"/>
  <c r="N125" i="2"/>
  <c r="N133" i="2"/>
  <c r="N5" i="2"/>
  <c r="N12" i="2"/>
  <c r="N13" i="2"/>
  <c r="N72" i="2"/>
  <c r="N134" i="2"/>
  <c r="N11" i="2"/>
  <c r="N115" i="2"/>
  <c r="N2" i="2"/>
  <c r="N65" i="2"/>
  <c r="N116" i="2"/>
  <c r="N127" i="2"/>
  <c r="H135" i="3"/>
  <c r="H137" i="3"/>
  <c r="H136" i="3"/>
  <c r="K120" i="2"/>
  <c r="N120" i="2" s="1"/>
  <c r="K74" i="2"/>
  <c r="J73" i="2"/>
  <c r="K73" i="2" s="1"/>
  <c r="K92" i="2"/>
  <c r="K27" i="2"/>
  <c r="J25" i="2"/>
  <c r="K25" i="2" s="1"/>
  <c r="K78" i="2"/>
  <c r="K77" i="2" s="1"/>
  <c r="J77" i="2"/>
  <c r="K51" i="2"/>
  <c r="J100" i="2"/>
  <c r="K100" i="2" s="1"/>
  <c r="K97" i="2"/>
  <c r="K104" i="2"/>
  <c r="K85" i="2"/>
  <c r="K70" i="2"/>
  <c r="K60" i="2"/>
  <c r="K36" i="2"/>
  <c r="J14" i="2"/>
  <c r="K14" i="2" s="1"/>
  <c r="K15" i="2"/>
  <c r="V3" i="22" l="1"/>
  <c r="X11" i="20"/>
  <c r="X20" i="20"/>
  <c r="X23" i="20"/>
  <c r="X19" i="20"/>
  <c r="X15" i="20"/>
  <c r="X24" i="20"/>
  <c r="X16" i="20"/>
  <c r="X12" i="20"/>
  <c r="X10" i="20"/>
  <c r="X18" i="20"/>
  <c r="X21" i="20"/>
  <c r="X17" i="20"/>
  <c r="X25" i="20"/>
  <c r="X22" i="20"/>
  <c r="X14" i="20"/>
  <c r="X13" i="20"/>
  <c r="T66" i="14"/>
  <c r="T66" i="15"/>
  <c r="V66" i="19"/>
  <c r="V42" i="22"/>
  <c r="V23" i="22" s="1"/>
  <c r="V42" i="21"/>
  <c r="V23" i="21" s="1"/>
  <c r="U82" i="20"/>
  <c r="W36" i="21"/>
  <c r="W43" i="23"/>
  <c r="V36" i="14"/>
  <c r="V62" i="16"/>
  <c r="W48" i="24"/>
  <c r="V48" i="15"/>
  <c r="W29" i="21"/>
  <c r="U66" i="24"/>
  <c r="W78" i="20"/>
  <c r="W24" i="24"/>
  <c r="V42" i="24"/>
  <c r="V23" i="24" s="1"/>
  <c r="V43" i="13"/>
  <c r="V29" i="15"/>
  <c r="V62" i="15"/>
  <c r="W42" i="19"/>
  <c r="W23" i="19" s="1"/>
  <c r="W43" i="21"/>
  <c r="V36" i="16"/>
  <c r="W48" i="21"/>
  <c r="V62" i="14"/>
  <c r="V58" i="20"/>
  <c r="V39" i="20" s="1"/>
  <c r="V43" i="14"/>
  <c r="W45" i="20"/>
  <c r="W62" i="21"/>
  <c r="W3" i="19"/>
  <c r="V3" i="20"/>
  <c r="U66" i="18"/>
  <c r="V3" i="23"/>
  <c r="U66" i="23"/>
  <c r="W5" i="23"/>
  <c r="W4" i="23" s="1"/>
  <c r="U66" i="22"/>
  <c r="U3" i="14"/>
  <c r="X13" i="19"/>
  <c r="X11" i="19" s="1"/>
  <c r="T66" i="16"/>
  <c r="U3" i="13"/>
  <c r="V3" i="24"/>
  <c r="U3" i="15"/>
  <c r="V13" i="15"/>
  <c r="V11" i="15" s="1"/>
  <c r="V13" i="14"/>
  <c r="V11" i="14" s="1"/>
  <c r="V13" i="16"/>
  <c r="V11" i="16" s="1"/>
  <c r="W13" i="18"/>
  <c r="W11" i="18" s="1"/>
  <c r="W62" i="24"/>
  <c r="W5" i="24"/>
  <c r="W4" i="24" s="1"/>
  <c r="W48" i="23"/>
  <c r="X64" i="24"/>
  <c r="X63" i="24"/>
  <c r="X59" i="24"/>
  <c r="X60" i="24"/>
  <c r="X61" i="24"/>
  <c r="X57" i="24"/>
  <c r="X50" i="24"/>
  <c r="X65" i="24"/>
  <c r="X53" i="24"/>
  <c r="X52" i="24"/>
  <c r="X51" i="24"/>
  <c r="X44" i="24"/>
  <c r="X41" i="24"/>
  <c r="X37" i="24"/>
  <c r="X58" i="24"/>
  <c r="X54" i="24"/>
  <c r="X49" i="24"/>
  <c r="X47" i="24"/>
  <c r="X40" i="24"/>
  <c r="X55" i="24"/>
  <c r="X45" i="24"/>
  <c r="X39" i="24"/>
  <c r="X46" i="24"/>
  <c r="X38" i="24"/>
  <c r="X34" i="24"/>
  <c r="X35" i="24"/>
  <c r="X31" i="24"/>
  <c r="X30" i="24"/>
  <c r="X27" i="24"/>
  <c r="X22" i="24"/>
  <c r="X18" i="24"/>
  <c r="X14" i="24"/>
  <c r="X33" i="24"/>
  <c r="X26" i="24"/>
  <c r="X21" i="24"/>
  <c r="X17" i="24"/>
  <c r="X20" i="24"/>
  <c r="X32" i="24"/>
  <c r="X28" i="24"/>
  <c r="X19" i="24"/>
  <c r="X15" i="24"/>
  <c r="X8" i="24"/>
  <c r="X10" i="24"/>
  <c r="X7" i="24"/>
  <c r="X16" i="24"/>
  <c r="Y2" i="24"/>
  <c r="X12" i="24"/>
  <c r="X9" i="24"/>
  <c r="W36" i="24"/>
  <c r="W56" i="24"/>
  <c r="W43" i="24"/>
  <c r="W13" i="24"/>
  <c r="W11" i="24" s="1"/>
  <c r="W29" i="24"/>
  <c r="X64" i="23"/>
  <c r="X63" i="23"/>
  <c r="X59" i="23"/>
  <c r="X54" i="23"/>
  <c r="X51" i="23"/>
  <c r="X61" i="23"/>
  <c r="X57" i="23"/>
  <c r="X53" i="23"/>
  <c r="X50" i="23"/>
  <c r="X60" i="23"/>
  <c r="X49" i="23"/>
  <c r="X46" i="23"/>
  <c r="X58" i="23"/>
  <c r="X45" i="23"/>
  <c r="X65" i="23"/>
  <c r="X44" i="23"/>
  <c r="X55" i="23"/>
  <c r="X41" i="23"/>
  <c r="X37" i="23"/>
  <c r="X33" i="23"/>
  <c r="X26" i="23"/>
  <c r="X47" i="23"/>
  <c r="X40" i="23"/>
  <c r="X52" i="23"/>
  <c r="X39" i="23"/>
  <c r="X35" i="23"/>
  <c r="X31" i="23"/>
  <c r="X22" i="23"/>
  <c r="X38" i="23"/>
  <c r="X32" i="23"/>
  <c r="X21" i="23"/>
  <c r="X17" i="23"/>
  <c r="X28" i="23"/>
  <c r="X20" i="23"/>
  <c r="X16" i="23"/>
  <c r="X15" i="23"/>
  <c r="X12" i="23"/>
  <c r="X8" i="23"/>
  <c r="X34" i="23"/>
  <c r="X30" i="23"/>
  <c r="X14" i="23"/>
  <c r="X7" i="23"/>
  <c r="X27" i="23"/>
  <c r="X19" i="23"/>
  <c r="X18" i="23"/>
  <c r="X10" i="23"/>
  <c r="X9" i="23"/>
  <c r="Y2" i="23"/>
  <c r="W24" i="23"/>
  <c r="W36" i="23"/>
  <c r="W62" i="23"/>
  <c r="W56" i="23"/>
  <c r="V42" i="23"/>
  <c r="V23" i="23" s="1"/>
  <c r="W13" i="23"/>
  <c r="W11" i="23" s="1"/>
  <c r="W29" i="23"/>
  <c r="W62" i="22"/>
  <c r="W24" i="22"/>
  <c r="W29" i="22"/>
  <c r="W36" i="22"/>
  <c r="W13" i="22"/>
  <c r="W11" i="22" s="1"/>
  <c r="W56" i="22"/>
  <c r="W5" i="22"/>
  <c r="W4" i="22" s="1"/>
  <c r="W43" i="22"/>
  <c r="X60" i="22"/>
  <c r="X55" i="22"/>
  <c r="X40" i="22"/>
  <c r="X46" i="22"/>
  <c r="X37" i="22"/>
  <c r="X57" i="22"/>
  <c r="X31" i="22"/>
  <c r="X16" i="22"/>
  <c r="X30" i="22"/>
  <c r="X14" i="22"/>
  <c r="Y2" i="22"/>
  <c r="X9" i="22"/>
  <c r="X64" i="22"/>
  <c r="X58" i="22"/>
  <c r="X52" i="22"/>
  <c r="X65" i="22"/>
  <c r="X39" i="22"/>
  <c r="X33" i="22"/>
  <c r="X45" i="22"/>
  <c r="X28" i="22"/>
  <c r="X10" i="22"/>
  <c r="X27" i="22"/>
  <c r="X21" i="22"/>
  <c r="X17" i="22"/>
  <c r="X63" i="22"/>
  <c r="X54" i="22"/>
  <c r="X50" i="22"/>
  <c r="X53" i="22"/>
  <c r="X61" i="22"/>
  <c r="X26" i="22"/>
  <c r="X41" i="22"/>
  <c r="X34" i="22"/>
  <c r="X19" i="22"/>
  <c r="X22" i="22"/>
  <c r="X12" i="22"/>
  <c r="X8" i="22"/>
  <c r="X59" i="22"/>
  <c r="X51" i="22"/>
  <c r="X47" i="22"/>
  <c r="X49" i="22"/>
  <c r="X44" i="22"/>
  <c r="X32" i="22"/>
  <c r="X35" i="22"/>
  <c r="X20" i="22"/>
  <c r="X38" i="22"/>
  <c r="X18" i="22"/>
  <c r="X7" i="22"/>
  <c r="X15" i="22"/>
  <c r="W48" i="22"/>
  <c r="W5" i="21"/>
  <c r="W4" i="21" s="1"/>
  <c r="W24" i="21"/>
  <c r="X64" i="21"/>
  <c r="X60" i="21"/>
  <c r="X63" i="21"/>
  <c r="X59" i="21"/>
  <c r="X57" i="21"/>
  <c r="X53" i="21"/>
  <c r="X58" i="21"/>
  <c r="X54" i="21"/>
  <c r="X51" i="21"/>
  <c r="X49" i="21"/>
  <c r="X61" i="21"/>
  <c r="X65" i="21"/>
  <c r="X50" i="21"/>
  <c r="X45" i="21"/>
  <c r="X52" i="21"/>
  <c r="X44" i="21"/>
  <c r="X41" i="21"/>
  <c r="X37" i="21"/>
  <c r="X33" i="21"/>
  <c r="X47" i="21"/>
  <c r="X38" i="21"/>
  <c r="X32" i="21"/>
  <c r="X46" i="21"/>
  <c r="X40" i="21"/>
  <c r="X31" i="21"/>
  <c r="X28" i="21"/>
  <c r="X55" i="21"/>
  <c r="X35" i="21"/>
  <c r="X30" i="21"/>
  <c r="X27" i="21"/>
  <c r="X22" i="21"/>
  <c r="X18" i="21"/>
  <c r="X21" i="21"/>
  <c r="X17" i="21"/>
  <c r="X39" i="21"/>
  <c r="X16" i="21"/>
  <c r="X20" i="21"/>
  <c r="X34" i="21"/>
  <c r="X26" i="21"/>
  <c r="X19" i="21"/>
  <c r="X10" i="21"/>
  <c r="X15" i="21"/>
  <c r="X12" i="21"/>
  <c r="X9" i="21"/>
  <c r="X14" i="21"/>
  <c r="X8" i="21"/>
  <c r="Y2" i="21"/>
  <c r="X7" i="21"/>
  <c r="V3" i="21"/>
  <c r="W13" i="21"/>
  <c r="W11" i="21" s="1"/>
  <c r="W56" i="21"/>
  <c r="X80" i="20"/>
  <c r="X76" i="20"/>
  <c r="X79" i="20"/>
  <c r="X75" i="20"/>
  <c r="X73" i="20"/>
  <c r="X69" i="20"/>
  <c r="X71" i="20"/>
  <c r="X68" i="20"/>
  <c r="X81" i="20"/>
  <c r="X74" i="20"/>
  <c r="X70" i="20"/>
  <c r="X67" i="20"/>
  <c r="X66" i="20"/>
  <c r="X63" i="20"/>
  <c r="X56" i="20"/>
  <c r="X62" i="20"/>
  <c r="X54" i="20"/>
  <c r="X50" i="20"/>
  <c r="X46" i="20"/>
  <c r="X43" i="20"/>
  <c r="X53" i="20"/>
  <c r="X49" i="20"/>
  <c r="X61" i="20"/>
  <c r="X57" i="20"/>
  <c r="X48" i="20"/>
  <c r="X77" i="20"/>
  <c r="X47" i="20"/>
  <c r="X42" i="20"/>
  <c r="X37" i="20"/>
  <c r="X33" i="20"/>
  <c r="X60" i="20"/>
  <c r="X51" i="20"/>
  <c r="X36" i="20"/>
  <c r="X32" i="20"/>
  <c r="X35" i="20"/>
  <c r="X55" i="20"/>
  <c r="X9" i="20"/>
  <c r="X65" i="20"/>
  <c r="X44" i="20"/>
  <c r="X7" i="20"/>
  <c r="X38" i="20"/>
  <c r="X34" i="20"/>
  <c r="X30" i="20"/>
  <c r="X26" i="20"/>
  <c r="X8" i="20"/>
  <c r="Y2" i="20"/>
  <c r="X31" i="20"/>
  <c r="X28" i="20"/>
  <c r="W5" i="20"/>
  <c r="W4" i="20" s="1"/>
  <c r="W40" i="20"/>
  <c r="W72" i="20"/>
  <c r="W52" i="20"/>
  <c r="W59" i="20"/>
  <c r="W29" i="20"/>
  <c r="W27" i="20" s="1"/>
  <c r="W64" i="20"/>
  <c r="X36" i="19"/>
  <c r="X56" i="19"/>
  <c r="X62" i="19"/>
  <c r="X48" i="19"/>
  <c r="Y63" i="19"/>
  <c r="Y58" i="19"/>
  <c r="Y65" i="19"/>
  <c r="Y61" i="19"/>
  <c r="Y57" i="19"/>
  <c r="Y53" i="19"/>
  <c r="Y64" i="19"/>
  <c r="Y60" i="19"/>
  <c r="Y59" i="19"/>
  <c r="Y54" i="19"/>
  <c r="Y55" i="19"/>
  <c r="Y52" i="19"/>
  <c r="Y51" i="19"/>
  <c r="Y47" i="19"/>
  <c r="Y40" i="19"/>
  <c r="Y32" i="19"/>
  <c r="Y50" i="19"/>
  <c r="Y46" i="19"/>
  <c r="Y39" i="19"/>
  <c r="Y49" i="19"/>
  <c r="Y45" i="19"/>
  <c r="Y38" i="19"/>
  <c r="Y35" i="19"/>
  <c r="Y26" i="19"/>
  <c r="Y41" i="19"/>
  <c r="Y34" i="19"/>
  <c r="Y20" i="19"/>
  <c r="Y30" i="19"/>
  <c r="Y22" i="19"/>
  <c r="Y17" i="19"/>
  <c r="Y33" i="19"/>
  <c r="Y21" i="19"/>
  <c r="Y16" i="19"/>
  <c r="Y44" i="19"/>
  <c r="Y37" i="19"/>
  <c r="Y28" i="19"/>
  <c r="Y15" i="19"/>
  <c r="Y12" i="19"/>
  <c r="Y9" i="19"/>
  <c r="Y31" i="19"/>
  <c r="Y27" i="19"/>
  <c r="Y19" i="19"/>
  <c r="Y14" i="19"/>
  <c r="Y7" i="19"/>
  <c r="Y18" i="19"/>
  <c r="Y10" i="19"/>
  <c r="Z2" i="19"/>
  <c r="Y8" i="19"/>
  <c r="X43" i="19"/>
  <c r="X5" i="19"/>
  <c r="X4" i="19" s="1"/>
  <c r="X24" i="19"/>
  <c r="X29" i="19"/>
  <c r="W62" i="18"/>
  <c r="W36" i="18"/>
  <c r="V42" i="18"/>
  <c r="V23" i="18" s="1"/>
  <c r="W56" i="18"/>
  <c r="W5" i="18"/>
  <c r="W4" i="18" s="1"/>
  <c r="W43" i="18"/>
  <c r="W48" i="18"/>
  <c r="V3" i="18"/>
  <c r="X64" i="18"/>
  <c r="X60" i="18"/>
  <c r="X63" i="18"/>
  <c r="X59" i="18"/>
  <c r="X55" i="18"/>
  <c r="X58" i="18"/>
  <c r="X65" i="18"/>
  <c r="X57" i="18"/>
  <c r="X52" i="18"/>
  <c r="X54" i="18"/>
  <c r="X51" i="18"/>
  <c r="X40" i="18"/>
  <c r="X50" i="18"/>
  <c r="X47" i="18"/>
  <c r="X46" i="18"/>
  <c r="X39" i="18"/>
  <c r="X61" i="18"/>
  <c r="X53" i="18"/>
  <c r="X49" i="18"/>
  <c r="X45" i="18"/>
  <c r="X38" i="18"/>
  <c r="X44" i="18"/>
  <c r="X41" i="18"/>
  <c r="X34" i="18"/>
  <c r="X30" i="18"/>
  <c r="X27" i="18"/>
  <c r="X22" i="18"/>
  <c r="X18" i="18"/>
  <c r="X37" i="18"/>
  <c r="X33" i="18"/>
  <c r="X26" i="18"/>
  <c r="X21" i="18"/>
  <c r="X17" i="18"/>
  <c r="X32" i="18"/>
  <c r="X35" i="18"/>
  <c r="X31" i="18"/>
  <c r="X28" i="18"/>
  <c r="X16" i="18"/>
  <c r="X10" i="18"/>
  <c r="X19" i="18"/>
  <c r="X15" i="18"/>
  <c r="X12" i="18"/>
  <c r="X9" i="18"/>
  <c r="Y2" i="18"/>
  <c r="X7" i="18"/>
  <c r="X14" i="18"/>
  <c r="X8" i="18"/>
  <c r="X20" i="18"/>
  <c r="W29" i="18"/>
  <c r="W24" i="18"/>
  <c r="U42" i="16"/>
  <c r="U23" i="16" s="1"/>
  <c r="V5" i="16"/>
  <c r="V4" i="16" s="1"/>
  <c r="V24" i="16"/>
  <c r="V29" i="16"/>
  <c r="V48" i="16"/>
  <c r="U3" i="16"/>
  <c r="W65" i="16"/>
  <c r="W61" i="16"/>
  <c r="W64" i="16"/>
  <c r="W60" i="16"/>
  <c r="W63" i="16"/>
  <c r="W57" i="16"/>
  <c r="W53" i="16"/>
  <c r="W59" i="16"/>
  <c r="W58" i="16"/>
  <c r="W55" i="16"/>
  <c r="W52" i="16"/>
  <c r="W51" i="16"/>
  <c r="W54" i="16"/>
  <c r="W50" i="16"/>
  <c r="W47" i="16"/>
  <c r="W40" i="16"/>
  <c r="W49" i="16"/>
  <c r="W46" i="16"/>
  <c r="W44" i="16"/>
  <c r="W39" i="16"/>
  <c r="W35" i="16"/>
  <c r="W38" i="16"/>
  <c r="W34" i="16"/>
  <c r="W45" i="16"/>
  <c r="W37" i="16"/>
  <c r="W33" i="16"/>
  <c r="W41" i="16"/>
  <c r="W32" i="16"/>
  <c r="W30" i="16"/>
  <c r="W27" i="16"/>
  <c r="W22" i="16"/>
  <c r="W18" i="16"/>
  <c r="W14" i="16"/>
  <c r="W26" i="16"/>
  <c r="W21" i="16"/>
  <c r="W17" i="16"/>
  <c r="W20" i="16"/>
  <c r="W16" i="16"/>
  <c r="W10" i="16"/>
  <c r="W31" i="16"/>
  <c r="W28" i="16"/>
  <c r="W19" i="16"/>
  <c r="X2" i="16"/>
  <c r="W15" i="16"/>
  <c r="W12" i="16"/>
  <c r="W8" i="16"/>
  <c r="W7" i="16"/>
  <c r="W9" i="16"/>
  <c r="V56" i="16"/>
  <c r="V43" i="16"/>
  <c r="V36" i="15"/>
  <c r="V56" i="15"/>
  <c r="U42" i="15"/>
  <c r="U23" i="15" s="1"/>
  <c r="W65" i="15"/>
  <c r="W61" i="15"/>
  <c r="W64" i="15"/>
  <c r="W60" i="15"/>
  <c r="W63" i="15"/>
  <c r="W57" i="15"/>
  <c r="W53" i="15"/>
  <c r="W58" i="15"/>
  <c r="W55" i="15"/>
  <c r="W52" i="15"/>
  <c r="W59" i="15"/>
  <c r="W54" i="15"/>
  <c r="W51" i="15"/>
  <c r="W50" i="15"/>
  <c r="W44" i="15"/>
  <c r="W41" i="15"/>
  <c r="W37" i="15"/>
  <c r="W47" i="15"/>
  <c r="W40" i="15"/>
  <c r="W49" i="15"/>
  <c r="W46" i="15"/>
  <c r="W39" i="15"/>
  <c r="W35" i="15"/>
  <c r="W31" i="15"/>
  <c r="W45" i="15"/>
  <c r="W32" i="15"/>
  <c r="W28" i="15"/>
  <c r="W19" i="15"/>
  <c r="W34" i="15"/>
  <c r="W30" i="15"/>
  <c r="W27" i="15"/>
  <c r="W22" i="15"/>
  <c r="W18" i="15"/>
  <c r="W14" i="15"/>
  <c r="W26" i="15"/>
  <c r="W21" i="15"/>
  <c r="W33" i="15"/>
  <c r="W38" i="15"/>
  <c r="W20" i="15"/>
  <c r="W16" i="15"/>
  <c r="W15" i="15"/>
  <c r="W17" i="15"/>
  <c r="W9" i="15"/>
  <c r="W12" i="15"/>
  <c r="W8" i="15"/>
  <c r="W7" i="15"/>
  <c r="W10" i="15"/>
  <c r="X2" i="15"/>
  <c r="V43" i="15"/>
  <c r="V5" i="15"/>
  <c r="V4" i="15" s="1"/>
  <c r="V24" i="15"/>
  <c r="V5" i="14"/>
  <c r="V4" i="14" s="1"/>
  <c r="V56" i="14"/>
  <c r="U42" i="14"/>
  <c r="U23" i="14" s="1"/>
  <c r="V24" i="14"/>
  <c r="V48" i="14"/>
  <c r="V29" i="14"/>
  <c r="W65" i="14"/>
  <c r="W64" i="14"/>
  <c r="W60" i="14"/>
  <c r="W63" i="14"/>
  <c r="W61" i="14"/>
  <c r="W57" i="14"/>
  <c r="W53" i="14"/>
  <c r="W50" i="14"/>
  <c r="W54" i="14"/>
  <c r="W52" i="14"/>
  <c r="W59" i="14"/>
  <c r="W58" i="14"/>
  <c r="W55" i="14"/>
  <c r="W51" i="14"/>
  <c r="W49" i="14"/>
  <c r="W47" i="14"/>
  <c r="W46" i="14"/>
  <c r="W39" i="14"/>
  <c r="W35" i="14"/>
  <c r="W31" i="14"/>
  <c r="W40" i="14"/>
  <c r="W32" i="14"/>
  <c r="W28" i="14"/>
  <c r="W45" i="14"/>
  <c r="W38" i="14"/>
  <c r="W34" i="14"/>
  <c r="W44" i="14"/>
  <c r="W41" i="14"/>
  <c r="W37" i="14"/>
  <c r="W33" i="14"/>
  <c r="W27" i="14"/>
  <c r="W22" i="14"/>
  <c r="W20" i="14"/>
  <c r="W16" i="14"/>
  <c r="W26" i="14"/>
  <c r="W21" i="14"/>
  <c r="W19" i="14"/>
  <c r="W30" i="14"/>
  <c r="W18" i="14"/>
  <c r="W14" i="14"/>
  <c r="W8" i="14"/>
  <c r="W7" i="14"/>
  <c r="W15" i="14"/>
  <c r="W12" i="14"/>
  <c r="W9" i="14"/>
  <c r="W17" i="14"/>
  <c r="W10" i="14"/>
  <c r="X2" i="14"/>
  <c r="V62" i="13"/>
  <c r="V48" i="13"/>
  <c r="T66" i="13"/>
  <c r="V13" i="13"/>
  <c r="V11" i="13" s="1"/>
  <c r="V5" i="13"/>
  <c r="V4" i="13" s="1"/>
  <c r="V29" i="13"/>
  <c r="V56" i="13"/>
  <c r="U42" i="13"/>
  <c r="U23" i="13" s="1"/>
  <c r="U66" i="13" s="1"/>
  <c r="V36" i="13"/>
  <c r="W65" i="13"/>
  <c r="W61" i="13"/>
  <c r="W64" i="13"/>
  <c r="W60" i="13"/>
  <c r="W63" i="13"/>
  <c r="W57" i="13"/>
  <c r="W53" i="13"/>
  <c r="W58" i="13"/>
  <c r="W55" i="13"/>
  <c r="W46" i="13"/>
  <c r="W54" i="13"/>
  <c r="W50" i="13"/>
  <c r="W49" i="13"/>
  <c r="W45" i="13"/>
  <c r="W38" i="13"/>
  <c r="W59" i="13"/>
  <c r="W52" i="13"/>
  <c r="W51" i="13"/>
  <c r="W47" i="13"/>
  <c r="W44" i="13"/>
  <c r="W40" i="13"/>
  <c r="W39" i="13"/>
  <c r="W33" i="13"/>
  <c r="W37" i="13"/>
  <c r="W32" i="13"/>
  <c r="W26" i="13"/>
  <c r="W21" i="13"/>
  <c r="W17" i="13"/>
  <c r="W41" i="13"/>
  <c r="W20" i="13"/>
  <c r="W35" i="13"/>
  <c r="W31" i="13"/>
  <c r="W28" i="13"/>
  <c r="W19" i="13"/>
  <c r="W15" i="13"/>
  <c r="W34" i="13"/>
  <c r="W30" i="13"/>
  <c r="W27" i="13"/>
  <c r="W22" i="13"/>
  <c r="W18" i="13"/>
  <c r="W10" i="13"/>
  <c r="W16" i="13"/>
  <c r="W12" i="13"/>
  <c r="W9" i="13"/>
  <c r="W14" i="13"/>
  <c r="W8" i="13"/>
  <c r="W7" i="13"/>
  <c r="V24" i="13"/>
  <c r="N139" i="2"/>
  <c r="J35" i="2"/>
  <c r="K35" i="2" s="1"/>
  <c r="V66" i="22" l="1"/>
  <c r="Y23" i="20"/>
  <c r="Y19" i="20"/>
  <c r="Y15" i="20"/>
  <c r="Y12" i="20"/>
  <c r="Y24" i="20"/>
  <c r="Y20" i="20"/>
  <c r="Y16" i="20"/>
  <c r="Y18" i="20"/>
  <c r="Y21" i="20"/>
  <c r="Y13" i="20"/>
  <c r="Y22" i="20"/>
  <c r="Y17" i="20"/>
  <c r="Y14" i="20"/>
  <c r="Y10" i="20"/>
  <c r="Y11" i="20"/>
  <c r="Y25" i="20"/>
  <c r="V66" i="23"/>
  <c r="U66" i="15"/>
  <c r="V82" i="20"/>
  <c r="X24" i="22"/>
  <c r="W42" i="21"/>
  <c r="W23" i="21" s="1"/>
  <c r="X48" i="24"/>
  <c r="X62" i="22"/>
  <c r="X36" i="18"/>
  <c r="X43" i="22"/>
  <c r="W62" i="16"/>
  <c r="W48" i="15"/>
  <c r="W66" i="19"/>
  <c r="V42" i="15"/>
  <c r="V23" i="15" s="1"/>
  <c r="X64" i="20"/>
  <c r="V42" i="14"/>
  <c r="V23" i="14" s="1"/>
  <c r="W43" i="13"/>
  <c r="W36" i="13"/>
  <c r="Y36" i="19"/>
  <c r="W29" i="13"/>
  <c r="W62" i="13"/>
  <c r="Y43" i="19"/>
  <c r="W58" i="20"/>
  <c r="W39" i="20" s="1"/>
  <c r="W42" i="24"/>
  <c r="W23" i="24" s="1"/>
  <c r="X42" i="19"/>
  <c r="X23" i="19" s="1"/>
  <c r="W36" i="14"/>
  <c r="W43" i="14"/>
  <c r="W62" i="15"/>
  <c r="X48" i="18"/>
  <c r="W24" i="15"/>
  <c r="W36" i="16"/>
  <c r="W48" i="16"/>
  <c r="X48" i="22"/>
  <c r="U66" i="14"/>
  <c r="V66" i="24"/>
  <c r="W3" i="23"/>
  <c r="X3" i="19"/>
  <c r="X5" i="23"/>
  <c r="X4" i="23" s="1"/>
  <c r="X13" i="18"/>
  <c r="X11" i="18" s="1"/>
  <c r="X5" i="24"/>
  <c r="X4" i="24" s="1"/>
  <c r="X29" i="23"/>
  <c r="W42" i="23"/>
  <c r="W23" i="23" s="1"/>
  <c r="Y63" i="24"/>
  <c r="Y58" i="24"/>
  <c r="Y65" i="24"/>
  <c r="Y61" i="24"/>
  <c r="Y59" i="24"/>
  <c r="Y55" i="24"/>
  <c r="Y52" i="24"/>
  <c r="Y64" i="24"/>
  <c r="Y60" i="24"/>
  <c r="Y54" i="24"/>
  <c r="Y49" i="24"/>
  <c r="Y50" i="24"/>
  <c r="Y47" i="24"/>
  <c r="Y40" i="24"/>
  <c r="Y46" i="24"/>
  <c r="Y39" i="24"/>
  <c r="Y35" i="24"/>
  <c r="Y44" i="24"/>
  <c r="Y53" i="24"/>
  <c r="Y51" i="24"/>
  <c r="Y38" i="24"/>
  <c r="Y34" i="24"/>
  <c r="Y57" i="24"/>
  <c r="Y41" i="24"/>
  <c r="Y37" i="24"/>
  <c r="Y33" i="24"/>
  <c r="Y45" i="24"/>
  <c r="Y26" i="24"/>
  <c r="Y21" i="24"/>
  <c r="Y17" i="24"/>
  <c r="Y20" i="24"/>
  <c r="Y16" i="24"/>
  <c r="Y32" i="24"/>
  <c r="Y28" i="24"/>
  <c r="Y19" i="24"/>
  <c r="Y31" i="24"/>
  <c r="Y30" i="24"/>
  <c r="Y27" i="24"/>
  <c r="Y18" i="24"/>
  <c r="Y14" i="24"/>
  <c r="Y7" i="24"/>
  <c r="Y12" i="24"/>
  <c r="Y22" i="24"/>
  <c r="Y10" i="24"/>
  <c r="Y9" i="24"/>
  <c r="Z2" i="24"/>
  <c r="Y15" i="24"/>
  <c r="Y8" i="24"/>
  <c r="X24" i="24"/>
  <c r="X36" i="24"/>
  <c r="X56" i="24"/>
  <c r="X62" i="24"/>
  <c r="X13" i="24"/>
  <c r="X11" i="24" s="1"/>
  <c r="X29" i="24"/>
  <c r="X43" i="24"/>
  <c r="W3" i="24"/>
  <c r="X62" i="23"/>
  <c r="X13" i="23"/>
  <c r="X11" i="23" s="1"/>
  <c r="X24" i="23"/>
  <c r="Y63" i="23"/>
  <c r="Y58" i="23"/>
  <c r="Y65" i="23"/>
  <c r="Y64" i="23"/>
  <c r="Y61" i="23"/>
  <c r="Y57" i="23"/>
  <c r="Y53" i="23"/>
  <c r="Y60" i="23"/>
  <c r="Y49" i="23"/>
  <c r="Y59" i="23"/>
  <c r="Y55" i="23"/>
  <c r="Y52" i="23"/>
  <c r="Y54" i="23"/>
  <c r="Y45" i="23"/>
  <c r="Y44" i="23"/>
  <c r="Y47" i="23"/>
  <c r="Y40" i="23"/>
  <c r="Y32" i="23"/>
  <c r="Y50" i="23"/>
  <c r="Y39" i="23"/>
  <c r="Y35" i="23"/>
  <c r="Y51" i="23"/>
  <c r="Y46" i="23"/>
  <c r="Y38" i="23"/>
  <c r="Y34" i="23"/>
  <c r="Y30" i="23"/>
  <c r="Y33" i="23"/>
  <c r="Y21" i="23"/>
  <c r="Y28" i="23"/>
  <c r="Y20" i="23"/>
  <c r="Y16" i="23"/>
  <c r="Y41" i="23"/>
  <c r="Y37" i="23"/>
  <c r="Y31" i="23"/>
  <c r="Y27" i="23"/>
  <c r="Y19" i="23"/>
  <c r="Y15" i="23"/>
  <c r="Y14" i="23"/>
  <c r="Y7" i="23"/>
  <c r="Y26" i="23"/>
  <c r="Y18" i="23"/>
  <c r="Y10" i="23"/>
  <c r="Y17" i="23"/>
  <c r="Y9" i="23"/>
  <c r="Y22" i="23"/>
  <c r="Y12" i="23"/>
  <c r="Y8" i="23"/>
  <c r="Z2" i="23"/>
  <c r="X43" i="23"/>
  <c r="X36" i="23"/>
  <c r="X48" i="23"/>
  <c r="X56" i="23"/>
  <c r="X29" i="22"/>
  <c r="X36" i="22"/>
  <c r="W3" i="22"/>
  <c r="X5" i="22"/>
  <c r="X4" i="22" s="1"/>
  <c r="Y59" i="22"/>
  <c r="Y57" i="22"/>
  <c r="Y47" i="22"/>
  <c r="Y39" i="22"/>
  <c r="Y32" i="22"/>
  <c r="Y40" i="22"/>
  <c r="Y19" i="22"/>
  <c r="Y44" i="22"/>
  <c r="Y22" i="22"/>
  <c r="Y21" i="22"/>
  <c r="Y20" i="22"/>
  <c r="Y10" i="22"/>
  <c r="Y58" i="22"/>
  <c r="Y64" i="22"/>
  <c r="Y52" i="22"/>
  <c r="Y49" i="22"/>
  <c r="Y45" i="22"/>
  <c r="Y35" i="22"/>
  <c r="Y30" i="22"/>
  <c r="Y12" i="22"/>
  <c r="Y31" i="22"/>
  <c r="Y37" i="22"/>
  <c r="Y16" i="22"/>
  <c r="Y14" i="22"/>
  <c r="Y65" i="22"/>
  <c r="Y61" i="22"/>
  <c r="Y50" i="22"/>
  <c r="Y46" i="22"/>
  <c r="Y38" i="22"/>
  <c r="Y51" i="22"/>
  <c r="Y27" i="22"/>
  <c r="Y9" i="22"/>
  <c r="Y28" i="22"/>
  <c r="Y26" i="22"/>
  <c r="Y7" i="22"/>
  <c r="Y8" i="22"/>
  <c r="Y63" i="22"/>
  <c r="Y55" i="22"/>
  <c r="Y53" i="22"/>
  <c r="Y54" i="22"/>
  <c r="Y60" i="22"/>
  <c r="Y41" i="22"/>
  <c r="Y34" i="22"/>
  <c r="Y15" i="22"/>
  <c r="Y33" i="22"/>
  <c r="Y18" i="22"/>
  <c r="Y17" i="22"/>
  <c r="Z2" i="22"/>
  <c r="W42" i="22"/>
  <c r="W23" i="22" s="1"/>
  <c r="X13" i="22"/>
  <c r="X11" i="22" s="1"/>
  <c r="X56" i="22"/>
  <c r="X5" i="21"/>
  <c r="X4" i="21" s="1"/>
  <c r="X43" i="21"/>
  <c r="Y63" i="21"/>
  <c r="Y59" i="21"/>
  <c r="Y58" i="21"/>
  <c r="Y65" i="21"/>
  <c r="Y64" i="21"/>
  <c r="Y61" i="21"/>
  <c r="Y53" i="21"/>
  <c r="Y52" i="21"/>
  <c r="Y49" i="21"/>
  <c r="Y44" i="21"/>
  <c r="Y41" i="21"/>
  <c r="Y60" i="21"/>
  <c r="Y55" i="21"/>
  <c r="Y54" i="21"/>
  <c r="Y40" i="21"/>
  <c r="Y57" i="21"/>
  <c r="Y46" i="21"/>
  <c r="Y37" i="21"/>
  <c r="Y31" i="21"/>
  <c r="Y28" i="21"/>
  <c r="Y50" i="21"/>
  <c r="Y45" i="21"/>
  <c r="Y35" i="21"/>
  <c r="Y30" i="21"/>
  <c r="Y27" i="21"/>
  <c r="Y39" i="21"/>
  <c r="Y34" i="21"/>
  <c r="Y26" i="21"/>
  <c r="Y21" i="21"/>
  <c r="Y17" i="21"/>
  <c r="Y38" i="21"/>
  <c r="Y16" i="21"/>
  <c r="Y20" i="21"/>
  <c r="Y15" i="21"/>
  <c r="Y33" i="21"/>
  <c r="Y32" i="21"/>
  <c r="Y19" i="21"/>
  <c r="Y51" i="21"/>
  <c r="Y47" i="21"/>
  <c r="Y22" i="21"/>
  <c r="Y18" i="21"/>
  <c r="Y12" i="21"/>
  <c r="Y9" i="21"/>
  <c r="Y14" i="21"/>
  <c r="Y8" i="21"/>
  <c r="Y7" i="21"/>
  <c r="Y10" i="21"/>
  <c r="Z2" i="21"/>
  <c r="X24" i="21"/>
  <c r="X62" i="21"/>
  <c r="X36" i="21"/>
  <c r="X48" i="21"/>
  <c r="V66" i="21"/>
  <c r="X13" i="21"/>
  <c r="X11" i="21" s="1"/>
  <c r="X29" i="21"/>
  <c r="X56" i="21"/>
  <c r="W3" i="21"/>
  <c r="X59" i="20"/>
  <c r="W3" i="20"/>
  <c r="X5" i="20"/>
  <c r="X4" i="20" s="1"/>
  <c r="X40" i="20"/>
  <c r="X29" i="20"/>
  <c r="X27" i="20" s="1"/>
  <c r="X45" i="20"/>
  <c r="X78" i="20"/>
  <c r="Y79" i="20"/>
  <c r="Y75" i="20"/>
  <c r="Y74" i="20"/>
  <c r="Y81" i="20"/>
  <c r="Y80" i="20"/>
  <c r="Y77" i="20"/>
  <c r="Y71" i="20"/>
  <c r="Y68" i="20"/>
  <c r="Y76" i="20"/>
  <c r="Y73" i="20"/>
  <c r="Y70" i="20"/>
  <c r="Y67" i="20"/>
  <c r="Y66" i="20"/>
  <c r="Y63" i="20"/>
  <c r="Y69" i="20"/>
  <c r="Y65" i="20"/>
  <c r="Y62" i="20"/>
  <c r="Y55" i="20"/>
  <c r="Y53" i="20"/>
  <c r="Y49" i="20"/>
  <c r="Y61" i="20"/>
  <c r="Y57" i="20"/>
  <c r="Y48" i="20"/>
  <c r="Y60" i="20"/>
  <c r="Y56" i="20"/>
  <c r="Y51" i="20"/>
  <c r="Y47" i="20"/>
  <c r="Y44" i="20"/>
  <c r="Y36" i="20"/>
  <c r="Y32" i="20"/>
  <c r="Y26" i="20"/>
  <c r="Y46" i="20"/>
  <c r="Y35" i="20"/>
  <c r="Y31" i="20"/>
  <c r="Y28" i="20"/>
  <c r="Y50" i="20"/>
  <c r="Y38" i="20"/>
  <c r="Y34" i="20"/>
  <c r="Y43" i="20"/>
  <c r="Y42" i="20"/>
  <c r="Y37" i="20"/>
  <c r="Y8" i="20"/>
  <c r="Y54" i="20"/>
  <c r="Y30" i="20"/>
  <c r="Y33" i="20"/>
  <c r="Y9" i="20"/>
  <c r="Y7" i="20"/>
  <c r="Z2" i="20"/>
  <c r="X52" i="20"/>
  <c r="X72" i="20"/>
  <c r="Y48" i="19"/>
  <c r="Y13" i="19"/>
  <c r="Y11" i="19" s="1"/>
  <c r="Y5" i="19"/>
  <c r="Y4" i="19" s="1"/>
  <c r="Y29" i="19"/>
  <c r="Y24" i="19"/>
  <c r="Z65" i="19"/>
  <c r="Z61" i="19"/>
  <c r="Z57" i="19"/>
  <c r="Z64" i="19"/>
  <c r="Z60" i="19"/>
  <c r="Z63" i="19"/>
  <c r="Z59" i="19"/>
  <c r="Z55" i="19"/>
  <c r="Z52" i="19"/>
  <c r="Z53" i="19"/>
  <c r="Z51" i="19"/>
  <c r="Z58" i="19"/>
  <c r="Z50" i="19"/>
  <c r="Z46" i="19"/>
  <c r="Z39" i="19"/>
  <c r="Z35" i="19"/>
  <c r="Z49" i="19"/>
  <c r="Z45" i="19"/>
  <c r="Z54" i="19"/>
  <c r="Z44" i="19"/>
  <c r="Z41" i="19"/>
  <c r="Z34" i="19"/>
  <c r="Z40" i="19"/>
  <c r="Z33" i="19"/>
  <c r="Z31" i="19"/>
  <c r="Z28" i="19"/>
  <c r="Z19" i="19"/>
  <c r="Z47" i="19"/>
  <c r="Z38" i="19"/>
  <c r="Z37" i="19"/>
  <c r="Z21" i="19"/>
  <c r="Z20" i="19"/>
  <c r="Z32" i="19"/>
  <c r="Z27" i="19"/>
  <c r="Z18" i="19"/>
  <c r="Z14" i="19"/>
  <c r="Z30" i="19"/>
  <c r="Z26" i="19"/>
  <c r="Z22" i="19"/>
  <c r="AA2" i="19"/>
  <c r="Z10" i="19"/>
  <c r="Z17" i="19"/>
  <c r="Z16" i="19"/>
  <c r="Z15" i="19"/>
  <c r="Z12" i="19"/>
  <c r="Z9" i="19"/>
  <c r="Z8" i="19"/>
  <c r="Z7" i="19"/>
  <c r="Y56" i="19"/>
  <c r="Y62" i="19"/>
  <c r="X43" i="18"/>
  <c r="V66" i="18"/>
  <c r="X5" i="18"/>
  <c r="X4" i="18" s="1"/>
  <c r="X29" i="18"/>
  <c r="W42" i="18"/>
  <c r="W23" i="18" s="1"/>
  <c r="Y63" i="18"/>
  <c r="Y59" i="18"/>
  <c r="Y54" i="18"/>
  <c r="Y65" i="18"/>
  <c r="Y61" i="18"/>
  <c r="Y57" i="18"/>
  <c r="Y52" i="18"/>
  <c r="Y55" i="18"/>
  <c r="Y51" i="18"/>
  <c r="Y60" i="18"/>
  <c r="Y53" i="18"/>
  <c r="Y50" i="18"/>
  <c r="Y64" i="18"/>
  <c r="Y47" i="18"/>
  <c r="Y46" i="18"/>
  <c r="Y39" i="18"/>
  <c r="Y49" i="18"/>
  <c r="Y45" i="18"/>
  <c r="Y38" i="18"/>
  <c r="Y44" i="18"/>
  <c r="Y41" i="18"/>
  <c r="Y37" i="18"/>
  <c r="Y58" i="18"/>
  <c r="Y40" i="18"/>
  <c r="Y33" i="18"/>
  <c r="Y26" i="18"/>
  <c r="Y21" i="18"/>
  <c r="Y32" i="18"/>
  <c r="Y20" i="18"/>
  <c r="Y35" i="18"/>
  <c r="Y31" i="18"/>
  <c r="Y28" i="18"/>
  <c r="Y34" i="18"/>
  <c r="Y30" i="18"/>
  <c r="Y27" i="18"/>
  <c r="Y19" i="18"/>
  <c r="Y15" i="18"/>
  <c r="Y12" i="18"/>
  <c r="Y9" i="18"/>
  <c r="Z2" i="18"/>
  <c r="Y22" i="18"/>
  <c r="Y18" i="18"/>
  <c r="Y14" i="18"/>
  <c r="Y8" i="18"/>
  <c r="Y17" i="18"/>
  <c r="Y7" i="18"/>
  <c r="Y16" i="18"/>
  <c r="Y10" i="18"/>
  <c r="X56" i="18"/>
  <c r="W3" i="18"/>
  <c r="X24" i="18"/>
  <c r="X62" i="18"/>
  <c r="W24" i="16"/>
  <c r="W56" i="16"/>
  <c r="W13" i="16"/>
  <c r="W11" i="16" s="1"/>
  <c r="W29" i="16"/>
  <c r="U66" i="16"/>
  <c r="V42" i="16"/>
  <c r="V23" i="16" s="1"/>
  <c r="W5" i="16"/>
  <c r="W4" i="16" s="1"/>
  <c r="X64" i="16"/>
  <c r="X63" i="16"/>
  <c r="X59" i="16"/>
  <c r="X60" i="16"/>
  <c r="X58" i="16"/>
  <c r="X61" i="16"/>
  <c r="X54" i="16"/>
  <c r="X51" i="16"/>
  <c r="X65" i="16"/>
  <c r="X55" i="16"/>
  <c r="X52" i="16"/>
  <c r="X50" i="16"/>
  <c r="X47" i="16"/>
  <c r="X57" i="16"/>
  <c r="X53" i="16"/>
  <c r="X49" i="16"/>
  <c r="X46" i="16"/>
  <c r="X39" i="16"/>
  <c r="X45" i="16"/>
  <c r="X38" i="16"/>
  <c r="X34" i="16"/>
  <c r="X37" i="16"/>
  <c r="X33" i="16"/>
  <c r="X41" i="16"/>
  <c r="X32" i="16"/>
  <c r="X44" i="16"/>
  <c r="X40" i="16"/>
  <c r="X35" i="16"/>
  <c r="X31" i="16"/>
  <c r="X28" i="16"/>
  <c r="X26" i="16"/>
  <c r="X21" i="16"/>
  <c r="X17" i="16"/>
  <c r="X20" i="16"/>
  <c r="X16" i="16"/>
  <c r="X19" i="16"/>
  <c r="X15" i="16"/>
  <c r="X12" i="16"/>
  <c r="X9" i="16"/>
  <c r="X30" i="16"/>
  <c r="X27" i="16"/>
  <c r="X22" i="16"/>
  <c r="X18" i="16"/>
  <c r="X8" i="16"/>
  <c r="Y2" i="16"/>
  <c r="X14" i="16"/>
  <c r="X7" i="16"/>
  <c r="X10" i="16"/>
  <c r="W43" i="16"/>
  <c r="V3" i="16"/>
  <c r="W43" i="15"/>
  <c r="W5" i="15"/>
  <c r="W4" i="15" s="1"/>
  <c r="W13" i="15"/>
  <c r="W11" i="15" s="1"/>
  <c r="W29" i="15"/>
  <c r="W56" i="15"/>
  <c r="W36" i="15"/>
  <c r="V3" i="15"/>
  <c r="X64" i="15"/>
  <c r="X60" i="15"/>
  <c r="X63" i="15"/>
  <c r="X59" i="15"/>
  <c r="X61" i="15"/>
  <c r="X57" i="15"/>
  <c r="X65" i="15"/>
  <c r="X54" i="15"/>
  <c r="X51" i="15"/>
  <c r="X53" i="15"/>
  <c r="X50" i="15"/>
  <c r="X52" i="15"/>
  <c r="X47" i="15"/>
  <c r="X40" i="15"/>
  <c r="X58" i="15"/>
  <c r="X49" i="15"/>
  <c r="X46" i="15"/>
  <c r="X39" i="15"/>
  <c r="X35" i="15"/>
  <c r="X55" i="15"/>
  <c r="X45" i="15"/>
  <c r="X38" i="15"/>
  <c r="X34" i="15"/>
  <c r="X41" i="15"/>
  <c r="X37" i="15"/>
  <c r="X32" i="15"/>
  <c r="X28" i="15"/>
  <c r="X44" i="15"/>
  <c r="X31" i="15"/>
  <c r="X30" i="15"/>
  <c r="X27" i="15"/>
  <c r="X22" i="15"/>
  <c r="X18" i="15"/>
  <c r="X33" i="15"/>
  <c r="X26" i="15"/>
  <c r="X21" i="15"/>
  <c r="X17" i="15"/>
  <c r="X20" i="15"/>
  <c r="X16" i="15"/>
  <c r="X10" i="15"/>
  <c r="X19" i="15"/>
  <c r="X12" i="15"/>
  <c r="X8" i="15"/>
  <c r="X15" i="15"/>
  <c r="X14" i="15"/>
  <c r="X7" i="15"/>
  <c r="X9" i="15"/>
  <c r="Y2" i="15"/>
  <c r="W24" i="14"/>
  <c r="W29" i="14"/>
  <c r="W5" i="14"/>
  <c r="W4" i="14" s="1"/>
  <c r="W56" i="14"/>
  <c r="X64" i="14"/>
  <c r="X63" i="14"/>
  <c r="X59" i="14"/>
  <c r="X61" i="14"/>
  <c r="X60" i="14"/>
  <c r="X54" i="14"/>
  <c r="X49" i="14"/>
  <c r="X65" i="14"/>
  <c r="X53" i="14"/>
  <c r="X52" i="14"/>
  <c r="X58" i="14"/>
  <c r="X55" i="14"/>
  <c r="X51" i="14"/>
  <c r="X57" i="14"/>
  <c r="X50" i="14"/>
  <c r="X47" i="14"/>
  <c r="X46" i="14"/>
  <c r="X45" i="14"/>
  <c r="X38" i="14"/>
  <c r="X34" i="14"/>
  <c r="X30" i="14"/>
  <c r="X39" i="14"/>
  <c r="X35" i="14"/>
  <c r="X31" i="14"/>
  <c r="X27" i="14"/>
  <c r="X22" i="14"/>
  <c r="X44" i="14"/>
  <c r="X41" i="14"/>
  <c r="X37" i="14"/>
  <c r="X33" i="14"/>
  <c r="X40" i="14"/>
  <c r="X26" i="14"/>
  <c r="X21" i="14"/>
  <c r="X19" i="14"/>
  <c r="X15" i="14"/>
  <c r="X32" i="14"/>
  <c r="X28" i="14"/>
  <c r="X20" i="14"/>
  <c r="X7" i="14"/>
  <c r="X18" i="14"/>
  <c r="X17" i="14"/>
  <c r="X10" i="14"/>
  <c r="X14" i="14"/>
  <c r="X8" i="14"/>
  <c r="X16" i="14"/>
  <c r="X12" i="14"/>
  <c r="X9" i="14"/>
  <c r="Y2" i="14"/>
  <c r="W13" i="14"/>
  <c r="W11" i="14" s="1"/>
  <c r="W62" i="14"/>
  <c r="V3" i="14"/>
  <c r="W48" i="14"/>
  <c r="W13" i="13"/>
  <c r="W11" i="13" s="1"/>
  <c r="V3" i="13"/>
  <c r="V42" i="13"/>
  <c r="V23" i="13" s="1"/>
  <c r="W5" i="13"/>
  <c r="W4" i="13" s="1"/>
  <c r="X64" i="13"/>
  <c r="X60" i="13"/>
  <c r="X63" i="13"/>
  <c r="X59" i="13"/>
  <c r="X61" i="13"/>
  <c r="X52" i="13"/>
  <c r="X54" i="13"/>
  <c r="X58" i="13"/>
  <c r="X50" i="13"/>
  <c r="X49" i="13"/>
  <c r="X45" i="13"/>
  <c r="X53" i="13"/>
  <c r="X44" i="13"/>
  <c r="X41" i="13"/>
  <c r="X37" i="13"/>
  <c r="X65" i="13"/>
  <c r="X57" i="13"/>
  <c r="X51" i="13"/>
  <c r="X47" i="13"/>
  <c r="X55" i="13"/>
  <c r="X46" i="13"/>
  <c r="X35" i="13"/>
  <c r="X34" i="13"/>
  <c r="X39" i="13"/>
  <c r="X38" i="13"/>
  <c r="X32" i="13"/>
  <c r="X20" i="13"/>
  <c r="X16" i="13"/>
  <c r="X31" i="13"/>
  <c r="X28" i="13"/>
  <c r="X19" i="13"/>
  <c r="X30" i="13"/>
  <c r="X27" i="13"/>
  <c r="X22" i="13"/>
  <c r="X18" i="13"/>
  <c r="X14" i="13"/>
  <c r="X40" i="13"/>
  <c r="X33" i="13"/>
  <c r="X26" i="13"/>
  <c r="X21" i="13"/>
  <c r="X17" i="13"/>
  <c r="X12" i="13"/>
  <c r="X9" i="13"/>
  <c r="X15" i="13"/>
  <c r="X8" i="13"/>
  <c r="X7" i="13"/>
  <c r="X10" i="13"/>
  <c r="W48" i="13"/>
  <c r="W24" i="13"/>
  <c r="W56" i="13"/>
  <c r="N68" i="2"/>
  <c r="N69" i="2"/>
  <c r="N77" i="2"/>
  <c r="N88" i="2"/>
  <c r="Z12" i="20" l="1"/>
  <c r="Z21" i="20"/>
  <c r="Z13" i="20"/>
  <c r="Z24" i="20"/>
  <c r="Z20" i="20"/>
  <c r="Z16" i="20"/>
  <c r="Z25" i="20"/>
  <c r="Z17" i="20"/>
  <c r="Z19" i="20"/>
  <c r="Z22" i="20"/>
  <c r="Z14" i="20"/>
  <c r="Z11" i="20"/>
  <c r="Z18" i="20"/>
  <c r="Z15" i="20"/>
  <c r="Z10" i="20"/>
  <c r="Z23" i="20"/>
  <c r="X66" i="19"/>
  <c r="W66" i="23"/>
  <c r="W3" i="13"/>
  <c r="X42" i="22"/>
  <c r="X23" i="22" s="1"/>
  <c r="Y36" i="23"/>
  <c r="W66" i="24"/>
  <c r="X58" i="20"/>
  <c r="X39" i="20" s="1"/>
  <c r="W66" i="21"/>
  <c r="Y36" i="24"/>
  <c r="Y62" i="22"/>
  <c r="Y56" i="24"/>
  <c r="W42" i="16"/>
  <c r="W23" i="16" s="1"/>
  <c r="X56" i="14"/>
  <c r="V66" i="16"/>
  <c r="W66" i="18"/>
  <c r="Z29" i="19"/>
  <c r="X42" i="24"/>
  <c r="X23" i="24" s="1"/>
  <c r="Y42" i="19"/>
  <c r="Y23" i="19" s="1"/>
  <c r="X36" i="15"/>
  <c r="Y72" i="20"/>
  <c r="X36" i="14"/>
  <c r="V66" i="14"/>
  <c r="X48" i="15"/>
  <c r="X43" i="16"/>
  <c r="Z48" i="19"/>
  <c r="Y29" i="24"/>
  <c r="X43" i="14"/>
  <c r="Y59" i="20"/>
  <c r="Y64" i="20"/>
  <c r="X29" i="16"/>
  <c r="X48" i="16"/>
  <c r="Z24" i="19"/>
  <c r="Z36" i="19"/>
  <c r="Z62" i="19"/>
  <c r="X43" i="15"/>
  <c r="X56" i="16"/>
  <c r="X42" i="18"/>
  <c r="X23" i="18" s="1"/>
  <c r="X24" i="15"/>
  <c r="X3" i="23"/>
  <c r="W3" i="16"/>
  <c r="V66" i="13"/>
  <c r="X5" i="16"/>
  <c r="X4" i="16" s="1"/>
  <c r="X13" i="16"/>
  <c r="X11" i="16" s="1"/>
  <c r="Y5" i="20"/>
  <c r="Y4" i="20" s="1"/>
  <c r="Y29" i="20"/>
  <c r="Y27" i="20" s="1"/>
  <c r="Y48" i="24"/>
  <c r="Z65" i="24"/>
  <c r="Z61" i="24"/>
  <c r="Z57" i="24"/>
  <c r="Z60" i="24"/>
  <c r="Z64" i="24"/>
  <c r="Z58" i="24"/>
  <c r="Z54" i="24"/>
  <c r="Z63" i="24"/>
  <c r="Z53" i="24"/>
  <c r="Z59" i="24"/>
  <c r="Z49" i="24"/>
  <c r="Z46" i="24"/>
  <c r="Z39" i="24"/>
  <c r="Z35" i="24"/>
  <c r="Z55" i="24"/>
  <c r="Z45" i="24"/>
  <c r="Z38" i="24"/>
  <c r="Z52" i="24"/>
  <c r="Z51" i="24"/>
  <c r="Z47" i="24"/>
  <c r="Z50" i="24"/>
  <c r="Z41" i="24"/>
  <c r="Z37" i="24"/>
  <c r="Z40" i="24"/>
  <c r="Z32" i="24"/>
  <c r="Z44" i="24"/>
  <c r="Z34" i="24"/>
  <c r="Z33" i="24"/>
  <c r="Z20" i="24"/>
  <c r="Z16" i="24"/>
  <c r="Z28" i="24"/>
  <c r="Z19" i="24"/>
  <c r="Z15" i="24"/>
  <c r="Z12" i="24"/>
  <c r="Z31" i="24"/>
  <c r="Z30" i="24"/>
  <c r="Z27" i="24"/>
  <c r="Z22" i="24"/>
  <c r="Z17" i="24"/>
  <c r="Z10" i="24"/>
  <c r="AA2" i="24"/>
  <c r="Z7" i="24"/>
  <c r="Z21" i="24"/>
  <c r="Z9" i="24"/>
  <c r="Z8" i="24"/>
  <c r="Z26" i="24"/>
  <c r="Z18" i="24"/>
  <c r="Z14" i="24"/>
  <c r="Y43" i="24"/>
  <c r="X3" i="24"/>
  <c r="Y5" i="24"/>
  <c r="Y4" i="24" s="1"/>
  <c r="Y62" i="24"/>
  <c r="Y13" i="24"/>
  <c r="Y11" i="24" s="1"/>
  <c r="Y24" i="24"/>
  <c r="X42" i="23"/>
  <c r="X23" i="23" s="1"/>
  <c r="Y48" i="23"/>
  <c r="Y62" i="23"/>
  <c r="Z65" i="23"/>
  <c r="Z61" i="23"/>
  <c r="Z57" i="23"/>
  <c r="Z64" i="23"/>
  <c r="Z63" i="23"/>
  <c r="Z60" i="23"/>
  <c r="Z59" i="23"/>
  <c r="Z55" i="23"/>
  <c r="Z52" i="23"/>
  <c r="Z58" i="23"/>
  <c r="Z54" i="23"/>
  <c r="Z53" i="23"/>
  <c r="Z47" i="23"/>
  <c r="Z51" i="23"/>
  <c r="Z50" i="23"/>
  <c r="Z46" i="23"/>
  <c r="Z49" i="23"/>
  <c r="Z39" i="23"/>
  <c r="Z35" i="23"/>
  <c r="Z31" i="23"/>
  <c r="Z28" i="23"/>
  <c r="Z38" i="23"/>
  <c r="Z45" i="23"/>
  <c r="Z44" i="23"/>
  <c r="Z41" i="23"/>
  <c r="Z37" i="23"/>
  <c r="Z33" i="23"/>
  <c r="Z32" i="23"/>
  <c r="Z20" i="23"/>
  <c r="Z27" i="23"/>
  <c r="Z19" i="23"/>
  <c r="Z15" i="23"/>
  <c r="Z12" i="23"/>
  <c r="Z40" i="23"/>
  <c r="Z34" i="23"/>
  <c r="Z30" i="23"/>
  <c r="Z26" i="23"/>
  <c r="Z22" i="23"/>
  <c r="Z18" i="23"/>
  <c r="Z10" i="23"/>
  <c r="Z17" i="23"/>
  <c r="Z9" i="23"/>
  <c r="AA2" i="23"/>
  <c r="Z16" i="23"/>
  <c r="Z21" i="23"/>
  <c r="Z14" i="23"/>
  <c r="Z7" i="23"/>
  <c r="Z8" i="23"/>
  <c r="Y24" i="23"/>
  <c r="Y5" i="23"/>
  <c r="Y4" i="23" s="1"/>
  <c r="Y43" i="23"/>
  <c r="Y13" i="23"/>
  <c r="Y11" i="23" s="1"/>
  <c r="Y29" i="23"/>
  <c r="Y56" i="23"/>
  <c r="Z61" i="22"/>
  <c r="Z63" i="22"/>
  <c r="Z49" i="22"/>
  <c r="Z45" i="22"/>
  <c r="Z35" i="22"/>
  <c r="Z47" i="22"/>
  <c r="Z39" i="22"/>
  <c r="Z22" i="22"/>
  <c r="Z30" i="22"/>
  <c r="Z20" i="22"/>
  <c r="AA2" i="22"/>
  <c r="Z17" i="22"/>
  <c r="Z58" i="22"/>
  <c r="Z55" i="22"/>
  <c r="Z59" i="22"/>
  <c r="Z44" i="22"/>
  <c r="Z28" i="22"/>
  <c r="Z34" i="22"/>
  <c r="Z37" i="22"/>
  <c r="Z14" i="22"/>
  <c r="Z26" i="22"/>
  <c r="Z10" i="22"/>
  <c r="Z9" i="22"/>
  <c r="Z12" i="22"/>
  <c r="Z65" i="22"/>
  <c r="Z64" i="22"/>
  <c r="Z54" i="22"/>
  <c r="Z53" i="22"/>
  <c r="Z41" i="22"/>
  <c r="Z52" i="22"/>
  <c r="Z50" i="22"/>
  <c r="Z33" i="22"/>
  <c r="Z32" i="22"/>
  <c r="Z21" i="22"/>
  <c r="Z15" i="22"/>
  <c r="Z8" i="22"/>
  <c r="Z57" i="22"/>
  <c r="Z60" i="22"/>
  <c r="Z46" i="22"/>
  <c r="Z51" i="22"/>
  <c r="Z31" i="22"/>
  <c r="Z40" i="22"/>
  <c r="Z38" i="22"/>
  <c r="Z18" i="22"/>
  <c r="Z27" i="22"/>
  <c r="Z16" i="22"/>
  <c r="Z19" i="22"/>
  <c r="Z7" i="22"/>
  <c r="Y24" i="22"/>
  <c r="Y36" i="22"/>
  <c r="Y56" i="22"/>
  <c r="W66" i="22"/>
  <c r="Y13" i="22"/>
  <c r="Y11" i="22" s="1"/>
  <c r="Y48" i="22"/>
  <c r="Y43" i="22"/>
  <c r="Y5" i="22"/>
  <c r="Y4" i="22" s="1"/>
  <c r="Y29" i="22"/>
  <c r="X3" i="22"/>
  <c r="Y5" i="21"/>
  <c r="Y4" i="21" s="1"/>
  <c r="Y48" i="21"/>
  <c r="Y62" i="21"/>
  <c r="Y36" i="21"/>
  <c r="Y43" i="21"/>
  <c r="Y13" i="21"/>
  <c r="Y11" i="21" s="1"/>
  <c r="Y24" i="21"/>
  <c r="Y29" i="21"/>
  <c r="Y56" i="21"/>
  <c r="X3" i="21"/>
  <c r="Z65" i="21"/>
  <c r="Z61" i="21"/>
  <c r="Z57" i="21"/>
  <c r="Z64" i="21"/>
  <c r="Z63" i="21"/>
  <c r="Z60" i="21"/>
  <c r="Z55" i="21"/>
  <c r="Z52" i="21"/>
  <c r="Z53" i="21"/>
  <c r="Z59" i="21"/>
  <c r="Z54" i="21"/>
  <c r="Z58" i="21"/>
  <c r="Z47" i="21"/>
  <c r="Z46" i="21"/>
  <c r="Z39" i="21"/>
  <c r="Z35" i="21"/>
  <c r="Z50" i="21"/>
  <c r="Z45" i="21"/>
  <c r="Z41" i="21"/>
  <c r="Z40" i="21"/>
  <c r="Z30" i="21"/>
  <c r="Z27" i="21"/>
  <c r="Z49" i="21"/>
  <c r="Z44" i="21"/>
  <c r="Z34" i="21"/>
  <c r="Z51" i="21"/>
  <c r="Z38" i="21"/>
  <c r="Z33" i="21"/>
  <c r="Z32" i="21"/>
  <c r="Z20" i="21"/>
  <c r="Z28" i="21"/>
  <c r="Z19" i="21"/>
  <c r="Z31" i="21"/>
  <c r="Z26" i="21"/>
  <c r="Z22" i="21"/>
  <c r="Z18" i="21"/>
  <c r="Z37" i="21"/>
  <c r="Z21" i="21"/>
  <c r="Z17" i="21"/>
  <c r="Z16" i="21"/>
  <c r="Z15" i="21"/>
  <c r="Z14" i="21"/>
  <c r="Z10" i="21"/>
  <c r="Z12" i="21"/>
  <c r="Z9" i="21"/>
  <c r="AA2" i="21"/>
  <c r="Z8" i="21"/>
  <c r="Z7" i="21"/>
  <c r="X42" i="21"/>
  <c r="X23" i="21" s="1"/>
  <c r="X3" i="20"/>
  <c r="Y52" i="20"/>
  <c r="Y78" i="20"/>
  <c r="Z81" i="20"/>
  <c r="Z77" i="20"/>
  <c r="Z73" i="20"/>
  <c r="Z80" i="20"/>
  <c r="Z79" i="20"/>
  <c r="Z76" i="20"/>
  <c r="Z71" i="20"/>
  <c r="Z68" i="20"/>
  <c r="Z70" i="20"/>
  <c r="Z67" i="20"/>
  <c r="Z66" i="20"/>
  <c r="Z63" i="20"/>
  <c r="Z75" i="20"/>
  <c r="Z74" i="20"/>
  <c r="Z69" i="20"/>
  <c r="Z65" i="20"/>
  <c r="Z61" i="20"/>
  <c r="Z57" i="20"/>
  <c r="Z48" i="20"/>
  <c r="Z60" i="20"/>
  <c r="Z56" i="20"/>
  <c r="Z51" i="20"/>
  <c r="Z55" i="20"/>
  <c r="Z54" i="20"/>
  <c r="Z50" i="20"/>
  <c r="Z46" i="20"/>
  <c r="Z35" i="20"/>
  <c r="Z31" i="20"/>
  <c r="Z28" i="20"/>
  <c r="Z38" i="20"/>
  <c r="Z34" i="20"/>
  <c r="Z30" i="20"/>
  <c r="Z49" i="20"/>
  <c r="Z44" i="20"/>
  <c r="Z43" i="20"/>
  <c r="Z42" i="20"/>
  <c r="Z37" i="20"/>
  <c r="Z36" i="20"/>
  <c r="Z53" i="20"/>
  <c r="Z33" i="20"/>
  <c r="Z26" i="20"/>
  <c r="Z9" i="20"/>
  <c r="AA2" i="20"/>
  <c r="Z62" i="20"/>
  <c r="Z47" i="20"/>
  <c r="Z32" i="20"/>
  <c r="Z8" i="20"/>
  <c r="Z7" i="20"/>
  <c r="Y40" i="20"/>
  <c r="Y45" i="20"/>
  <c r="W82" i="20"/>
  <c r="Z5" i="19"/>
  <c r="Z4" i="19" s="1"/>
  <c r="AA65" i="19"/>
  <c r="AA64" i="19"/>
  <c r="AA60" i="19"/>
  <c r="AA61" i="19"/>
  <c r="AA63" i="19"/>
  <c r="AA59" i="19"/>
  <c r="AA55" i="19"/>
  <c r="AA58" i="19"/>
  <c r="AA54" i="19"/>
  <c r="AA50" i="19"/>
  <c r="AA47" i="19"/>
  <c r="AA57" i="19"/>
  <c r="AA49" i="19"/>
  <c r="AA45" i="19"/>
  <c r="AA38" i="19"/>
  <c r="AA34" i="19"/>
  <c r="AA44" i="19"/>
  <c r="AA41" i="19"/>
  <c r="AA53" i="19"/>
  <c r="AA40" i="19"/>
  <c r="AA46" i="19"/>
  <c r="AA33" i="19"/>
  <c r="AA31" i="19"/>
  <c r="AA28" i="19"/>
  <c r="AA37" i="19"/>
  <c r="AA32" i="19"/>
  <c r="AA30" i="19"/>
  <c r="AA27" i="19"/>
  <c r="AA22" i="19"/>
  <c r="AA51" i="19"/>
  <c r="AA39" i="19"/>
  <c r="AA20" i="19"/>
  <c r="AA18" i="19"/>
  <c r="AA52" i="19"/>
  <c r="AA26" i="19"/>
  <c r="AA19" i="19"/>
  <c r="AA17" i="19"/>
  <c r="AA35" i="19"/>
  <c r="AA21" i="19"/>
  <c r="AA10" i="19"/>
  <c r="AB2" i="19"/>
  <c r="AA8" i="19"/>
  <c r="AA16" i="19"/>
  <c r="AA15" i="19"/>
  <c r="AA12" i="19"/>
  <c r="AA9" i="19"/>
  <c r="AA7" i="19"/>
  <c r="AA14" i="19"/>
  <c r="Z13" i="19"/>
  <c r="Z11" i="19" s="1"/>
  <c r="Z43" i="19"/>
  <c r="Z56" i="19"/>
  <c r="Y3" i="19"/>
  <c r="Y43" i="18"/>
  <c r="Y5" i="18"/>
  <c r="Y4" i="18" s="1"/>
  <c r="Y48" i="18"/>
  <c r="Y62" i="18"/>
  <c r="Z58" i="18"/>
  <c r="Z65" i="18"/>
  <c r="Z61" i="18"/>
  <c r="Z64" i="18"/>
  <c r="Z60" i="18"/>
  <c r="Z55" i="18"/>
  <c r="Z57" i="18"/>
  <c r="Z54" i="18"/>
  <c r="Z53" i="18"/>
  <c r="Z50" i="18"/>
  <c r="Z47" i="18"/>
  <c r="Z63" i="18"/>
  <c r="Z59" i="18"/>
  <c r="Z49" i="18"/>
  <c r="Z45" i="18"/>
  <c r="Z44" i="18"/>
  <c r="Z41" i="18"/>
  <c r="Z40" i="18"/>
  <c r="Z52" i="18"/>
  <c r="Z51" i="18"/>
  <c r="Z46" i="18"/>
  <c r="Z39" i="18"/>
  <c r="Z38" i="18"/>
  <c r="Z37" i="18"/>
  <c r="Z32" i="18"/>
  <c r="Z20" i="18"/>
  <c r="Z35" i="18"/>
  <c r="Z31" i="18"/>
  <c r="Z28" i="18"/>
  <c r="Z19" i="18"/>
  <c r="Z34" i="18"/>
  <c r="Z30" i="18"/>
  <c r="Z33" i="18"/>
  <c r="Z22" i="18"/>
  <c r="Z18" i="18"/>
  <c r="Z14" i="18"/>
  <c r="Z8" i="18"/>
  <c r="Z21" i="18"/>
  <c r="Z17" i="18"/>
  <c r="Z7" i="18"/>
  <c r="Z9" i="18"/>
  <c r="AA2" i="18"/>
  <c r="Z16" i="18"/>
  <c r="Z10" i="18"/>
  <c r="Z27" i="18"/>
  <c r="Z26" i="18"/>
  <c r="Z15" i="18"/>
  <c r="Z12" i="18"/>
  <c r="Y13" i="18"/>
  <c r="Y11" i="18" s="1"/>
  <c r="Y29" i="18"/>
  <c r="Y24" i="18"/>
  <c r="Y36" i="18"/>
  <c r="Y56" i="18"/>
  <c r="X3" i="18"/>
  <c r="X24" i="16"/>
  <c r="X36" i="16"/>
  <c r="X62" i="16"/>
  <c r="Y63" i="16"/>
  <c r="Y58" i="16"/>
  <c r="Y65" i="16"/>
  <c r="Y61" i="16"/>
  <c r="Y64" i="16"/>
  <c r="Y59" i="16"/>
  <c r="Y55" i="16"/>
  <c r="Y52" i="16"/>
  <c r="Y57" i="16"/>
  <c r="Y53" i="16"/>
  <c r="Y51" i="16"/>
  <c r="Y50" i="16"/>
  <c r="Y47" i="16"/>
  <c r="Y60" i="16"/>
  <c r="Y54" i="16"/>
  <c r="Y49" i="16"/>
  <c r="Y46" i="16"/>
  <c r="Y45" i="16"/>
  <c r="Y38" i="16"/>
  <c r="Y37" i="16"/>
  <c r="Y33" i="16"/>
  <c r="Y41" i="16"/>
  <c r="Y32" i="16"/>
  <c r="Y44" i="16"/>
  <c r="Y40" i="16"/>
  <c r="Y35" i="16"/>
  <c r="Y31" i="16"/>
  <c r="Y39" i="16"/>
  <c r="Y34" i="16"/>
  <c r="Y30" i="16"/>
  <c r="Y27" i="16"/>
  <c r="Y20" i="16"/>
  <c r="Y16" i="16"/>
  <c r="Y10" i="16"/>
  <c r="Y19" i="16"/>
  <c r="Y15" i="16"/>
  <c r="Y28" i="16"/>
  <c r="Y22" i="16"/>
  <c r="Y18" i="16"/>
  <c r="Y14" i="16"/>
  <c r="Y26" i="16"/>
  <c r="Y21" i="16"/>
  <c r="Y17" i="16"/>
  <c r="Y12" i="16"/>
  <c r="Y7" i="16"/>
  <c r="Y9" i="16"/>
  <c r="Z2" i="16"/>
  <c r="Y8" i="16"/>
  <c r="Y63" i="15"/>
  <c r="Y58" i="15"/>
  <c r="Y59" i="15"/>
  <c r="Y55" i="15"/>
  <c r="Y52" i="15"/>
  <c r="Y65" i="15"/>
  <c r="Y60" i="15"/>
  <c r="Y54" i="15"/>
  <c r="Y51" i="15"/>
  <c r="Y53" i="15"/>
  <c r="Y50" i="15"/>
  <c r="Y64" i="15"/>
  <c r="Y49" i="15"/>
  <c r="Y46" i="15"/>
  <c r="Y39" i="15"/>
  <c r="Y35" i="15"/>
  <c r="Y45" i="15"/>
  <c r="Y38" i="15"/>
  <c r="Y34" i="15"/>
  <c r="Y57" i="15"/>
  <c r="Y44" i="15"/>
  <c r="Y41" i="15"/>
  <c r="Y37" i="15"/>
  <c r="Y33" i="15"/>
  <c r="Y31" i="15"/>
  <c r="Y30" i="15"/>
  <c r="Y27" i="15"/>
  <c r="Y22" i="15"/>
  <c r="Y40" i="15"/>
  <c r="Y26" i="15"/>
  <c r="Y21" i="15"/>
  <c r="Y17" i="15"/>
  <c r="Y47" i="15"/>
  <c r="Y20" i="15"/>
  <c r="Y16" i="15"/>
  <c r="Y10" i="15"/>
  <c r="Y61" i="15"/>
  <c r="Y32" i="15"/>
  <c r="Y28" i="15"/>
  <c r="Y19" i="15"/>
  <c r="Y15" i="15"/>
  <c r="Y12" i="15"/>
  <c r="Y9" i="15"/>
  <c r="Y14" i="15"/>
  <c r="Y7" i="15"/>
  <c r="Y18" i="15"/>
  <c r="Z2" i="15"/>
  <c r="Y8" i="15"/>
  <c r="X62" i="15"/>
  <c r="V66" i="15"/>
  <c r="X5" i="15"/>
  <c r="X4" i="15" s="1"/>
  <c r="X29" i="15"/>
  <c r="X56" i="15"/>
  <c r="W3" i="15"/>
  <c r="X13" i="15"/>
  <c r="X11" i="15" s="1"/>
  <c r="W42" i="15"/>
  <c r="W23" i="15" s="1"/>
  <c r="W42" i="14"/>
  <c r="W23" i="14" s="1"/>
  <c r="X62" i="14"/>
  <c r="X29" i="14"/>
  <c r="Y63" i="14"/>
  <c r="Y58" i="14"/>
  <c r="Y61" i="14"/>
  <c r="Y60" i="14"/>
  <c r="Y65" i="14"/>
  <c r="Y59" i="14"/>
  <c r="Y55" i="14"/>
  <c r="Y53" i="14"/>
  <c r="Y52" i="14"/>
  <c r="Y51" i="14"/>
  <c r="Y64" i="14"/>
  <c r="Y57" i="14"/>
  <c r="Y50" i="14"/>
  <c r="Y54" i="14"/>
  <c r="Y49" i="14"/>
  <c r="Y46" i="14"/>
  <c r="Y45" i="14"/>
  <c r="Y44" i="14"/>
  <c r="Y41" i="14"/>
  <c r="Y37" i="14"/>
  <c r="Y33" i="14"/>
  <c r="Y47" i="14"/>
  <c r="Y38" i="14"/>
  <c r="Y34" i="14"/>
  <c r="Y30" i="14"/>
  <c r="Y26" i="14"/>
  <c r="Y21" i="14"/>
  <c r="Y40" i="14"/>
  <c r="Y32" i="14"/>
  <c r="Y28" i="14"/>
  <c r="Y31" i="14"/>
  <c r="Y18" i="14"/>
  <c r="Y14" i="14"/>
  <c r="Y35" i="14"/>
  <c r="Y39" i="14"/>
  <c r="Y27" i="14"/>
  <c r="Y22" i="14"/>
  <c r="Y20" i="14"/>
  <c r="Y17" i="14"/>
  <c r="Y10" i="14"/>
  <c r="Y12" i="14"/>
  <c r="Z2" i="14"/>
  <c r="Y19" i="14"/>
  <c r="Y16" i="14"/>
  <c r="Y9" i="14"/>
  <c r="Y7" i="14"/>
  <c r="Y15" i="14"/>
  <c r="Y8" i="14"/>
  <c r="X24" i="14"/>
  <c r="X13" i="14"/>
  <c r="X11" i="14" s="1"/>
  <c r="X5" i="14"/>
  <c r="X4" i="14" s="1"/>
  <c r="X48" i="14"/>
  <c r="W3" i="14"/>
  <c r="X56" i="13"/>
  <c r="X5" i="13"/>
  <c r="X4" i="13" s="1"/>
  <c r="W42" i="13"/>
  <c r="W23" i="13" s="1"/>
  <c r="X24" i="13"/>
  <c r="X36" i="13"/>
  <c r="X62" i="13"/>
  <c r="Y63" i="13"/>
  <c r="Y59" i="13"/>
  <c r="Y58" i="13"/>
  <c r="Y65" i="13"/>
  <c r="Y64" i="13"/>
  <c r="Y60" i="13"/>
  <c r="Y55" i="13"/>
  <c r="Y51" i="13"/>
  <c r="Y57" i="13"/>
  <c r="Y53" i="13"/>
  <c r="Y54" i="13"/>
  <c r="Y44" i="13"/>
  <c r="Y41" i="13"/>
  <c r="Y52" i="13"/>
  <c r="Y47" i="13"/>
  <c r="Y40" i="13"/>
  <c r="Y61" i="13"/>
  <c r="Y46" i="13"/>
  <c r="Y50" i="13"/>
  <c r="Y49" i="13"/>
  <c r="Y45" i="13"/>
  <c r="Y39" i="13"/>
  <c r="Y33" i="13"/>
  <c r="Y38" i="13"/>
  <c r="Y37" i="13"/>
  <c r="Y31" i="13"/>
  <c r="Y28" i="13"/>
  <c r="Y19" i="13"/>
  <c r="Y15" i="13"/>
  <c r="Y35" i="13"/>
  <c r="Y30" i="13"/>
  <c r="Y27" i="13"/>
  <c r="Y22" i="13"/>
  <c r="Y18" i="13"/>
  <c r="Y34" i="13"/>
  <c r="Y26" i="13"/>
  <c r="Y21" i="13"/>
  <c r="Y17" i="13"/>
  <c r="Y32" i="13"/>
  <c r="Y20" i="13"/>
  <c r="Y16" i="13"/>
  <c r="Y8" i="13"/>
  <c r="Y14" i="13"/>
  <c r="Y7" i="13"/>
  <c r="Y10" i="13"/>
  <c r="Y12" i="13"/>
  <c r="Y9" i="13"/>
  <c r="X48" i="13"/>
  <c r="X43" i="13"/>
  <c r="X13" i="13"/>
  <c r="X11" i="13" s="1"/>
  <c r="X29" i="13"/>
  <c r="N98" i="2"/>
  <c r="N93" i="2"/>
  <c r="N75" i="2"/>
  <c r="N30" i="2"/>
  <c r="N25" i="2"/>
  <c r="N91" i="2"/>
  <c r="N61" i="2"/>
  <c r="N36" i="2"/>
  <c r="N73" i="2"/>
  <c r="N47" i="2"/>
  <c r="N82" i="2"/>
  <c r="N24" i="2"/>
  <c r="N118" i="2"/>
  <c r="N55" i="2"/>
  <c r="N99" i="2"/>
  <c r="N112" i="2"/>
  <c r="N54" i="2"/>
  <c r="N21" i="2"/>
  <c r="N18" i="2"/>
  <c r="N83" i="2"/>
  <c r="N79" i="2"/>
  <c r="N71" i="2"/>
  <c r="N63" i="2"/>
  <c r="N53" i="2"/>
  <c r="N39" i="2"/>
  <c r="N20" i="2"/>
  <c r="N43" i="2"/>
  <c r="N31" i="2"/>
  <c r="N17" i="2"/>
  <c r="N106" i="2"/>
  <c r="N92" i="2"/>
  <c r="N62" i="2"/>
  <c r="N40" i="2"/>
  <c r="N105" i="2"/>
  <c r="N57" i="2"/>
  <c r="N107" i="2"/>
  <c r="N86" i="2"/>
  <c r="N56" i="2"/>
  <c r="N35" i="2"/>
  <c r="N104" i="2"/>
  <c r="N85" i="2"/>
  <c r="N111" i="2"/>
  <c r="N46" i="2"/>
  <c r="N38" i="2"/>
  <c r="N34" i="2"/>
  <c r="N126" i="2"/>
  <c r="N87" i="2"/>
  <c r="N96" i="2"/>
  <c r="N44" i="2"/>
  <c r="N109" i="2"/>
  <c r="N103" i="2"/>
  <c r="N78" i="2"/>
  <c r="N70" i="2"/>
  <c r="N60" i="2"/>
  <c r="N52" i="2"/>
  <c r="N14" i="2"/>
  <c r="N42" i="2"/>
  <c r="N27" i="2"/>
  <c r="N16" i="2"/>
  <c r="N33" i="2"/>
  <c r="N97" i="2"/>
  <c r="N90" i="2"/>
  <c r="N74" i="2"/>
  <c r="N29" i="2"/>
  <c r="N80" i="2"/>
  <c r="N101" i="2"/>
  <c r="N76" i="2"/>
  <c r="N28" i="2"/>
  <c r="N100" i="2"/>
  <c r="N49" i="2"/>
  <c r="N50" i="2"/>
  <c r="N22" i="2"/>
  <c r="N19" i="2"/>
  <c r="N84" i="2"/>
  <c r="N45" i="2"/>
  <c r="N32" i="2"/>
  <c r="N110" i="2"/>
  <c r="N108" i="2"/>
  <c r="N102" i="2"/>
  <c r="N95" i="2"/>
  <c r="N94" i="2"/>
  <c r="N59" i="2"/>
  <c r="N51" i="2"/>
  <c r="N37" i="2"/>
  <c r="N81" i="2"/>
  <c r="N41" i="2"/>
  <c r="N26" i="2"/>
  <c r="N15" i="2"/>
  <c r="E22" i="1"/>
  <c r="E21" i="1"/>
  <c r="E20" i="1"/>
  <c r="E15" i="1"/>
  <c r="E17" i="1"/>
  <c r="E18" i="1"/>
  <c r="E14" i="1"/>
  <c r="E10" i="1"/>
  <c r="E9" i="1"/>
  <c r="E8" i="1"/>
  <c r="E7" i="1"/>
  <c r="AA24" i="20" l="1"/>
  <c r="AA20" i="20"/>
  <c r="AA16" i="20"/>
  <c r="AA25" i="20"/>
  <c r="AA21" i="20"/>
  <c r="AA17" i="20"/>
  <c r="AA13" i="20"/>
  <c r="AA19" i="20"/>
  <c r="AA12" i="20"/>
  <c r="AA22" i="20"/>
  <c r="AA14" i="20"/>
  <c r="AA11" i="20"/>
  <c r="AA23" i="20"/>
  <c r="AA15" i="20"/>
  <c r="AA18" i="20"/>
  <c r="AA10" i="20"/>
  <c r="W66" i="13"/>
  <c r="Y3" i="20"/>
  <c r="Z13" i="24"/>
  <c r="Z11" i="24" s="1"/>
  <c r="X66" i="23"/>
  <c r="X3" i="16"/>
  <c r="Y58" i="20"/>
  <c r="Y39" i="20" s="1"/>
  <c r="X42" i="14"/>
  <c r="X23" i="14" s="1"/>
  <c r="X42" i="16"/>
  <c r="X23" i="16" s="1"/>
  <c r="Z48" i="23"/>
  <c r="Y24" i="16"/>
  <c r="Z62" i="18"/>
  <c r="W66" i="16"/>
  <c r="Z56" i="22"/>
  <c r="Y56" i="14"/>
  <c r="X42" i="15"/>
  <c r="X23" i="15" s="1"/>
  <c r="Z52" i="20"/>
  <c r="W66" i="14"/>
  <c r="Y42" i="18"/>
  <c r="Y23" i="18" s="1"/>
  <c r="X66" i="18"/>
  <c r="Z78" i="20"/>
  <c r="Z43" i="24"/>
  <c r="X82" i="20"/>
  <c r="Z24" i="21"/>
  <c r="Y36" i="13"/>
  <c r="Z24" i="23"/>
  <c r="AA62" i="19"/>
  <c r="Z43" i="21"/>
  <c r="Y43" i="16"/>
  <c r="Y48" i="16"/>
  <c r="AA56" i="19"/>
  <c r="Z24" i="24"/>
  <c r="Z64" i="20"/>
  <c r="Z5" i="22"/>
  <c r="Z4" i="22" s="1"/>
  <c r="X3" i="13"/>
  <c r="AA5" i="19"/>
  <c r="AA4" i="19" s="1"/>
  <c r="Y5" i="16"/>
  <c r="Y4" i="16" s="1"/>
  <c r="Y3" i="21"/>
  <c r="AA13" i="19"/>
  <c r="AA11" i="19" s="1"/>
  <c r="X66" i="22"/>
  <c r="Y13" i="15"/>
  <c r="Y11" i="15" s="1"/>
  <c r="Y5" i="13"/>
  <c r="Y4" i="13" s="1"/>
  <c r="Y13" i="13"/>
  <c r="Y11" i="13" s="1"/>
  <c r="Z36" i="24"/>
  <c r="Z62" i="24"/>
  <c r="Z13" i="23"/>
  <c r="Z11" i="23" s="1"/>
  <c r="Z62" i="23"/>
  <c r="Y3" i="24"/>
  <c r="Y42" i="24"/>
  <c r="Y23" i="24" s="1"/>
  <c r="X66" i="24"/>
  <c r="Z48" i="24"/>
  <c r="Z56" i="24"/>
  <c r="Z5" i="24"/>
  <c r="Z4" i="24" s="1"/>
  <c r="AA65" i="24"/>
  <c r="AA64" i="24"/>
  <c r="AA60" i="24"/>
  <c r="AA59" i="24"/>
  <c r="AA63" i="24"/>
  <c r="AA53" i="24"/>
  <c r="AA51" i="24"/>
  <c r="AA58" i="24"/>
  <c r="AA55" i="24"/>
  <c r="AA54" i="24"/>
  <c r="AA45" i="24"/>
  <c r="AA38" i="24"/>
  <c r="AA44" i="24"/>
  <c r="AA41" i="24"/>
  <c r="AA37" i="24"/>
  <c r="AA50" i="24"/>
  <c r="AA61" i="24"/>
  <c r="AA57" i="24"/>
  <c r="AA49" i="24"/>
  <c r="AA46" i="24"/>
  <c r="AA40" i="24"/>
  <c r="AA35" i="24"/>
  <c r="AA31" i="24"/>
  <c r="AA52" i="24"/>
  <c r="AA47" i="24"/>
  <c r="AA39" i="24"/>
  <c r="AA28" i="24"/>
  <c r="AA19" i="24"/>
  <c r="AA15" i="24"/>
  <c r="AA12" i="24"/>
  <c r="AA32" i="24"/>
  <c r="AA30" i="24"/>
  <c r="AA27" i="24"/>
  <c r="AA22" i="24"/>
  <c r="AA18" i="24"/>
  <c r="AA14" i="24"/>
  <c r="AA26" i="24"/>
  <c r="AA21" i="24"/>
  <c r="AA34" i="24"/>
  <c r="AA33" i="24"/>
  <c r="AA9" i="24"/>
  <c r="AB2" i="24"/>
  <c r="AA16" i="24"/>
  <c r="AA8" i="24"/>
  <c r="AA20" i="24"/>
  <c r="AA7" i="24"/>
  <c r="AA17" i="24"/>
  <c r="AA10" i="24"/>
  <c r="Z29" i="24"/>
  <c r="Z29" i="23"/>
  <c r="Z43" i="23"/>
  <c r="Y42" i="23"/>
  <c r="Y23" i="23" s="1"/>
  <c r="Z5" i="23"/>
  <c r="Z4" i="23" s="1"/>
  <c r="AA65" i="23"/>
  <c r="AA61" i="23"/>
  <c r="AA64" i="23"/>
  <c r="AA60" i="23"/>
  <c r="AA63" i="23"/>
  <c r="AA59" i="23"/>
  <c r="AA55" i="23"/>
  <c r="AA52" i="23"/>
  <c r="AA58" i="23"/>
  <c r="AA54" i="23"/>
  <c r="AA51" i="23"/>
  <c r="AA53" i="23"/>
  <c r="AA57" i="23"/>
  <c r="AA47" i="23"/>
  <c r="AA50" i="23"/>
  <c r="AA46" i="23"/>
  <c r="AA49" i="23"/>
  <c r="AA45" i="23"/>
  <c r="AA38" i="23"/>
  <c r="AA34" i="23"/>
  <c r="AA30" i="23"/>
  <c r="AA27" i="23"/>
  <c r="AA44" i="23"/>
  <c r="AA41" i="23"/>
  <c r="AA37" i="23"/>
  <c r="AA40" i="23"/>
  <c r="AA32" i="23"/>
  <c r="AA28" i="23"/>
  <c r="AA19" i="23"/>
  <c r="AA31" i="23"/>
  <c r="AA26" i="23"/>
  <c r="AA22" i="23"/>
  <c r="AA18" i="23"/>
  <c r="AA14" i="23"/>
  <c r="AA35" i="23"/>
  <c r="AA21" i="23"/>
  <c r="AA17" i="23"/>
  <c r="AA20" i="23"/>
  <c r="AA9" i="23"/>
  <c r="AA16" i="23"/>
  <c r="AA8" i="23"/>
  <c r="AA39" i="23"/>
  <c r="AA33" i="23"/>
  <c r="AA12" i="23"/>
  <c r="AA15" i="23"/>
  <c r="AA10" i="23"/>
  <c r="AA7" i="23"/>
  <c r="AB2" i="23"/>
  <c r="Z56" i="23"/>
  <c r="Z36" i="23"/>
  <c r="Y3" i="23"/>
  <c r="Z13" i="22"/>
  <c r="Z11" i="22" s="1"/>
  <c r="Z43" i="22"/>
  <c r="Y42" i="22"/>
  <c r="Y23" i="22" s="1"/>
  <c r="Z36" i="22"/>
  <c r="AA37" i="22"/>
  <c r="AA9" i="22"/>
  <c r="AB2" i="22"/>
  <c r="AA65" i="22"/>
  <c r="AA61" i="22"/>
  <c r="AA52" i="22"/>
  <c r="AA41" i="22"/>
  <c r="AA34" i="22"/>
  <c r="AA45" i="22"/>
  <c r="AA33" i="22"/>
  <c r="AA28" i="22"/>
  <c r="AA20" i="22"/>
  <c r="AA12" i="22"/>
  <c r="AA8" i="22"/>
  <c r="AA7" i="22"/>
  <c r="AA64" i="22"/>
  <c r="AA57" i="22"/>
  <c r="AA53" i="22"/>
  <c r="AA50" i="22"/>
  <c r="AA30" i="22"/>
  <c r="AA39" i="22"/>
  <c r="AA46" i="22"/>
  <c r="AA26" i="22"/>
  <c r="AA35" i="22"/>
  <c r="AA58" i="22"/>
  <c r="AA16" i="22"/>
  <c r="AA18" i="22"/>
  <c r="AA60" i="22"/>
  <c r="AA59" i="22"/>
  <c r="AA51" i="22"/>
  <c r="AA47" i="22"/>
  <c r="AA27" i="22"/>
  <c r="AA38" i="22"/>
  <c r="AA32" i="22"/>
  <c r="AA21" i="22"/>
  <c r="AA19" i="22"/>
  <c r="AA49" i="22"/>
  <c r="AA14" i="22"/>
  <c r="AA22" i="22"/>
  <c r="AA63" i="22"/>
  <c r="AA55" i="22"/>
  <c r="AA44" i="22"/>
  <c r="AA40" i="22"/>
  <c r="AA54" i="22"/>
  <c r="AA31" i="22"/>
  <c r="AA17" i="22"/>
  <c r="AA15" i="22"/>
  <c r="AA10" i="22"/>
  <c r="Z48" i="22"/>
  <c r="Y3" i="22"/>
  <c r="Z62" i="22"/>
  <c r="Z24" i="22"/>
  <c r="Z29" i="22"/>
  <c r="Z5" i="21"/>
  <c r="Z4" i="21" s="1"/>
  <c r="Z48" i="21"/>
  <c r="Z56" i="21"/>
  <c r="X66" i="21"/>
  <c r="AA65" i="21"/>
  <c r="AA61" i="21"/>
  <c r="AA64" i="21"/>
  <c r="AA60" i="21"/>
  <c r="AA63" i="21"/>
  <c r="AA59" i="21"/>
  <c r="AA58" i="21"/>
  <c r="AA54" i="21"/>
  <c r="AA51" i="21"/>
  <c r="AA50" i="21"/>
  <c r="AA47" i="21"/>
  <c r="AA55" i="21"/>
  <c r="AA57" i="21"/>
  <c r="AA52" i="21"/>
  <c r="AA46" i="21"/>
  <c r="AA45" i="21"/>
  <c r="AA38" i="21"/>
  <c r="AA34" i="21"/>
  <c r="AA53" i="21"/>
  <c r="AA49" i="21"/>
  <c r="AA44" i="21"/>
  <c r="AA35" i="21"/>
  <c r="AA26" i="21"/>
  <c r="AA39" i="21"/>
  <c r="AA33" i="21"/>
  <c r="AA32" i="21"/>
  <c r="AA37" i="21"/>
  <c r="AA31" i="21"/>
  <c r="AA28" i="21"/>
  <c r="AA19" i="21"/>
  <c r="AA41" i="21"/>
  <c r="AA20" i="21"/>
  <c r="AA40" i="21"/>
  <c r="AA22" i="21"/>
  <c r="AA18" i="21"/>
  <c r="AA27" i="21"/>
  <c r="AA21" i="21"/>
  <c r="AA30" i="21"/>
  <c r="AA10" i="21"/>
  <c r="AA12" i="21"/>
  <c r="AA9" i="21"/>
  <c r="AB2" i="21"/>
  <c r="AA17" i="21"/>
  <c r="AA16" i="21"/>
  <c r="AA15" i="21"/>
  <c r="AA14" i="21"/>
  <c r="AA8" i="21"/>
  <c r="AA7" i="21"/>
  <c r="Z13" i="21"/>
  <c r="Z11" i="21" s="1"/>
  <c r="Y42" i="21"/>
  <c r="Y23" i="21" s="1"/>
  <c r="Z36" i="21"/>
  <c r="Z29" i="21"/>
  <c r="Z62" i="21"/>
  <c r="Z45" i="20"/>
  <c r="Z5" i="20"/>
  <c r="Z4" i="20" s="1"/>
  <c r="Z40" i="20"/>
  <c r="Z29" i="20"/>
  <c r="Z27" i="20" s="1"/>
  <c r="Z59" i="20"/>
  <c r="AA81" i="20"/>
  <c r="AA77" i="20"/>
  <c r="AA80" i="20"/>
  <c r="AA76" i="20"/>
  <c r="AA79" i="20"/>
  <c r="AA75" i="20"/>
  <c r="AA74" i="20"/>
  <c r="AA70" i="20"/>
  <c r="AA67" i="20"/>
  <c r="AA73" i="20"/>
  <c r="AA69" i="20"/>
  <c r="AA65" i="20"/>
  <c r="AA60" i="20"/>
  <c r="AA57" i="20"/>
  <c r="AA61" i="20"/>
  <c r="AA56" i="20"/>
  <c r="AA51" i="20"/>
  <c r="AA47" i="20"/>
  <c r="AA44" i="20"/>
  <c r="AA71" i="20"/>
  <c r="AA66" i="20"/>
  <c r="AA63" i="20"/>
  <c r="AA55" i="20"/>
  <c r="AA54" i="20"/>
  <c r="AA50" i="20"/>
  <c r="AA62" i="20"/>
  <c r="AA53" i="20"/>
  <c r="AA49" i="20"/>
  <c r="AA68" i="20"/>
  <c r="AA46" i="20"/>
  <c r="AA38" i="20"/>
  <c r="AA34" i="20"/>
  <c r="AA30" i="20"/>
  <c r="AA43" i="20"/>
  <c r="AA42" i="20"/>
  <c r="AA37" i="20"/>
  <c r="AA33" i="20"/>
  <c r="AA36" i="20"/>
  <c r="AA31" i="20"/>
  <c r="AA28" i="20"/>
  <c r="AA35" i="20"/>
  <c r="AA32" i="20"/>
  <c r="AA8" i="20"/>
  <c r="AA48" i="20"/>
  <c r="AA26" i="20"/>
  <c r="AA9" i="20"/>
  <c r="AA7" i="20"/>
  <c r="AB2" i="20"/>
  <c r="Z72" i="20"/>
  <c r="AA24" i="19"/>
  <c r="AA29" i="19"/>
  <c r="Y66" i="19"/>
  <c r="Z42" i="19"/>
  <c r="Z23" i="19" s="1"/>
  <c r="AB64" i="19"/>
  <c r="AB63" i="19"/>
  <c r="AB59" i="19"/>
  <c r="AB58" i="19"/>
  <c r="AB54" i="19"/>
  <c r="AB65" i="19"/>
  <c r="AB53" i="19"/>
  <c r="AB52" i="19"/>
  <c r="AB49" i="19"/>
  <c r="AB46" i="19"/>
  <c r="AB61" i="19"/>
  <c r="AB57" i="19"/>
  <c r="AB60" i="19"/>
  <c r="AB44" i="19"/>
  <c r="AB41" i="19"/>
  <c r="AB37" i="19"/>
  <c r="AB33" i="19"/>
  <c r="AB40" i="19"/>
  <c r="AB51" i="19"/>
  <c r="AB47" i="19"/>
  <c r="AB39" i="19"/>
  <c r="AB50" i="19"/>
  <c r="AB32" i="19"/>
  <c r="AB30" i="19"/>
  <c r="AB27" i="19"/>
  <c r="AB45" i="19"/>
  <c r="AB38" i="19"/>
  <c r="AB26" i="19"/>
  <c r="AB21" i="19"/>
  <c r="AB55" i="19"/>
  <c r="AB35" i="19"/>
  <c r="AB18" i="19"/>
  <c r="AB28" i="19"/>
  <c r="AB19" i="19"/>
  <c r="AB17" i="19"/>
  <c r="AB31" i="19"/>
  <c r="AB22" i="19"/>
  <c r="AB16" i="19"/>
  <c r="AB10" i="19"/>
  <c r="AB34" i="19"/>
  <c r="AB20" i="19"/>
  <c r="AB15" i="19"/>
  <c r="AB12" i="19"/>
  <c r="AB9" i="19"/>
  <c r="AB8" i="19"/>
  <c r="AB7" i="19"/>
  <c r="AC2" i="19"/>
  <c r="AB14" i="19"/>
  <c r="AA36" i="19"/>
  <c r="AA43" i="19"/>
  <c r="AA48" i="19"/>
  <c r="Z3" i="19"/>
  <c r="Z56" i="18"/>
  <c r="Z24" i="18"/>
  <c r="AA65" i="18"/>
  <c r="AA61" i="18"/>
  <c r="AA57" i="18"/>
  <c r="AA58" i="18"/>
  <c r="AA64" i="18"/>
  <c r="AA60" i="18"/>
  <c r="AA63" i="18"/>
  <c r="AA59" i="18"/>
  <c r="AA54" i="18"/>
  <c r="AA55" i="18"/>
  <c r="AA53" i="18"/>
  <c r="AA49" i="18"/>
  <c r="AA52" i="18"/>
  <c r="AA50" i="18"/>
  <c r="AA44" i="18"/>
  <c r="AA41" i="18"/>
  <c r="AA40" i="18"/>
  <c r="AA51" i="18"/>
  <c r="AA46" i="18"/>
  <c r="AA39" i="18"/>
  <c r="AA47" i="18"/>
  <c r="AA45" i="18"/>
  <c r="AA35" i="18"/>
  <c r="AA31" i="18"/>
  <c r="AA28" i="18"/>
  <c r="AA19" i="18"/>
  <c r="AA34" i="18"/>
  <c r="AA30" i="18"/>
  <c r="AA27" i="18"/>
  <c r="AA22" i="18"/>
  <c r="AA18" i="18"/>
  <c r="AA33" i="18"/>
  <c r="AA38" i="18"/>
  <c r="AA37" i="18"/>
  <c r="AA32" i="18"/>
  <c r="AA21" i="18"/>
  <c r="AA17" i="18"/>
  <c r="AA7" i="18"/>
  <c r="AA16" i="18"/>
  <c r="AA10" i="18"/>
  <c r="AB2" i="18"/>
  <c r="AA8" i="18"/>
  <c r="AA26" i="18"/>
  <c r="AA20" i="18"/>
  <c r="AA15" i="18"/>
  <c r="AA12" i="18"/>
  <c r="AA9" i="18"/>
  <c r="AA14" i="18"/>
  <c r="Z48" i="18"/>
  <c r="Y3" i="18"/>
  <c r="Z5" i="18"/>
  <c r="Z4" i="18" s="1"/>
  <c r="Z13" i="18"/>
  <c r="Z11" i="18" s="1"/>
  <c r="Z29" i="18"/>
  <c r="Z36" i="18"/>
  <c r="Z43" i="18"/>
  <c r="Y29" i="16"/>
  <c r="Y56" i="16"/>
  <c r="Y62" i="16"/>
  <c r="Y13" i="16"/>
  <c r="Y11" i="16" s="1"/>
  <c r="Y36" i="16"/>
  <c r="Z65" i="16"/>
  <c r="Z61" i="16"/>
  <c r="Z57" i="16"/>
  <c r="Z64" i="16"/>
  <c r="Z63" i="16"/>
  <c r="Z58" i="16"/>
  <c r="Z54" i="16"/>
  <c r="Z60" i="16"/>
  <c r="Z59" i="16"/>
  <c r="Z49" i="16"/>
  <c r="Z53" i="16"/>
  <c r="Z45" i="16"/>
  <c r="Z44" i="16"/>
  <c r="Z41" i="16"/>
  <c r="Z55" i="16"/>
  <c r="Z52" i="16"/>
  <c r="Z51" i="16"/>
  <c r="Z50" i="16"/>
  <c r="Z47" i="16"/>
  <c r="Z46" i="16"/>
  <c r="Z40" i="16"/>
  <c r="Z35" i="16"/>
  <c r="Z39" i="16"/>
  <c r="Z34" i="16"/>
  <c r="Z38" i="16"/>
  <c r="Z37" i="16"/>
  <c r="Z33" i="16"/>
  <c r="Z19" i="16"/>
  <c r="Z15" i="16"/>
  <c r="Z12" i="16"/>
  <c r="Z28" i="16"/>
  <c r="Z22" i="16"/>
  <c r="Z18" i="16"/>
  <c r="Z32" i="16"/>
  <c r="Z31" i="16"/>
  <c r="Z30" i="16"/>
  <c r="Z27" i="16"/>
  <c r="Z26" i="16"/>
  <c r="Z21" i="16"/>
  <c r="Z17" i="16"/>
  <c r="Z20" i="16"/>
  <c r="Z14" i="16"/>
  <c r="Z7" i="16"/>
  <c r="Z10" i="16"/>
  <c r="Z9" i="16"/>
  <c r="AA2" i="16"/>
  <c r="Z8" i="16"/>
  <c r="Z16" i="16"/>
  <c r="Y36" i="15"/>
  <c r="Y24" i="15"/>
  <c r="Y29" i="15"/>
  <c r="W66" i="15"/>
  <c r="X3" i="15"/>
  <c r="Z65" i="15"/>
  <c r="Z61" i="15"/>
  <c r="Z57" i="15"/>
  <c r="Z58" i="15"/>
  <c r="Z54" i="15"/>
  <c r="Z59" i="15"/>
  <c r="Z53" i="15"/>
  <c r="Z64" i="15"/>
  <c r="Z63" i="15"/>
  <c r="Z55" i="15"/>
  <c r="Z52" i="15"/>
  <c r="Z45" i="15"/>
  <c r="Z38" i="15"/>
  <c r="Z44" i="15"/>
  <c r="Z41" i="15"/>
  <c r="Z37" i="15"/>
  <c r="Z60" i="15"/>
  <c r="Z47" i="15"/>
  <c r="Z40" i="15"/>
  <c r="Z32" i="15"/>
  <c r="Z26" i="15"/>
  <c r="Z39" i="15"/>
  <c r="Z35" i="15"/>
  <c r="Z34" i="15"/>
  <c r="Z33" i="15"/>
  <c r="Z20" i="15"/>
  <c r="Z16" i="15"/>
  <c r="Z49" i="15"/>
  <c r="Z46" i="15"/>
  <c r="Z28" i="15"/>
  <c r="Z19" i="15"/>
  <c r="Z15" i="15"/>
  <c r="Z12" i="15"/>
  <c r="Z51" i="15"/>
  <c r="Z50" i="15"/>
  <c r="Z31" i="15"/>
  <c r="Z30" i="15"/>
  <c r="Z27" i="15"/>
  <c r="Z18" i="15"/>
  <c r="Z14" i="15"/>
  <c r="Z17" i="15"/>
  <c r="Z22" i="15"/>
  <c r="Z21" i="15"/>
  <c r="Z10" i="15"/>
  <c r="Z9" i="15"/>
  <c r="AA2" i="15"/>
  <c r="Z8" i="15"/>
  <c r="Z7" i="15"/>
  <c r="Y5" i="15"/>
  <c r="Y4" i="15" s="1"/>
  <c r="Y43" i="15"/>
  <c r="Y48" i="15"/>
  <c r="Y62" i="15"/>
  <c r="Y56" i="15"/>
  <c r="Y48" i="14"/>
  <c r="Y13" i="14"/>
  <c r="Y11" i="14" s="1"/>
  <c r="Y29" i="14"/>
  <c r="Y62" i="14"/>
  <c r="Y36" i="14"/>
  <c r="X3" i="14"/>
  <c r="Y5" i="14"/>
  <c r="Y4" i="14" s="1"/>
  <c r="Z65" i="14"/>
  <c r="Z61" i="14"/>
  <c r="Z57" i="14"/>
  <c r="Z60" i="14"/>
  <c r="Z59" i="14"/>
  <c r="Z64" i="14"/>
  <c r="Z58" i="14"/>
  <c r="Z54" i="14"/>
  <c r="Z51" i="14"/>
  <c r="Z55" i="14"/>
  <c r="Z63" i="14"/>
  <c r="Z53" i="14"/>
  <c r="Z52" i="14"/>
  <c r="Z47" i="14"/>
  <c r="Z40" i="14"/>
  <c r="Z32" i="14"/>
  <c r="Z46" i="14"/>
  <c r="Z45" i="14"/>
  <c r="Z44" i="14"/>
  <c r="Z41" i="14"/>
  <c r="Z37" i="14"/>
  <c r="Z33" i="14"/>
  <c r="Z49" i="14"/>
  <c r="Z39" i="14"/>
  <c r="Z35" i="14"/>
  <c r="Z31" i="14"/>
  <c r="Z17" i="14"/>
  <c r="Z34" i="14"/>
  <c r="Z30" i="14"/>
  <c r="Z20" i="14"/>
  <c r="Z38" i="14"/>
  <c r="Z28" i="14"/>
  <c r="Z27" i="14"/>
  <c r="Z50" i="14"/>
  <c r="Z26" i="14"/>
  <c r="Z21" i="14"/>
  <c r="Z16" i="14"/>
  <c r="Z12" i="14"/>
  <c r="Z9" i="14"/>
  <c r="AA2" i="14"/>
  <c r="Z8" i="14"/>
  <c r="Z10" i="14"/>
  <c r="Z15" i="14"/>
  <c r="Z22" i="14"/>
  <c r="Z19" i="14"/>
  <c r="Z18" i="14"/>
  <c r="Z14" i="14"/>
  <c r="Z7" i="14"/>
  <c r="Y24" i="14"/>
  <c r="Y43" i="14"/>
  <c r="Y24" i="13"/>
  <c r="Z65" i="13"/>
  <c r="Z61" i="13"/>
  <c r="Z57" i="13"/>
  <c r="Z64" i="13"/>
  <c r="Z63" i="13"/>
  <c r="Z59" i="13"/>
  <c r="Z58" i="13"/>
  <c r="Z54" i="13"/>
  <c r="Z50" i="13"/>
  <c r="Z60" i="13"/>
  <c r="Z53" i="13"/>
  <c r="Z52" i="13"/>
  <c r="Z47" i="13"/>
  <c r="Z51" i="13"/>
  <c r="Z46" i="13"/>
  <c r="Z39" i="13"/>
  <c r="Z35" i="13"/>
  <c r="Z55" i="13"/>
  <c r="Z49" i="13"/>
  <c r="Z38" i="13"/>
  <c r="Z37" i="13"/>
  <c r="Z41" i="13"/>
  <c r="Z40" i="13"/>
  <c r="Z34" i="13"/>
  <c r="Z30" i="13"/>
  <c r="Z27" i="13"/>
  <c r="Z22" i="13"/>
  <c r="Z18" i="13"/>
  <c r="Z45" i="13"/>
  <c r="Z26" i="13"/>
  <c r="Z21" i="13"/>
  <c r="Z44" i="13"/>
  <c r="Z33" i="13"/>
  <c r="Z32" i="13"/>
  <c r="Z20" i="13"/>
  <c r="Z16" i="13"/>
  <c r="Z31" i="13"/>
  <c r="Z28" i="13"/>
  <c r="Z19" i="13"/>
  <c r="Z15" i="13"/>
  <c r="Z14" i="13"/>
  <c r="Z10" i="13"/>
  <c r="Z12" i="13"/>
  <c r="Z9" i="13"/>
  <c r="Z8" i="13"/>
  <c r="Z7" i="13"/>
  <c r="Z17" i="13"/>
  <c r="Y56" i="13"/>
  <c r="Y62" i="13"/>
  <c r="Y48" i="13"/>
  <c r="Y43" i="13"/>
  <c r="X42" i="13"/>
  <c r="X23" i="13" s="1"/>
  <c r="Y29" i="13"/>
  <c r="E5" i="1"/>
  <c r="E19" i="1"/>
  <c r="E16" i="1"/>
  <c r="E12" i="1"/>
  <c r="J231" i="3"/>
  <c r="K231" i="3" s="1"/>
  <c r="I230" i="3"/>
  <c r="I229" i="3"/>
  <c r="I228" i="3"/>
  <c r="J226" i="2"/>
  <c r="K226" i="2" s="1"/>
  <c r="J355" i="2"/>
  <c r="K355" i="2" s="1"/>
  <c r="J225" i="2"/>
  <c r="K225" i="2" s="1"/>
  <c r="J351" i="2"/>
  <c r="K351" i="2" s="1"/>
  <c r="J227" i="2"/>
  <c r="K227" i="2" s="1"/>
  <c r="J224" i="2"/>
  <c r="K224" i="2" s="1"/>
  <c r="J223" i="2"/>
  <c r="K223" i="2" s="1"/>
  <c r="J222" i="2"/>
  <c r="K222" i="2" s="1"/>
  <c r="J221" i="2"/>
  <c r="K221" i="2" s="1"/>
  <c r="J220" i="2"/>
  <c r="K220" i="2" s="1"/>
  <c r="J174" i="2"/>
  <c r="K174" i="2" s="1"/>
  <c r="J217" i="2"/>
  <c r="K217" i="2" s="1"/>
  <c r="J216" i="2"/>
  <c r="K216" i="2" s="1"/>
  <c r="J173" i="2"/>
  <c r="K173" i="2" s="1"/>
  <c r="J213" i="2"/>
  <c r="K213" i="2" s="1"/>
  <c r="J212" i="2"/>
  <c r="K212" i="2" s="1"/>
  <c r="J179" i="2"/>
  <c r="K179" i="2" s="1"/>
  <c r="J149" i="2"/>
  <c r="K149" i="2" s="1"/>
  <c r="N149" i="2" s="1"/>
  <c r="J178" i="2"/>
  <c r="K178" i="2" s="1"/>
  <c r="J148" i="2"/>
  <c r="K148" i="2" s="1"/>
  <c r="J169" i="2"/>
  <c r="K169" i="2" s="1"/>
  <c r="J198" i="2"/>
  <c r="K198" i="2" s="1"/>
  <c r="J197" i="2"/>
  <c r="J145" i="2"/>
  <c r="K145" i="2" s="1"/>
  <c r="K157" i="2"/>
  <c r="J194" i="2"/>
  <c r="K194" i="2" s="1"/>
  <c r="J193" i="2"/>
  <c r="K193" i="2" s="1"/>
  <c r="J168" i="2"/>
  <c r="K168" i="2" s="1"/>
  <c r="J165" i="2"/>
  <c r="K165" i="2" s="1"/>
  <c r="J164" i="2"/>
  <c r="K164" i="2" s="1"/>
  <c r="J156" i="2"/>
  <c r="K156" i="2" s="1"/>
  <c r="J181" i="2"/>
  <c r="K181" i="2" s="1"/>
  <c r="J180" i="2"/>
  <c r="K180" i="2" s="1"/>
  <c r="J153" i="2"/>
  <c r="K153" i="2" s="1"/>
  <c r="J177" i="2"/>
  <c r="K177" i="2" s="1"/>
  <c r="J176" i="2"/>
  <c r="K176" i="2" s="1"/>
  <c r="J175" i="2"/>
  <c r="J161" i="2"/>
  <c r="K161" i="2" s="1"/>
  <c r="J172" i="2"/>
  <c r="K172" i="2" s="1"/>
  <c r="J171" i="2"/>
  <c r="K171" i="2" s="1"/>
  <c r="J170" i="2"/>
  <c r="J152" i="2"/>
  <c r="K152" i="2" s="1"/>
  <c r="J167" i="2"/>
  <c r="K167" i="2" s="1"/>
  <c r="J166" i="2"/>
  <c r="K166" i="2" s="1"/>
  <c r="J189" i="2"/>
  <c r="K189" i="2" s="1"/>
  <c r="J163" i="2"/>
  <c r="K163" i="2" s="1"/>
  <c r="J162" i="2"/>
  <c r="K162" i="2" s="1"/>
  <c r="J160" i="2"/>
  <c r="K160" i="2" s="1"/>
  <c r="J159" i="2"/>
  <c r="K159" i="2" s="1"/>
  <c r="J158" i="2"/>
  <c r="K158" i="2" s="1"/>
  <c r="J182" i="2"/>
  <c r="K182" i="2" s="1"/>
  <c r="J155" i="2"/>
  <c r="K155" i="2" s="1"/>
  <c r="J154" i="2"/>
  <c r="K154" i="2" s="1"/>
  <c r="J138" i="2"/>
  <c r="K138" i="2" s="1"/>
  <c r="J183" i="2"/>
  <c r="K183" i="2" s="1"/>
  <c r="AB22" i="20" l="1"/>
  <c r="AB14" i="20"/>
  <c r="AB25" i="20"/>
  <c r="AB21" i="20"/>
  <c r="AB17" i="20"/>
  <c r="AB13" i="20"/>
  <c r="AB18" i="20"/>
  <c r="AB10" i="20"/>
  <c r="AB12" i="20"/>
  <c r="AB20" i="20"/>
  <c r="AB11" i="20"/>
  <c r="AB23" i="20"/>
  <c r="AB15" i="20"/>
  <c r="AB24" i="20"/>
  <c r="AB19" i="20"/>
  <c r="AB16" i="20"/>
  <c r="K150" i="2"/>
  <c r="N150" i="2" s="1"/>
  <c r="N148" i="2"/>
  <c r="Y66" i="21"/>
  <c r="Y82" i="20"/>
  <c r="X66" i="13"/>
  <c r="X66" i="16"/>
  <c r="Z62" i="13"/>
  <c r="Y42" i="14"/>
  <c r="Y23" i="14" s="1"/>
  <c r="X66" i="15"/>
  <c r="Z66" i="19"/>
  <c r="AA24" i="18"/>
  <c r="AA62" i="22"/>
  <c r="Z36" i="13"/>
  <c r="AA62" i="24"/>
  <c r="Z42" i="24"/>
  <c r="Z23" i="24" s="1"/>
  <c r="Z62" i="15"/>
  <c r="AA72" i="20"/>
  <c r="AA62" i="23"/>
  <c r="Y42" i="16"/>
  <c r="Y23" i="16" s="1"/>
  <c r="AA24" i="24"/>
  <c r="Z43" i="14"/>
  <c r="Z62" i="14"/>
  <c r="AA52" i="20"/>
  <c r="AA29" i="21"/>
  <c r="AA43" i="23"/>
  <c r="Z62" i="16"/>
  <c r="AA43" i="21"/>
  <c r="AA62" i="21"/>
  <c r="AA56" i="23"/>
  <c r="Z29" i="15"/>
  <c r="Z36" i="16"/>
  <c r="Z48" i="13"/>
  <c r="X66" i="14"/>
  <c r="AA43" i="22"/>
  <c r="Z29" i="14"/>
  <c r="AA78" i="20"/>
  <c r="AA48" i="23"/>
  <c r="Z3" i="22"/>
  <c r="Y3" i="16"/>
  <c r="AB13" i="19"/>
  <c r="AB11" i="19" s="1"/>
  <c r="Z5" i="15"/>
  <c r="Z4" i="15" s="1"/>
  <c r="Y3" i="13"/>
  <c r="AA5" i="20"/>
  <c r="AA4" i="20" s="1"/>
  <c r="Z3" i="21"/>
  <c r="AA3" i="19"/>
  <c r="Y3" i="15"/>
  <c r="AA5" i="23"/>
  <c r="AA4" i="23" s="1"/>
  <c r="AA5" i="24"/>
  <c r="AA4" i="24" s="1"/>
  <c r="AB64" i="24"/>
  <c r="AB63" i="24"/>
  <c r="AB59" i="24"/>
  <c r="AB65" i="24"/>
  <c r="AB61" i="24"/>
  <c r="AB57" i="24"/>
  <c r="AB55" i="24"/>
  <c r="AB52" i="24"/>
  <c r="AB50" i="24"/>
  <c r="AB58" i="24"/>
  <c r="AB44" i="24"/>
  <c r="AB41" i="24"/>
  <c r="AB37" i="24"/>
  <c r="AB60" i="24"/>
  <c r="AB51" i="24"/>
  <c r="AB47" i="24"/>
  <c r="AB40" i="24"/>
  <c r="AB53" i="24"/>
  <c r="AB49" i="24"/>
  <c r="AB46" i="24"/>
  <c r="AB38" i="24"/>
  <c r="AB35" i="24"/>
  <c r="AB54" i="24"/>
  <c r="AB45" i="24"/>
  <c r="AB39" i="24"/>
  <c r="AB34" i="24"/>
  <c r="AB32" i="24"/>
  <c r="AB30" i="24"/>
  <c r="AB27" i="24"/>
  <c r="AB22" i="24"/>
  <c r="AB18" i="24"/>
  <c r="AB14" i="24"/>
  <c r="AB31" i="24"/>
  <c r="AB26" i="24"/>
  <c r="AB21" i="24"/>
  <c r="AB17" i="24"/>
  <c r="AB33" i="24"/>
  <c r="AB20" i="24"/>
  <c r="AB28" i="24"/>
  <c r="AB16" i="24"/>
  <c r="AB8" i="24"/>
  <c r="AB10" i="24"/>
  <c r="AB12" i="24"/>
  <c r="AB7" i="24"/>
  <c r="AB15" i="24"/>
  <c r="AC2" i="24"/>
  <c r="AB19" i="24"/>
  <c r="AB9" i="24"/>
  <c r="AA56" i="24"/>
  <c r="Z3" i="24"/>
  <c r="AA43" i="24"/>
  <c r="AA13" i="24"/>
  <c r="AA11" i="24" s="1"/>
  <c r="AA29" i="24"/>
  <c r="AA48" i="24"/>
  <c r="AA36" i="24"/>
  <c r="Y66" i="24"/>
  <c r="AA24" i="23"/>
  <c r="AA13" i="23"/>
  <c r="AA11" i="23" s="1"/>
  <c r="AA36" i="23"/>
  <c r="AA29" i="23"/>
  <c r="Z42" i="23"/>
  <c r="Z23" i="23" s="1"/>
  <c r="Y66" i="23"/>
  <c r="AB64" i="23"/>
  <c r="AB63" i="23"/>
  <c r="AB59" i="23"/>
  <c r="AB58" i="23"/>
  <c r="AB54" i="23"/>
  <c r="AB51" i="23"/>
  <c r="AB53" i="23"/>
  <c r="AB50" i="23"/>
  <c r="AB65" i="23"/>
  <c r="AB57" i="23"/>
  <c r="AB61" i="23"/>
  <c r="AB46" i="23"/>
  <c r="AB49" i="23"/>
  <c r="AB45" i="23"/>
  <c r="AB60" i="23"/>
  <c r="AB55" i="23"/>
  <c r="AB52" i="23"/>
  <c r="AB44" i="23"/>
  <c r="AB47" i="23"/>
  <c r="AB41" i="23"/>
  <c r="AB37" i="23"/>
  <c r="AB33" i="23"/>
  <c r="AB26" i="23"/>
  <c r="AB40" i="23"/>
  <c r="AB39" i="23"/>
  <c r="AB35" i="23"/>
  <c r="AB31" i="23"/>
  <c r="AB38" i="23"/>
  <c r="AB27" i="23"/>
  <c r="AB22" i="23"/>
  <c r="AB34" i="23"/>
  <c r="AB30" i="23"/>
  <c r="AB21" i="23"/>
  <c r="AB17" i="23"/>
  <c r="AB20" i="23"/>
  <c r="AB16" i="23"/>
  <c r="AB18" i="23"/>
  <c r="AB8" i="23"/>
  <c r="AB19" i="23"/>
  <c r="AB12" i="23"/>
  <c r="AB7" i="23"/>
  <c r="AB28" i="23"/>
  <c r="AB15" i="23"/>
  <c r="AB14" i="23"/>
  <c r="AB10" i="23"/>
  <c r="AB32" i="23"/>
  <c r="AB9" i="23"/>
  <c r="AC2" i="23"/>
  <c r="Z3" i="23"/>
  <c r="Y66" i="22"/>
  <c r="AA13" i="22"/>
  <c r="AA11" i="22" s="1"/>
  <c r="AA48" i="22"/>
  <c r="AA56" i="22"/>
  <c r="AA36" i="22"/>
  <c r="Z42" i="22"/>
  <c r="Z23" i="22" s="1"/>
  <c r="AA29" i="22"/>
  <c r="AA24" i="22"/>
  <c r="AA5" i="22"/>
  <c r="AA4" i="22" s="1"/>
  <c r="AB61" i="22"/>
  <c r="AB58" i="22"/>
  <c r="AB47" i="22"/>
  <c r="AB46" i="22"/>
  <c r="AB45" i="22"/>
  <c r="AB33" i="22"/>
  <c r="AB35" i="22"/>
  <c r="AB27" i="22"/>
  <c r="AB19" i="22"/>
  <c r="AB7" i="22"/>
  <c r="AB8" i="22"/>
  <c r="AB9" i="22"/>
  <c r="AB64" i="22"/>
  <c r="AB57" i="22"/>
  <c r="AB54" i="22"/>
  <c r="AB40" i="22"/>
  <c r="AB39" i="22"/>
  <c r="AB41" i="22"/>
  <c r="AB26" i="22"/>
  <c r="AB31" i="22"/>
  <c r="AB20" i="22"/>
  <c r="AB22" i="22"/>
  <c r="AC2" i="22"/>
  <c r="AB17" i="22"/>
  <c r="AB63" i="22"/>
  <c r="AB60" i="22"/>
  <c r="AB51" i="22"/>
  <c r="AB52" i="22"/>
  <c r="AB55" i="22"/>
  <c r="AB38" i="22"/>
  <c r="AB32" i="22"/>
  <c r="AB28" i="22"/>
  <c r="AB16" i="22"/>
  <c r="AB18" i="22"/>
  <c r="AB34" i="22"/>
  <c r="AB12" i="22"/>
  <c r="AB59" i="22"/>
  <c r="AB65" i="22"/>
  <c r="AB50" i="22"/>
  <c r="AB49" i="22"/>
  <c r="AB53" i="22"/>
  <c r="AB37" i="22"/>
  <c r="AB44" i="22"/>
  <c r="AB30" i="22"/>
  <c r="AB10" i="22"/>
  <c r="AB14" i="22"/>
  <c r="AB15" i="22"/>
  <c r="AB21" i="22"/>
  <c r="Z42" i="21"/>
  <c r="Z23" i="21" s="1"/>
  <c r="AA13" i="21"/>
  <c r="AA11" i="21" s="1"/>
  <c r="AA56" i="21"/>
  <c r="AB64" i="21"/>
  <c r="AB60" i="21"/>
  <c r="AB63" i="21"/>
  <c r="AB59" i="21"/>
  <c r="AB65" i="21"/>
  <c r="AB53" i="21"/>
  <c r="AB61" i="21"/>
  <c r="AB55" i="21"/>
  <c r="AB52" i="21"/>
  <c r="AB49" i="21"/>
  <c r="AB57" i="21"/>
  <c r="AB58" i="21"/>
  <c r="AB54" i="21"/>
  <c r="AB47" i="21"/>
  <c r="AB45" i="21"/>
  <c r="AB51" i="21"/>
  <c r="AB50" i="21"/>
  <c r="AB44" i="21"/>
  <c r="AB41" i="21"/>
  <c r="AB37" i="21"/>
  <c r="AB33" i="21"/>
  <c r="AB39" i="21"/>
  <c r="AB34" i="21"/>
  <c r="AB32" i="21"/>
  <c r="AB38" i="21"/>
  <c r="AB31" i="21"/>
  <c r="AB28" i="21"/>
  <c r="AB40" i="21"/>
  <c r="AB30" i="21"/>
  <c r="AB27" i="21"/>
  <c r="AB22" i="21"/>
  <c r="AB18" i="21"/>
  <c r="AB46" i="21"/>
  <c r="AB19" i="21"/>
  <c r="AB26" i="21"/>
  <c r="AB21" i="21"/>
  <c r="AB17" i="21"/>
  <c r="AB16" i="21"/>
  <c r="AB35" i="21"/>
  <c r="AB20" i="21"/>
  <c r="AB10" i="21"/>
  <c r="AB12" i="21"/>
  <c r="AB9" i="21"/>
  <c r="AB15" i="21"/>
  <c r="AB14" i="21"/>
  <c r="AB8" i="21"/>
  <c r="AC2" i="21"/>
  <c r="AB7" i="21"/>
  <c r="AA5" i="21"/>
  <c r="AA4" i="21" s="1"/>
  <c r="AA48" i="21"/>
  <c r="AA36" i="21"/>
  <c r="AA24" i="21"/>
  <c r="AA29" i="20"/>
  <c r="AA27" i="20" s="1"/>
  <c r="AA59" i="20"/>
  <c r="Z3" i="20"/>
  <c r="AB80" i="20"/>
  <c r="AB76" i="20"/>
  <c r="AB79" i="20"/>
  <c r="AB75" i="20"/>
  <c r="AB81" i="20"/>
  <c r="AB69" i="20"/>
  <c r="AB74" i="20"/>
  <c r="AB77" i="20"/>
  <c r="AB71" i="20"/>
  <c r="AB68" i="20"/>
  <c r="AB66" i="20"/>
  <c r="AB63" i="20"/>
  <c r="AB56" i="20"/>
  <c r="AB60" i="20"/>
  <c r="AB55" i="20"/>
  <c r="AB54" i="20"/>
  <c r="AB50" i="20"/>
  <c r="AB46" i="20"/>
  <c r="AB43" i="20"/>
  <c r="AB73" i="20"/>
  <c r="AB67" i="20"/>
  <c r="AB62" i="20"/>
  <c r="AB53" i="20"/>
  <c r="AB49" i="20"/>
  <c r="AB65" i="20"/>
  <c r="AB48" i="20"/>
  <c r="AB57" i="20"/>
  <c r="AB51" i="20"/>
  <c r="AB42" i="20"/>
  <c r="AB37" i="20"/>
  <c r="AB33" i="20"/>
  <c r="AB61" i="20"/>
  <c r="AB44" i="20"/>
  <c r="AB36" i="20"/>
  <c r="AB32" i="20"/>
  <c r="AB70" i="20"/>
  <c r="AB47" i="20"/>
  <c r="AB35" i="20"/>
  <c r="AB26" i="20"/>
  <c r="AB9" i="20"/>
  <c r="AB38" i="20"/>
  <c r="AB34" i="20"/>
  <c r="AB7" i="20"/>
  <c r="AB31" i="20"/>
  <c r="AB28" i="20"/>
  <c r="AB30" i="20"/>
  <c r="AC2" i="20"/>
  <c r="AB8" i="20"/>
  <c r="AA64" i="20"/>
  <c r="Z58" i="20"/>
  <c r="Z39" i="20" s="1"/>
  <c r="AA40" i="20"/>
  <c r="AA45" i="20"/>
  <c r="AA42" i="19"/>
  <c r="AA23" i="19" s="1"/>
  <c r="AB5" i="19"/>
  <c r="AB4" i="19" s="1"/>
  <c r="AB43" i="19"/>
  <c r="AB62" i="19"/>
  <c r="AB48" i="19"/>
  <c r="AB24" i="19"/>
  <c r="AB29" i="19"/>
  <c r="AB36" i="19"/>
  <c r="AB56" i="19"/>
  <c r="AC63" i="19"/>
  <c r="AC58" i="19"/>
  <c r="AC65" i="19"/>
  <c r="AC64" i="19"/>
  <c r="AC53" i="19"/>
  <c r="AC61" i="19"/>
  <c r="AC57" i="19"/>
  <c r="AC60" i="19"/>
  <c r="AC55" i="19"/>
  <c r="AC40" i="19"/>
  <c r="AC32" i="19"/>
  <c r="AC54" i="19"/>
  <c r="AC51" i="19"/>
  <c r="AC47" i="19"/>
  <c r="AC39" i="19"/>
  <c r="AC59" i="19"/>
  <c r="AC52" i="19"/>
  <c r="AC50" i="19"/>
  <c r="AC46" i="19"/>
  <c r="AC45" i="19"/>
  <c r="AC38" i="19"/>
  <c r="AC41" i="19"/>
  <c r="AC37" i="19"/>
  <c r="AC26" i="19"/>
  <c r="AC35" i="19"/>
  <c r="AC20" i="19"/>
  <c r="AC44" i="19"/>
  <c r="AC33" i="19"/>
  <c r="AC28" i="19"/>
  <c r="AC19" i="19"/>
  <c r="AC17" i="19"/>
  <c r="AC49" i="19"/>
  <c r="AC31" i="19"/>
  <c r="AC27" i="19"/>
  <c r="AC22" i="19"/>
  <c r="AC16" i="19"/>
  <c r="AC34" i="19"/>
  <c r="AC30" i="19"/>
  <c r="AC21" i="19"/>
  <c r="AC15" i="19"/>
  <c r="AC12" i="19"/>
  <c r="AC9" i="19"/>
  <c r="AC7" i="19"/>
  <c r="AC18" i="19"/>
  <c r="AC14" i="19"/>
  <c r="AD2" i="19"/>
  <c r="AC10" i="19"/>
  <c r="AC8" i="19"/>
  <c r="AA62" i="18"/>
  <c r="Z42" i="18"/>
  <c r="Z23" i="18" s="1"/>
  <c r="AA56" i="18"/>
  <c r="AA5" i="18"/>
  <c r="AA4" i="18" s="1"/>
  <c r="AA36" i="18"/>
  <c r="Y66" i="18"/>
  <c r="Z3" i="18"/>
  <c r="AA43" i="18"/>
  <c r="AB64" i="18"/>
  <c r="AB60" i="18"/>
  <c r="AB65" i="18"/>
  <c r="AB61" i="18"/>
  <c r="AB57" i="18"/>
  <c r="AB55" i="18"/>
  <c r="AB63" i="18"/>
  <c r="AB54" i="18"/>
  <c r="AB59" i="18"/>
  <c r="AB52" i="18"/>
  <c r="AB58" i="18"/>
  <c r="AB51" i="18"/>
  <c r="AB40" i="18"/>
  <c r="AB53" i="18"/>
  <c r="AB46" i="18"/>
  <c r="AB39" i="18"/>
  <c r="AB47" i="18"/>
  <c r="AB45" i="18"/>
  <c r="AB38" i="18"/>
  <c r="AB50" i="18"/>
  <c r="AB49" i="18"/>
  <c r="AB44" i="18"/>
  <c r="AB41" i="18"/>
  <c r="AB34" i="18"/>
  <c r="AB30" i="18"/>
  <c r="AB27" i="18"/>
  <c r="AB22" i="18"/>
  <c r="AB18" i="18"/>
  <c r="AB33" i="18"/>
  <c r="AB26" i="18"/>
  <c r="AB21" i="18"/>
  <c r="AB17" i="18"/>
  <c r="AB37" i="18"/>
  <c r="AB32" i="18"/>
  <c r="AB35" i="18"/>
  <c r="AB31" i="18"/>
  <c r="AB28" i="18"/>
  <c r="AB16" i="18"/>
  <c r="AB10" i="18"/>
  <c r="AB20" i="18"/>
  <c r="AB15" i="18"/>
  <c r="AB12" i="18"/>
  <c r="AB9" i="18"/>
  <c r="AC2" i="18"/>
  <c r="AB7" i="18"/>
  <c r="AB14" i="18"/>
  <c r="AB8" i="18"/>
  <c r="AB19" i="18"/>
  <c r="AA13" i="18"/>
  <c r="AA11" i="18" s="1"/>
  <c r="AA29" i="18"/>
  <c r="AA48" i="18"/>
  <c r="Z43" i="16"/>
  <c r="Z29" i="16"/>
  <c r="Z5" i="16"/>
  <c r="Z4" i="16" s="1"/>
  <c r="Z56" i="16"/>
  <c r="AA65" i="16"/>
  <c r="AA61" i="16"/>
  <c r="AA64" i="16"/>
  <c r="AA60" i="16"/>
  <c r="AA63" i="16"/>
  <c r="AA53" i="16"/>
  <c r="AA57" i="16"/>
  <c r="AA59" i="16"/>
  <c r="AA55" i="16"/>
  <c r="AA52" i="16"/>
  <c r="AA54" i="16"/>
  <c r="AA58" i="16"/>
  <c r="AA51" i="16"/>
  <c r="AA50" i="16"/>
  <c r="AA47" i="16"/>
  <c r="AA40" i="16"/>
  <c r="AA49" i="16"/>
  <c r="AA46" i="16"/>
  <c r="AA41" i="16"/>
  <c r="AA35" i="16"/>
  <c r="AA45" i="16"/>
  <c r="AA44" i="16"/>
  <c r="AA39" i="16"/>
  <c r="AA34" i="16"/>
  <c r="AA38" i="16"/>
  <c r="AA37" i="16"/>
  <c r="AA33" i="16"/>
  <c r="AA32" i="16"/>
  <c r="AA28" i="16"/>
  <c r="AA22" i="16"/>
  <c r="AA18" i="16"/>
  <c r="AA14" i="16"/>
  <c r="AA31" i="16"/>
  <c r="AA30" i="16"/>
  <c r="AA27" i="16"/>
  <c r="AA26" i="16"/>
  <c r="AA21" i="16"/>
  <c r="AA17" i="16"/>
  <c r="AA20" i="16"/>
  <c r="AA16" i="16"/>
  <c r="AA10" i="16"/>
  <c r="AA19" i="16"/>
  <c r="AA15" i="16"/>
  <c r="AA9" i="16"/>
  <c r="AB2" i="16"/>
  <c r="AA8" i="16"/>
  <c r="AA7" i="16"/>
  <c r="AA12" i="16"/>
  <c r="Z13" i="16"/>
  <c r="Z11" i="16" s="1"/>
  <c r="Z24" i="16"/>
  <c r="Z48" i="16"/>
  <c r="Z43" i="15"/>
  <c r="Y42" i="15"/>
  <c r="Y23" i="15" s="1"/>
  <c r="AA65" i="15"/>
  <c r="AA61" i="15"/>
  <c r="AA64" i="15"/>
  <c r="AA60" i="15"/>
  <c r="AA53" i="15"/>
  <c r="AA63" i="15"/>
  <c r="AA55" i="15"/>
  <c r="AA52" i="15"/>
  <c r="AA58" i="15"/>
  <c r="AA57" i="15"/>
  <c r="AA51" i="15"/>
  <c r="AA44" i="15"/>
  <c r="AA41" i="15"/>
  <c r="AA37" i="15"/>
  <c r="AA54" i="15"/>
  <c r="AA47" i="15"/>
  <c r="AA40" i="15"/>
  <c r="AA50" i="15"/>
  <c r="AA49" i="15"/>
  <c r="AA46" i="15"/>
  <c r="AA39" i="15"/>
  <c r="AA35" i="15"/>
  <c r="AA31" i="15"/>
  <c r="AA34" i="15"/>
  <c r="AA33" i="15"/>
  <c r="AA28" i="15"/>
  <c r="AA19" i="15"/>
  <c r="AA38" i="15"/>
  <c r="AA32" i="15"/>
  <c r="AA30" i="15"/>
  <c r="AA27" i="15"/>
  <c r="AA22" i="15"/>
  <c r="AA18" i="15"/>
  <c r="AA14" i="15"/>
  <c r="AA59" i="15"/>
  <c r="AA20" i="15"/>
  <c r="AA45" i="15"/>
  <c r="AA15" i="15"/>
  <c r="AA21" i="15"/>
  <c r="AA17" i="15"/>
  <c r="AA26" i="15"/>
  <c r="AA12" i="15"/>
  <c r="AA16" i="15"/>
  <c r="AA10" i="15"/>
  <c r="AA9" i="15"/>
  <c r="AA8" i="15"/>
  <c r="AA7" i="15"/>
  <c r="AB2" i="15"/>
  <c r="Z24" i="15"/>
  <c r="Z13" i="15"/>
  <c r="Z11" i="15" s="1"/>
  <c r="Z48" i="15"/>
  <c r="Z36" i="15"/>
  <c r="Z56" i="15"/>
  <c r="Z13" i="14"/>
  <c r="Z11" i="14" s="1"/>
  <c r="Z5" i="14"/>
  <c r="Z4" i="14" s="1"/>
  <c r="AA65" i="14"/>
  <c r="AA64" i="14"/>
  <c r="AA60" i="14"/>
  <c r="AA63" i="14"/>
  <c r="AA53" i="14"/>
  <c r="AA55" i="14"/>
  <c r="AA50" i="14"/>
  <c r="AA58" i="14"/>
  <c r="AA57" i="14"/>
  <c r="AA59" i="14"/>
  <c r="AA54" i="14"/>
  <c r="AA52" i="14"/>
  <c r="AA61" i="14"/>
  <c r="AA47" i="14"/>
  <c r="AA49" i="14"/>
  <c r="AA46" i="14"/>
  <c r="AA39" i="14"/>
  <c r="AA35" i="14"/>
  <c r="AA31" i="14"/>
  <c r="AA28" i="14"/>
  <c r="AA40" i="14"/>
  <c r="AA32" i="14"/>
  <c r="AA38" i="14"/>
  <c r="AA34" i="14"/>
  <c r="AA30" i="14"/>
  <c r="AA41" i="14"/>
  <c r="AA37" i="14"/>
  <c r="AA20" i="14"/>
  <c r="AA16" i="14"/>
  <c r="AA51" i="14"/>
  <c r="AA27" i="14"/>
  <c r="AA22" i="14"/>
  <c r="AA19" i="14"/>
  <c r="AA45" i="14"/>
  <c r="AA44" i="14"/>
  <c r="AA33" i="14"/>
  <c r="AA21" i="14"/>
  <c r="AA15" i="14"/>
  <c r="AA8" i="14"/>
  <c r="AA7" i="14"/>
  <c r="AA17" i="14"/>
  <c r="AA18" i="14"/>
  <c r="AA14" i="14"/>
  <c r="AA12" i="14"/>
  <c r="AA9" i="14"/>
  <c r="AA26" i="14"/>
  <c r="AA10" i="14"/>
  <c r="AB2" i="14"/>
  <c r="Y3" i="14"/>
  <c r="Z24" i="14"/>
  <c r="Z48" i="14"/>
  <c r="Z56" i="14"/>
  <c r="Z36" i="14"/>
  <c r="Y42" i="13"/>
  <c r="Y23" i="13" s="1"/>
  <c r="Z5" i="13"/>
  <c r="Z4" i="13" s="1"/>
  <c r="Z56" i="13"/>
  <c r="Z24" i="13"/>
  <c r="AA65" i="13"/>
  <c r="AA61" i="13"/>
  <c r="AA64" i="13"/>
  <c r="AA60" i="13"/>
  <c r="AA63" i="13"/>
  <c r="AA53" i="13"/>
  <c r="AA55" i="13"/>
  <c r="AA51" i="13"/>
  <c r="AA46" i="13"/>
  <c r="AA59" i="13"/>
  <c r="AA57" i="13"/>
  <c r="AA49" i="13"/>
  <c r="AA45" i="13"/>
  <c r="AA38" i="13"/>
  <c r="AA50" i="13"/>
  <c r="AA58" i="13"/>
  <c r="AA54" i="13"/>
  <c r="AA52" i="13"/>
  <c r="AA47" i="13"/>
  <c r="AA37" i="13"/>
  <c r="AA41" i="13"/>
  <c r="AA40" i="13"/>
  <c r="AA44" i="13"/>
  <c r="AA35" i="13"/>
  <c r="AA33" i="13"/>
  <c r="AA26" i="13"/>
  <c r="AA21" i="13"/>
  <c r="AA17" i="13"/>
  <c r="AA34" i="13"/>
  <c r="AA32" i="13"/>
  <c r="AA20" i="13"/>
  <c r="AA39" i="13"/>
  <c r="AA31" i="13"/>
  <c r="AA28" i="13"/>
  <c r="AA19" i="13"/>
  <c r="AA15" i="13"/>
  <c r="AA30" i="13"/>
  <c r="AA27" i="13"/>
  <c r="AA22" i="13"/>
  <c r="AA18" i="13"/>
  <c r="AA16" i="13"/>
  <c r="AA12" i="13"/>
  <c r="AA9" i="13"/>
  <c r="AA8" i="13"/>
  <c r="AA7" i="13"/>
  <c r="AA14" i="13"/>
  <c r="Z13" i="13"/>
  <c r="Z11" i="13" s="1"/>
  <c r="Z29" i="13"/>
  <c r="Z43" i="13"/>
  <c r="E4" i="1"/>
  <c r="E13" i="1"/>
  <c r="N143" i="3"/>
  <c r="N151" i="3"/>
  <c r="N159" i="3"/>
  <c r="N167" i="3"/>
  <c r="N175" i="3"/>
  <c r="N184" i="3"/>
  <c r="N193" i="3"/>
  <c r="N201" i="3"/>
  <c r="N209" i="3"/>
  <c r="N218" i="3"/>
  <c r="N141" i="3"/>
  <c r="N149" i="3"/>
  <c r="N157" i="3"/>
  <c r="N165" i="3"/>
  <c r="N173" i="3"/>
  <c r="N182" i="3"/>
  <c r="N191" i="3"/>
  <c r="N199" i="3"/>
  <c r="N207" i="3"/>
  <c r="N216" i="3"/>
  <c r="N139" i="3"/>
  <c r="N147" i="3"/>
  <c r="N155" i="3"/>
  <c r="N163" i="3"/>
  <c r="N171" i="3"/>
  <c r="N180" i="3"/>
  <c r="N189" i="3"/>
  <c r="N197" i="3"/>
  <c r="N205" i="3"/>
  <c r="N213" i="3"/>
  <c r="N223" i="3"/>
  <c r="N231" i="3"/>
  <c r="N140" i="3"/>
  <c r="N148" i="3"/>
  <c r="N156" i="3"/>
  <c r="N164" i="3"/>
  <c r="N172" i="3"/>
  <c r="N181" i="3"/>
  <c r="N190" i="3"/>
  <c r="N198" i="3"/>
  <c r="N206" i="3"/>
  <c r="N215" i="3"/>
  <c r="N227" i="3"/>
  <c r="N211" i="3"/>
  <c r="N142" i="3"/>
  <c r="N150" i="3"/>
  <c r="N158" i="3"/>
  <c r="N166" i="3"/>
  <c r="N174" i="3"/>
  <c r="N183" i="3"/>
  <c r="N192" i="3"/>
  <c r="N200" i="3"/>
  <c r="N208" i="3"/>
  <c r="N217" i="3"/>
  <c r="N228" i="3"/>
  <c r="N144" i="3"/>
  <c r="N152" i="3"/>
  <c r="N160" i="3"/>
  <c r="N168" i="3"/>
  <c r="N176" i="3"/>
  <c r="N185" i="3"/>
  <c r="N194" i="3"/>
  <c r="N202" i="3"/>
  <c r="N210" i="3"/>
  <c r="N219" i="3"/>
  <c r="N229" i="3"/>
  <c r="N136" i="3"/>
  <c r="N145" i="3"/>
  <c r="N153" i="3"/>
  <c r="N161" i="3"/>
  <c r="N169" i="3"/>
  <c r="N178" i="3"/>
  <c r="N187" i="3"/>
  <c r="N195" i="3"/>
  <c r="N203" i="3"/>
  <c r="N220" i="3"/>
  <c r="N138" i="3"/>
  <c r="N146" i="3"/>
  <c r="N154" i="3"/>
  <c r="N162" i="3"/>
  <c r="N170" i="3"/>
  <c r="N179" i="3"/>
  <c r="N188" i="3"/>
  <c r="N196" i="3"/>
  <c r="N204" i="3"/>
  <c r="N212" i="3"/>
  <c r="N222" i="3"/>
  <c r="N230" i="3"/>
  <c r="N189" i="2"/>
  <c r="N193" i="2"/>
  <c r="N351" i="2"/>
  <c r="N155" i="2"/>
  <c r="N166" i="2"/>
  <c r="N176" i="2"/>
  <c r="N194" i="2"/>
  <c r="N178" i="2"/>
  <c r="N174" i="2"/>
  <c r="N225" i="2"/>
  <c r="N183" i="2"/>
  <c r="N162" i="2"/>
  <c r="N172" i="2"/>
  <c r="N156" i="2"/>
  <c r="N165" i="2"/>
  <c r="N173" i="2"/>
  <c r="N224" i="2"/>
  <c r="N138" i="2"/>
  <c r="N163" i="2"/>
  <c r="N161" i="2"/>
  <c r="N168" i="2"/>
  <c r="N169" i="2"/>
  <c r="N227" i="2"/>
  <c r="N167" i="2"/>
  <c r="N158" i="2"/>
  <c r="N152" i="2"/>
  <c r="N153" i="2"/>
  <c r="N145" i="2"/>
  <c r="N179" i="2"/>
  <c r="N221" i="2"/>
  <c r="N226" i="2"/>
  <c r="N160" i="2"/>
  <c r="N171" i="2"/>
  <c r="N181" i="2"/>
  <c r="N164" i="2"/>
  <c r="N198" i="2"/>
  <c r="N213" i="2"/>
  <c r="N223" i="2"/>
  <c r="N217" i="2"/>
  <c r="N182" i="2"/>
  <c r="N177" i="2"/>
  <c r="N157" i="2"/>
  <c r="N220" i="2"/>
  <c r="N159" i="2"/>
  <c r="N180" i="2"/>
  <c r="N212" i="2"/>
  <c r="N222" i="2"/>
  <c r="N216" i="2"/>
  <c r="N154" i="2"/>
  <c r="K197" i="2"/>
  <c r="K175" i="2"/>
  <c r="K170" i="2"/>
  <c r="AC25" i="20" l="1"/>
  <c r="AC21" i="20"/>
  <c r="AC17" i="20"/>
  <c r="AC13" i="20"/>
  <c r="AC10" i="20"/>
  <c r="AC22" i="20"/>
  <c r="AC18" i="20"/>
  <c r="AC14" i="20"/>
  <c r="AC20" i="20"/>
  <c r="AC11" i="20"/>
  <c r="AC23" i="20"/>
  <c r="AC15" i="20"/>
  <c r="AC24" i="20"/>
  <c r="AC16" i="20"/>
  <c r="AC12" i="20"/>
  <c r="AC19" i="20"/>
  <c r="Z66" i="22"/>
  <c r="Y66" i="13"/>
  <c r="Z66" i="21"/>
  <c r="AA3" i="20"/>
  <c r="Y66" i="14"/>
  <c r="AB48" i="22"/>
  <c r="AA48" i="16"/>
  <c r="AA42" i="23"/>
  <c r="AA23" i="23" s="1"/>
  <c r="AA43" i="13"/>
  <c r="Z66" i="24"/>
  <c r="AB48" i="24"/>
  <c r="AC36" i="19"/>
  <c r="AB72" i="20"/>
  <c r="AA42" i="21"/>
  <c r="AA23" i="21" s="1"/>
  <c r="AC29" i="19"/>
  <c r="Y66" i="16"/>
  <c r="AB43" i="22"/>
  <c r="AA24" i="14"/>
  <c r="AA29" i="15"/>
  <c r="AA62" i="15"/>
  <c r="AA36" i="16"/>
  <c r="AC43" i="19"/>
  <c r="AB64" i="20"/>
  <c r="AB29" i="22"/>
  <c r="AA43" i="14"/>
  <c r="AA36" i="14"/>
  <c r="AB52" i="20"/>
  <c r="AB36" i="22"/>
  <c r="AA66" i="19"/>
  <c r="Z42" i="13"/>
  <c r="Z23" i="13" s="1"/>
  <c r="AC48" i="19"/>
  <c r="AA42" i="24"/>
  <c r="AA23" i="24" s="1"/>
  <c r="AA24" i="15"/>
  <c r="AA62" i="16"/>
  <c r="AA5" i="16"/>
  <c r="AA4" i="16" s="1"/>
  <c r="Y66" i="15"/>
  <c r="AB5" i="23"/>
  <c r="AB4" i="23" s="1"/>
  <c r="Z3" i="15"/>
  <c r="AA5" i="13"/>
  <c r="AA4" i="13" s="1"/>
  <c r="AA5" i="15"/>
  <c r="AA4" i="15" s="1"/>
  <c r="AC13" i="19"/>
  <c r="AC11" i="19" s="1"/>
  <c r="AA13" i="14"/>
  <c r="AA11" i="14" s="1"/>
  <c r="AB13" i="22"/>
  <c r="AB11" i="22" s="1"/>
  <c r="AB43" i="23"/>
  <c r="AB43" i="24"/>
  <c r="AC63" i="24"/>
  <c r="AC58" i="24"/>
  <c r="AC65" i="24"/>
  <c r="AC60" i="24"/>
  <c r="AC55" i="24"/>
  <c r="AC52" i="24"/>
  <c r="AC59" i="24"/>
  <c r="AC49" i="24"/>
  <c r="AC57" i="24"/>
  <c r="AC51" i="24"/>
  <c r="AC47" i="24"/>
  <c r="AC40" i="24"/>
  <c r="AC53" i="24"/>
  <c r="AC50" i="24"/>
  <c r="AC46" i="24"/>
  <c r="AC39" i="24"/>
  <c r="AC35" i="24"/>
  <c r="AC61" i="24"/>
  <c r="AC41" i="24"/>
  <c r="AC37" i="24"/>
  <c r="AC54" i="24"/>
  <c r="AC45" i="24"/>
  <c r="AC34" i="24"/>
  <c r="AC44" i="24"/>
  <c r="AC33" i="24"/>
  <c r="AC64" i="24"/>
  <c r="AC38" i="24"/>
  <c r="AC31" i="24"/>
  <c r="AC26" i="24"/>
  <c r="AC21" i="24"/>
  <c r="AC17" i="24"/>
  <c r="AC20" i="24"/>
  <c r="AC16" i="24"/>
  <c r="AC28" i="24"/>
  <c r="AC19" i="24"/>
  <c r="AC32" i="24"/>
  <c r="AC30" i="24"/>
  <c r="AC27" i="24"/>
  <c r="AC22" i="24"/>
  <c r="AC12" i="24"/>
  <c r="AC7" i="24"/>
  <c r="AC9" i="24"/>
  <c r="AD2" i="24"/>
  <c r="AC15" i="24"/>
  <c r="AC10" i="24"/>
  <c r="AC18" i="24"/>
  <c r="AC14" i="24"/>
  <c r="AC8" i="24"/>
  <c r="AB24" i="24"/>
  <c r="AB56" i="24"/>
  <c r="AB62" i="24"/>
  <c r="AB36" i="24"/>
  <c r="AB5" i="24"/>
  <c r="AB4" i="24" s="1"/>
  <c r="AB13" i="24"/>
  <c r="AB11" i="24" s="1"/>
  <c r="AB29" i="24"/>
  <c r="AA3" i="24"/>
  <c r="AC63" i="23"/>
  <c r="AC58" i="23"/>
  <c r="AC65" i="23"/>
  <c r="AC53" i="23"/>
  <c r="AC57" i="23"/>
  <c r="AC49" i="23"/>
  <c r="AC61" i="23"/>
  <c r="AC60" i="23"/>
  <c r="AC55" i="23"/>
  <c r="AC52" i="23"/>
  <c r="AC50" i="23"/>
  <c r="AC45" i="23"/>
  <c r="AC64" i="23"/>
  <c r="AC59" i="23"/>
  <c r="AC51" i="23"/>
  <c r="AC44" i="23"/>
  <c r="AC47" i="23"/>
  <c r="AC40" i="23"/>
  <c r="AC32" i="23"/>
  <c r="AC46" i="23"/>
  <c r="AC39" i="23"/>
  <c r="AC35" i="23"/>
  <c r="AC38" i="23"/>
  <c r="AC34" i="23"/>
  <c r="AC30" i="23"/>
  <c r="AC31" i="23"/>
  <c r="AC26" i="23"/>
  <c r="AC21" i="23"/>
  <c r="AC41" i="23"/>
  <c r="AC37" i="23"/>
  <c r="AC20" i="23"/>
  <c r="AC16" i="23"/>
  <c r="AC33" i="23"/>
  <c r="AC28" i="23"/>
  <c r="AC19" i="23"/>
  <c r="AC15" i="23"/>
  <c r="AC54" i="23"/>
  <c r="AC17" i="23"/>
  <c r="AC12" i="23"/>
  <c r="AC7" i="23"/>
  <c r="AC27" i="23"/>
  <c r="AC14" i="23"/>
  <c r="AC10" i="23"/>
  <c r="AC22" i="23"/>
  <c r="AC9" i="23"/>
  <c r="AC18" i="23"/>
  <c r="AC8" i="23"/>
  <c r="AD2" i="23"/>
  <c r="AB13" i="23"/>
  <c r="AB11" i="23" s="1"/>
  <c r="AB29" i="23"/>
  <c r="Z66" i="23"/>
  <c r="AB24" i="23"/>
  <c r="AB56" i="23"/>
  <c r="AB62" i="23"/>
  <c r="AA3" i="23"/>
  <c r="AB36" i="23"/>
  <c r="AB48" i="23"/>
  <c r="AB62" i="22"/>
  <c r="AA42" i="22"/>
  <c r="AA23" i="22" s="1"/>
  <c r="AA3" i="22"/>
  <c r="AC58" i="22"/>
  <c r="AC55" i="22"/>
  <c r="AC47" i="22"/>
  <c r="AC39" i="22"/>
  <c r="AC45" i="22"/>
  <c r="AC51" i="22"/>
  <c r="AC30" i="22"/>
  <c r="AC15" i="22"/>
  <c r="AC22" i="22"/>
  <c r="AC17" i="22"/>
  <c r="AC10" i="22"/>
  <c r="AD2" i="22"/>
  <c r="AC65" i="22"/>
  <c r="AC59" i="22"/>
  <c r="AC52" i="22"/>
  <c r="AC61" i="22"/>
  <c r="AC38" i="22"/>
  <c r="AC44" i="22"/>
  <c r="AC27" i="22"/>
  <c r="AC12" i="22"/>
  <c r="AC18" i="22"/>
  <c r="AC31" i="22"/>
  <c r="AC28" i="22"/>
  <c r="AC16" i="22"/>
  <c r="AC64" i="22"/>
  <c r="AC53" i="22"/>
  <c r="AC49" i="22"/>
  <c r="AC57" i="22"/>
  <c r="AC40" i="22"/>
  <c r="AC35" i="22"/>
  <c r="AC33" i="22"/>
  <c r="AC9" i="22"/>
  <c r="AC41" i="22"/>
  <c r="AC20" i="22"/>
  <c r="AC7" i="22"/>
  <c r="AC8" i="22"/>
  <c r="AC63" i="22"/>
  <c r="AC60" i="22"/>
  <c r="AC50" i="22"/>
  <c r="AC46" i="22"/>
  <c r="AC54" i="22"/>
  <c r="AC32" i="22"/>
  <c r="AC34" i="22"/>
  <c r="AC19" i="22"/>
  <c r="AC37" i="22"/>
  <c r="AC21" i="22"/>
  <c r="AC14" i="22"/>
  <c r="AC26" i="22"/>
  <c r="AB24" i="22"/>
  <c r="AB56" i="22"/>
  <c r="AB5" i="22"/>
  <c r="AB4" i="22" s="1"/>
  <c r="AB24" i="21"/>
  <c r="AB56" i="21"/>
  <c r="AA3" i="21"/>
  <c r="AB13" i="21"/>
  <c r="AB11" i="21" s="1"/>
  <c r="AB29" i="21"/>
  <c r="AB5" i="21"/>
  <c r="AB4" i="21" s="1"/>
  <c r="AB36" i="21"/>
  <c r="AC63" i="21"/>
  <c r="AC59" i="21"/>
  <c r="AC58" i="21"/>
  <c r="AC65" i="21"/>
  <c r="AC61" i="21"/>
  <c r="AC57" i="21"/>
  <c r="AC54" i="21"/>
  <c r="AC51" i="21"/>
  <c r="AC64" i="21"/>
  <c r="AC60" i="21"/>
  <c r="AC55" i="21"/>
  <c r="AC50" i="21"/>
  <c r="AC44" i="21"/>
  <c r="AC41" i="21"/>
  <c r="AC53" i="21"/>
  <c r="AC49" i="21"/>
  <c r="AC40" i="21"/>
  <c r="AC38" i="21"/>
  <c r="AC33" i="21"/>
  <c r="AC31" i="21"/>
  <c r="AC28" i="21"/>
  <c r="AC37" i="21"/>
  <c r="AC30" i="21"/>
  <c r="AC27" i="21"/>
  <c r="AC47" i="21"/>
  <c r="AC46" i="21"/>
  <c r="AC35" i="21"/>
  <c r="AC26" i="21"/>
  <c r="AC21" i="21"/>
  <c r="AC17" i="21"/>
  <c r="AC39" i="21"/>
  <c r="AC22" i="21"/>
  <c r="AC18" i="21"/>
  <c r="AC16" i="21"/>
  <c r="AC52" i="21"/>
  <c r="AC45" i="21"/>
  <c r="AC32" i="21"/>
  <c r="AC15" i="21"/>
  <c r="AC34" i="21"/>
  <c r="AC20" i="21"/>
  <c r="AC19" i="21"/>
  <c r="AC12" i="21"/>
  <c r="AC9" i="21"/>
  <c r="AC14" i="21"/>
  <c r="AC8" i="21"/>
  <c r="AC7" i="21"/>
  <c r="AC10" i="21"/>
  <c r="AD2" i="21"/>
  <c r="AB62" i="21"/>
  <c r="AB43" i="21"/>
  <c r="AB48" i="21"/>
  <c r="AB78" i="20"/>
  <c r="Z82" i="20"/>
  <c r="AB5" i="20"/>
  <c r="AB4" i="20" s="1"/>
  <c r="AB29" i="20"/>
  <c r="AB27" i="20" s="1"/>
  <c r="AB45" i="20"/>
  <c r="AB59" i="20"/>
  <c r="AA58" i="20"/>
  <c r="AA39" i="20" s="1"/>
  <c r="AC79" i="20"/>
  <c r="AC75" i="20"/>
  <c r="AC74" i="20"/>
  <c r="AC81" i="20"/>
  <c r="AC77" i="20"/>
  <c r="AC73" i="20"/>
  <c r="AC76" i="20"/>
  <c r="AC80" i="20"/>
  <c r="AC71" i="20"/>
  <c r="AC68" i="20"/>
  <c r="AC66" i="20"/>
  <c r="AC63" i="20"/>
  <c r="AC70" i="20"/>
  <c r="AC67" i="20"/>
  <c r="AC65" i="20"/>
  <c r="AC62" i="20"/>
  <c r="AC55" i="20"/>
  <c r="AC53" i="20"/>
  <c r="AC49" i="20"/>
  <c r="AC48" i="20"/>
  <c r="AC69" i="20"/>
  <c r="AC61" i="20"/>
  <c r="AC57" i="20"/>
  <c r="AC51" i="20"/>
  <c r="AC47" i="20"/>
  <c r="AC44" i="20"/>
  <c r="AC60" i="20"/>
  <c r="AC43" i="20"/>
  <c r="AC36" i="20"/>
  <c r="AC32" i="20"/>
  <c r="AC26" i="20"/>
  <c r="AC50" i="20"/>
  <c r="AC35" i="20"/>
  <c r="AC31" i="20"/>
  <c r="AC28" i="20"/>
  <c r="AC54" i="20"/>
  <c r="AC38" i="20"/>
  <c r="AC34" i="20"/>
  <c r="AC46" i="20"/>
  <c r="AC30" i="20"/>
  <c r="AC8" i="20"/>
  <c r="AC56" i="20"/>
  <c r="AC33" i="20"/>
  <c r="AC42" i="20"/>
  <c r="AC37" i="20"/>
  <c r="AC9" i="20"/>
  <c r="AC7" i="20"/>
  <c r="AD2" i="20"/>
  <c r="AB40" i="20"/>
  <c r="AC5" i="19"/>
  <c r="AC4" i="19" s="1"/>
  <c r="AC56" i="19"/>
  <c r="AD65" i="19"/>
  <c r="AD61" i="19"/>
  <c r="AD57" i="19"/>
  <c r="AD63" i="19"/>
  <c r="AD60" i="19"/>
  <c r="AD55" i="19"/>
  <c r="AD52" i="19"/>
  <c r="AD58" i="19"/>
  <c r="AD51" i="19"/>
  <c r="AD64" i="19"/>
  <c r="AD59" i="19"/>
  <c r="AD54" i="19"/>
  <c r="AD47" i="19"/>
  <c r="AD39" i="19"/>
  <c r="AD35" i="19"/>
  <c r="AD53" i="19"/>
  <c r="AD50" i="19"/>
  <c r="AD46" i="19"/>
  <c r="AD45" i="19"/>
  <c r="AD49" i="19"/>
  <c r="AD44" i="19"/>
  <c r="AD41" i="19"/>
  <c r="AD40" i="19"/>
  <c r="AD38" i="19"/>
  <c r="AD34" i="19"/>
  <c r="AD31" i="19"/>
  <c r="AD28" i="19"/>
  <c r="AD19" i="19"/>
  <c r="AD27" i="19"/>
  <c r="AD22" i="19"/>
  <c r="AD37" i="19"/>
  <c r="AD32" i="19"/>
  <c r="AD30" i="19"/>
  <c r="AD26" i="19"/>
  <c r="AD21" i="19"/>
  <c r="AD20" i="19"/>
  <c r="AD18" i="19"/>
  <c r="AD14" i="19"/>
  <c r="AD33" i="19"/>
  <c r="AD16" i="19"/>
  <c r="AE2" i="19"/>
  <c r="AD17" i="19"/>
  <c r="AD10" i="19"/>
  <c r="AD8" i="19"/>
  <c r="AD12" i="19"/>
  <c r="AD9" i="19"/>
  <c r="AD15" i="19"/>
  <c r="AD7" i="19"/>
  <c r="AC62" i="19"/>
  <c r="AB42" i="19"/>
  <c r="AB23" i="19" s="1"/>
  <c r="AC24" i="19"/>
  <c r="AB3" i="19"/>
  <c r="AB5" i="18"/>
  <c r="AB4" i="18" s="1"/>
  <c r="AB36" i="18"/>
  <c r="AB48" i="18"/>
  <c r="AC63" i="18"/>
  <c r="AC59" i="18"/>
  <c r="AC64" i="18"/>
  <c r="AC60" i="18"/>
  <c r="AC54" i="18"/>
  <c r="AC58" i="18"/>
  <c r="AC52" i="18"/>
  <c r="AC51" i="18"/>
  <c r="AC61" i="18"/>
  <c r="AC53" i="18"/>
  <c r="AC50" i="18"/>
  <c r="AC46" i="18"/>
  <c r="AC39" i="18"/>
  <c r="AC65" i="18"/>
  <c r="AC47" i="18"/>
  <c r="AC45" i="18"/>
  <c r="AC38" i="18"/>
  <c r="AC57" i="18"/>
  <c r="AC55" i="18"/>
  <c r="AC49" i="18"/>
  <c r="AC44" i="18"/>
  <c r="AC41" i="18"/>
  <c r="AC37" i="18"/>
  <c r="AC33" i="18"/>
  <c r="AC26" i="18"/>
  <c r="AC21" i="18"/>
  <c r="AC17" i="18"/>
  <c r="AC32" i="18"/>
  <c r="AC20" i="18"/>
  <c r="AC35" i="18"/>
  <c r="AC31" i="18"/>
  <c r="AC28" i="18"/>
  <c r="AC40" i="18"/>
  <c r="AC34" i="18"/>
  <c r="AC30" i="18"/>
  <c r="AC27" i="18"/>
  <c r="AC15" i="18"/>
  <c r="AC12" i="18"/>
  <c r="AC9" i="18"/>
  <c r="AC14" i="18"/>
  <c r="AC8" i="18"/>
  <c r="AD2" i="18"/>
  <c r="AC19" i="18"/>
  <c r="AC7" i="18"/>
  <c r="AC22" i="18"/>
  <c r="AC18" i="18"/>
  <c r="AC16" i="18"/>
  <c r="AC10" i="18"/>
  <c r="AA42" i="18"/>
  <c r="AA23" i="18" s="1"/>
  <c r="AA3" i="18"/>
  <c r="AB62" i="18"/>
  <c r="Z66" i="18"/>
  <c r="AB29" i="18"/>
  <c r="AB56" i="18"/>
  <c r="AB13" i="18"/>
  <c r="AB11" i="18" s="1"/>
  <c r="AB24" i="18"/>
  <c r="AB43" i="18"/>
  <c r="AA24" i="16"/>
  <c r="AA13" i="16"/>
  <c r="AA11" i="16" s="1"/>
  <c r="AA56" i="16"/>
  <c r="Z3" i="16"/>
  <c r="AA29" i="16"/>
  <c r="AA43" i="16"/>
  <c r="AB64" i="16"/>
  <c r="AB63" i="16"/>
  <c r="AB59" i="16"/>
  <c r="AB57" i="16"/>
  <c r="AB61" i="16"/>
  <c r="AB60" i="16"/>
  <c r="AB65" i="16"/>
  <c r="AB58" i="16"/>
  <c r="AB54" i="16"/>
  <c r="AB51" i="16"/>
  <c r="AB53" i="16"/>
  <c r="AB50" i="16"/>
  <c r="AB47" i="16"/>
  <c r="AB55" i="16"/>
  <c r="AB52" i="16"/>
  <c r="AB49" i="16"/>
  <c r="AB46" i="16"/>
  <c r="AB39" i="16"/>
  <c r="AB45" i="16"/>
  <c r="AB44" i="16"/>
  <c r="AB40" i="16"/>
  <c r="AB34" i="16"/>
  <c r="AB38" i="16"/>
  <c r="AB37" i="16"/>
  <c r="AB33" i="16"/>
  <c r="AB32" i="16"/>
  <c r="AB41" i="16"/>
  <c r="AB35" i="16"/>
  <c r="AB31" i="16"/>
  <c r="AB28" i="16"/>
  <c r="AB30" i="16"/>
  <c r="AB27" i="16"/>
  <c r="AB26" i="16"/>
  <c r="AB21" i="16"/>
  <c r="AB17" i="16"/>
  <c r="AB20" i="16"/>
  <c r="AB16" i="16"/>
  <c r="AB19" i="16"/>
  <c r="AB15" i="16"/>
  <c r="AB12" i="16"/>
  <c r="AB9" i="16"/>
  <c r="AB22" i="16"/>
  <c r="AB18" i="16"/>
  <c r="AB10" i="16"/>
  <c r="AB8" i="16"/>
  <c r="AC2" i="16"/>
  <c r="AB7" i="16"/>
  <c r="AB14" i="16"/>
  <c r="Z42" i="16"/>
  <c r="Z23" i="16" s="1"/>
  <c r="AA13" i="15"/>
  <c r="AA11" i="15" s="1"/>
  <c r="AA3" i="15" s="1"/>
  <c r="AA36" i="15"/>
  <c r="AA56" i="15"/>
  <c r="AB64" i="15"/>
  <c r="AB60" i="15"/>
  <c r="AB63" i="15"/>
  <c r="AB59" i="15"/>
  <c r="AB61" i="15"/>
  <c r="AB57" i="15"/>
  <c r="AB55" i="15"/>
  <c r="AB52" i="15"/>
  <c r="AB58" i="15"/>
  <c r="AB51" i="15"/>
  <c r="AB54" i="15"/>
  <c r="AB50" i="15"/>
  <c r="AB47" i="15"/>
  <c r="AB40" i="15"/>
  <c r="AB49" i="15"/>
  <c r="AB46" i="15"/>
  <c r="AB39" i="15"/>
  <c r="AB35" i="15"/>
  <c r="AB45" i="15"/>
  <c r="AB38" i="15"/>
  <c r="AB34" i="15"/>
  <c r="AB65" i="15"/>
  <c r="AB53" i="15"/>
  <c r="AB44" i="15"/>
  <c r="AB28" i="15"/>
  <c r="AB32" i="15"/>
  <c r="AB30" i="15"/>
  <c r="AB27" i="15"/>
  <c r="AB22" i="15"/>
  <c r="AB18" i="15"/>
  <c r="AB31" i="15"/>
  <c r="AB26" i="15"/>
  <c r="AB21" i="15"/>
  <c r="AB17" i="15"/>
  <c r="AB33" i="15"/>
  <c r="AB41" i="15"/>
  <c r="AB37" i="15"/>
  <c r="AB19" i="15"/>
  <c r="AB20" i="15"/>
  <c r="AB12" i="15"/>
  <c r="AB16" i="15"/>
  <c r="AB14" i="15"/>
  <c r="AB15" i="15"/>
  <c r="AB8" i="15"/>
  <c r="AB7" i="15"/>
  <c r="AB10" i="15"/>
  <c r="AB9" i="15"/>
  <c r="AC2" i="15"/>
  <c r="AA43" i="15"/>
  <c r="AA48" i="15"/>
  <c r="Z42" i="15"/>
  <c r="Z23" i="15" s="1"/>
  <c r="Z42" i="14"/>
  <c r="Z23" i="14" s="1"/>
  <c r="AA48" i="14"/>
  <c r="AB64" i="14"/>
  <c r="AB63" i="14"/>
  <c r="AB59" i="14"/>
  <c r="AB65" i="14"/>
  <c r="AB61" i="14"/>
  <c r="AB57" i="14"/>
  <c r="AB58" i="14"/>
  <c r="AB49" i="14"/>
  <c r="AB60" i="14"/>
  <c r="AB54" i="14"/>
  <c r="AB52" i="14"/>
  <c r="AB53" i="14"/>
  <c r="AB51" i="14"/>
  <c r="AB55" i="14"/>
  <c r="AB47" i="14"/>
  <c r="AB46" i="14"/>
  <c r="AB50" i="14"/>
  <c r="AB45" i="14"/>
  <c r="AB38" i="14"/>
  <c r="AB34" i="14"/>
  <c r="AB30" i="14"/>
  <c r="AB40" i="14"/>
  <c r="AB32" i="14"/>
  <c r="AB27" i="14"/>
  <c r="AB22" i="14"/>
  <c r="AB39" i="14"/>
  <c r="AB35" i="14"/>
  <c r="AB44" i="14"/>
  <c r="AB41" i="14"/>
  <c r="AB37" i="14"/>
  <c r="AB33" i="14"/>
  <c r="AB19" i="14"/>
  <c r="AB15" i="14"/>
  <c r="AB28" i="14"/>
  <c r="AB26" i="14"/>
  <c r="AB21" i="14"/>
  <c r="AB31" i="14"/>
  <c r="AB20" i="14"/>
  <c r="AB18" i="14"/>
  <c r="AB14" i="14"/>
  <c r="AB7" i="14"/>
  <c r="AB10" i="14"/>
  <c r="AB8" i="14"/>
  <c r="AB17" i="14"/>
  <c r="AB12" i="14"/>
  <c r="AB9" i="14"/>
  <c r="AC2" i="14"/>
  <c r="AB16" i="14"/>
  <c r="AA29" i="14"/>
  <c r="AA56" i="14"/>
  <c r="AA5" i="14"/>
  <c r="AA4" i="14" s="1"/>
  <c r="AA62" i="14"/>
  <c r="Z3" i="14"/>
  <c r="AA56" i="13"/>
  <c r="AA24" i="13"/>
  <c r="AB64" i="13"/>
  <c r="AB60" i="13"/>
  <c r="AB63" i="13"/>
  <c r="AB59" i="13"/>
  <c r="AB57" i="13"/>
  <c r="AB52" i="13"/>
  <c r="AB65" i="13"/>
  <c r="AB61" i="13"/>
  <c r="AB58" i="13"/>
  <c r="AB54" i="13"/>
  <c r="AB49" i="13"/>
  <c r="AB45" i="13"/>
  <c r="AB55" i="13"/>
  <c r="AB50" i="13"/>
  <c r="AB44" i="13"/>
  <c r="AB41" i="13"/>
  <c r="AB37" i="13"/>
  <c r="AB47" i="13"/>
  <c r="AB53" i="13"/>
  <c r="AB51" i="13"/>
  <c r="AB46" i="13"/>
  <c r="AB40" i="13"/>
  <c r="AB34" i="13"/>
  <c r="AB39" i="13"/>
  <c r="AB32" i="13"/>
  <c r="AB38" i="13"/>
  <c r="AB35" i="13"/>
  <c r="AB20" i="13"/>
  <c r="AB16" i="13"/>
  <c r="AB33" i="13"/>
  <c r="AB31" i="13"/>
  <c r="AB28" i="13"/>
  <c r="AB19" i="13"/>
  <c r="AB30" i="13"/>
  <c r="AB27" i="13"/>
  <c r="AB22" i="13"/>
  <c r="AB18" i="13"/>
  <c r="AB14" i="13"/>
  <c r="AB26" i="13"/>
  <c r="AB21" i="13"/>
  <c r="AB17" i="13"/>
  <c r="AB12" i="13"/>
  <c r="AB9" i="13"/>
  <c r="AB8" i="13"/>
  <c r="AB7" i="13"/>
  <c r="AB15" i="13"/>
  <c r="AB10" i="13"/>
  <c r="AA29" i="13"/>
  <c r="AA62" i="13"/>
  <c r="AA13" i="13"/>
  <c r="AA11" i="13" s="1"/>
  <c r="AA36" i="13"/>
  <c r="AA48" i="13"/>
  <c r="Z3" i="13"/>
  <c r="N135" i="3"/>
  <c r="N137" i="3"/>
  <c r="N187" i="2"/>
  <c r="N186" i="2"/>
  <c r="N175" i="2"/>
  <c r="N197" i="2"/>
  <c r="N170" i="2"/>
  <c r="N224" i="3"/>
  <c r="AD10" i="20" l="1"/>
  <c r="AD23" i="20"/>
  <c r="AD15" i="20"/>
  <c r="AD22" i="20"/>
  <c r="AD18" i="20"/>
  <c r="AD14" i="20"/>
  <c r="AD19" i="20"/>
  <c r="AD11" i="20"/>
  <c r="AD21" i="20"/>
  <c r="AD13" i="20"/>
  <c r="AD24" i="20"/>
  <c r="AD16" i="20"/>
  <c r="AD12" i="20"/>
  <c r="AD20" i="20"/>
  <c r="AD17" i="20"/>
  <c r="AD25" i="20"/>
  <c r="AA3" i="13"/>
  <c r="AA82" i="20"/>
  <c r="AB42" i="22"/>
  <c r="AB23" i="22" s="1"/>
  <c r="AA66" i="23"/>
  <c r="AB42" i="23"/>
  <c r="AB23" i="23" s="1"/>
  <c r="AC62" i="22"/>
  <c r="AA42" i="15"/>
  <c r="AA23" i="15" s="1"/>
  <c r="AA66" i="15" s="1"/>
  <c r="AC42" i="19"/>
  <c r="AC23" i="19" s="1"/>
  <c r="AC36" i="23"/>
  <c r="AA66" i="21"/>
  <c r="AC43" i="24"/>
  <c r="Z66" i="15"/>
  <c r="AA66" i="24"/>
  <c r="AB36" i="14"/>
  <c r="Z66" i="13"/>
  <c r="AB43" i="15"/>
  <c r="AB24" i="13"/>
  <c r="AB43" i="14"/>
  <c r="AC45" i="20"/>
  <c r="AC36" i="22"/>
  <c r="AC48" i="18"/>
  <c r="AB24" i="15"/>
  <c r="AB48" i="15"/>
  <c r="AC40" i="20"/>
  <c r="AC59" i="20"/>
  <c r="AB36" i="15"/>
  <c r="AD36" i="19"/>
  <c r="AC24" i="22"/>
  <c r="AA42" i="16"/>
  <c r="AA23" i="16" s="1"/>
  <c r="AC29" i="24"/>
  <c r="Z66" i="14"/>
  <c r="AB29" i="16"/>
  <c r="AD43" i="19"/>
  <c r="AB42" i="21"/>
  <c r="AB23" i="21" s="1"/>
  <c r="AA3" i="16"/>
  <c r="AB3" i="18"/>
  <c r="AB3" i="23"/>
  <c r="AC5" i="22"/>
  <c r="AC4" i="22" s="1"/>
  <c r="AC13" i="21"/>
  <c r="AC11" i="21" s="1"/>
  <c r="AC5" i="20"/>
  <c r="AC4" i="20" s="1"/>
  <c r="AC3" i="19"/>
  <c r="AD5" i="19"/>
  <c r="AD4" i="19" s="1"/>
  <c r="AA3" i="14"/>
  <c r="AB3" i="24"/>
  <c r="AC5" i="24"/>
  <c r="AC4" i="24" s="1"/>
  <c r="AC24" i="24"/>
  <c r="AC56" i="24"/>
  <c r="AC62" i="24"/>
  <c r="AC36" i="24"/>
  <c r="AC48" i="24"/>
  <c r="AB42" i="24"/>
  <c r="AB23" i="24" s="1"/>
  <c r="AC13" i="24"/>
  <c r="AC11" i="24" s="1"/>
  <c r="AD65" i="24"/>
  <c r="AD61" i="24"/>
  <c r="AD57" i="24"/>
  <c r="AD64" i="24"/>
  <c r="AD59" i="24"/>
  <c r="AD54" i="24"/>
  <c r="AD58" i="24"/>
  <c r="AD60" i="24"/>
  <c r="AD53" i="24"/>
  <c r="AD50" i="24"/>
  <c r="AD46" i="24"/>
  <c r="AD39" i="24"/>
  <c r="AD35" i="24"/>
  <c r="AD52" i="24"/>
  <c r="AD49" i="24"/>
  <c r="AD45" i="24"/>
  <c r="AD38" i="24"/>
  <c r="AD40" i="24"/>
  <c r="AD44" i="24"/>
  <c r="AD47" i="24"/>
  <c r="AD32" i="24"/>
  <c r="AD63" i="24"/>
  <c r="AD55" i="24"/>
  <c r="AD51" i="24"/>
  <c r="AD41" i="24"/>
  <c r="AD37" i="24"/>
  <c r="AD20" i="24"/>
  <c r="AD16" i="24"/>
  <c r="AD33" i="24"/>
  <c r="AD28" i="24"/>
  <c r="AD19" i="24"/>
  <c r="AD15" i="24"/>
  <c r="AD12" i="24"/>
  <c r="AD34" i="24"/>
  <c r="AD30" i="24"/>
  <c r="AD27" i="24"/>
  <c r="AD22" i="24"/>
  <c r="AD31" i="24"/>
  <c r="AD21" i="24"/>
  <c r="AD10" i="24"/>
  <c r="AD8" i="24"/>
  <c r="AD18" i="24"/>
  <c r="AD14" i="24"/>
  <c r="AD9" i="24"/>
  <c r="AE2" i="24"/>
  <c r="AD26" i="24"/>
  <c r="AD17" i="24"/>
  <c r="AD7" i="24"/>
  <c r="AC24" i="23"/>
  <c r="AC13" i="23"/>
  <c r="AC11" i="23" s="1"/>
  <c r="AC48" i="23"/>
  <c r="AC29" i="23"/>
  <c r="AC56" i="23"/>
  <c r="AC62" i="23"/>
  <c r="AD65" i="23"/>
  <c r="AD61" i="23"/>
  <c r="AD57" i="23"/>
  <c r="AD64" i="23"/>
  <c r="AD60" i="23"/>
  <c r="AD55" i="23"/>
  <c r="AD52" i="23"/>
  <c r="AD59" i="23"/>
  <c r="AD54" i="23"/>
  <c r="AD63" i="23"/>
  <c r="AD58" i="23"/>
  <c r="AD51" i="23"/>
  <c r="AD49" i="23"/>
  <c r="AD47" i="23"/>
  <c r="AD46" i="23"/>
  <c r="AD50" i="23"/>
  <c r="AD44" i="23"/>
  <c r="AD39" i="23"/>
  <c r="AD35" i="23"/>
  <c r="AD31" i="23"/>
  <c r="AD28" i="23"/>
  <c r="AD45" i="23"/>
  <c r="AD38" i="23"/>
  <c r="AD53" i="23"/>
  <c r="AD41" i="23"/>
  <c r="AD37" i="23"/>
  <c r="AD33" i="23"/>
  <c r="AD34" i="23"/>
  <c r="AD30" i="23"/>
  <c r="AD20" i="23"/>
  <c r="AD40" i="23"/>
  <c r="AD19" i="23"/>
  <c r="AD15" i="23"/>
  <c r="AD12" i="23"/>
  <c r="AD32" i="23"/>
  <c r="AD27" i="23"/>
  <c r="AD22" i="23"/>
  <c r="AD18" i="23"/>
  <c r="AD26" i="23"/>
  <c r="AD16" i="23"/>
  <c r="AD14" i="23"/>
  <c r="AD10" i="23"/>
  <c r="AD9" i="23"/>
  <c r="AE2" i="23"/>
  <c r="AD21" i="23"/>
  <c r="AD17" i="23"/>
  <c r="AD7" i="23"/>
  <c r="AD8" i="23"/>
  <c r="AC5" i="23"/>
  <c r="AC4" i="23" s="1"/>
  <c r="AC43" i="23"/>
  <c r="AC56" i="22"/>
  <c r="AD63" i="22"/>
  <c r="AD49" i="22"/>
  <c r="AD54" i="22"/>
  <c r="AD51" i="22"/>
  <c r="AD39" i="22"/>
  <c r="AD50" i="22"/>
  <c r="AD32" i="22"/>
  <c r="AD38" i="22"/>
  <c r="AD20" i="22"/>
  <c r="AD19" i="22"/>
  <c r="AD12" i="22"/>
  <c r="AD7" i="22"/>
  <c r="AD28" i="22"/>
  <c r="AD30" i="22"/>
  <c r="AD65" i="22"/>
  <c r="AD59" i="22"/>
  <c r="AD46" i="22"/>
  <c r="AD45" i="22"/>
  <c r="AD44" i="22"/>
  <c r="AD35" i="22"/>
  <c r="AD34" i="22"/>
  <c r="AD22" i="22"/>
  <c r="AD21" i="22"/>
  <c r="AD16" i="22"/>
  <c r="AD17" i="22"/>
  <c r="AD8" i="22"/>
  <c r="AD61" i="22"/>
  <c r="AD58" i="22"/>
  <c r="AD64" i="22"/>
  <c r="AD55" i="22"/>
  <c r="AD41" i="22"/>
  <c r="AD31" i="22"/>
  <c r="AD37" i="22"/>
  <c r="AD18" i="22"/>
  <c r="AD40" i="22"/>
  <c r="AD10" i="22"/>
  <c r="AE2" i="22"/>
  <c r="AD15" i="22"/>
  <c r="AD57" i="22"/>
  <c r="AD52" i="22"/>
  <c r="AD60" i="22"/>
  <c r="AD53" i="22"/>
  <c r="AD47" i="22"/>
  <c r="AD33" i="22"/>
  <c r="AD14" i="22"/>
  <c r="AD26" i="22"/>
  <c r="AD27" i="22"/>
  <c r="AD9" i="22"/>
  <c r="AA66" i="22"/>
  <c r="AC48" i="22"/>
  <c r="AC29" i="22"/>
  <c r="AC43" i="22"/>
  <c r="AC13" i="22"/>
  <c r="AC11" i="22" s="1"/>
  <c r="AB3" i="22"/>
  <c r="AC5" i="21"/>
  <c r="AC4" i="21" s="1"/>
  <c r="AC48" i="21"/>
  <c r="AC29" i="21"/>
  <c r="AD65" i="21"/>
  <c r="AD61" i="21"/>
  <c r="AD57" i="21"/>
  <c r="AD64" i="21"/>
  <c r="AD55" i="21"/>
  <c r="AD52" i="21"/>
  <c r="AD63" i="21"/>
  <c r="AD53" i="21"/>
  <c r="AD60" i="21"/>
  <c r="AD58" i="21"/>
  <c r="AD59" i="21"/>
  <c r="AD51" i="21"/>
  <c r="AD49" i="21"/>
  <c r="AD46" i="21"/>
  <c r="AD39" i="21"/>
  <c r="AD35" i="21"/>
  <c r="AD37" i="21"/>
  <c r="AD30" i="21"/>
  <c r="AD27" i="21"/>
  <c r="AD47" i="21"/>
  <c r="AD40" i="21"/>
  <c r="AD54" i="21"/>
  <c r="AD45" i="21"/>
  <c r="AD41" i="21"/>
  <c r="AD34" i="21"/>
  <c r="AD32" i="21"/>
  <c r="AD20" i="21"/>
  <c r="AD28" i="21"/>
  <c r="AD26" i="21"/>
  <c r="AD21" i="21"/>
  <c r="AD17" i="21"/>
  <c r="AD44" i="21"/>
  <c r="AD33" i="21"/>
  <c r="AD31" i="21"/>
  <c r="AD50" i="21"/>
  <c r="AD19" i="21"/>
  <c r="AD38" i="21"/>
  <c r="AD22" i="21"/>
  <c r="AD18" i="21"/>
  <c r="AD14" i="21"/>
  <c r="AD15" i="21"/>
  <c r="AD16" i="21"/>
  <c r="AD10" i="21"/>
  <c r="AD12" i="21"/>
  <c r="AD9" i="21"/>
  <c r="AE2" i="21"/>
  <c r="AD8" i="21"/>
  <c r="AD7" i="21"/>
  <c r="AC24" i="21"/>
  <c r="AC36" i="21"/>
  <c r="AC56" i="21"/>
  <c r="AC43" i="21"/>
  <c r="AC62" i="21"/>
  <c r="AB3" i="21"/>
  <c r="AC72" i="20"/>
  <c r="AB58" i="20"/>
  <c r="AB39" i="20" s="1"/>
  <c r="AC64" i="20"/>
  <c r="AB3" i="20"/>
  <c r="AC52" i="20"/>
  <c r="AC78" i="20"/>
  <c r="AD81" i="20"/>
  <c r="AD77" i="20"/>
  <c r="AD73" i="20"/>
  <c r="AD80" i="20"/>
  <c r="AD71" i="20"/>
  <c r="AD68" i="20"/>
  <c r="AD79" i="20"/>
  <c r="AD75" i="20"/>
  <c r="AD66" i="20"/>
  <c r="AD63" i="20"/>
  <c r="AD70" i="20"/>
  <c r="AD67" i="20"/>
  <c r="AD65" i="20"/>
  <c r="AD69" i="20"/>
  <c r="AD61" i="20"/>
  <c r="AD62" i="20"/>
  <c r="AD48" i="20"/>
  <c r="AD57" i="20"/>
  <c r="AD51" i="20"/>
  <c r="AD76" i="20"/>
  <c r="AD60" i="20"/>
  <c r="AD56" i="20"/>
  <c r="AD54" i="20"/>
  <c r="AD50" i="20"/>
  <c r="AD46" i="20"/>
  <c r="AD44" i="20"/>
  <c r="AD35" i="20"/>
  <c r="AD31" i="20"/>
  <c r="AD28" i="20"/>
  <c r="AD49" i="20"/>
  <c r="AD47" i="20"/>
  <c r="AD38" i="20"/>
  <c r="AD34" i="20"/>
  <c r="AD30" i="20"/>
  <c r="AD74" i="20"/>
  <c r="AD55" i="20"/>
  <c r="AD53" i="20"/>
  <c r="AD42" i="20"/>
  <c r="AD37" i="20"/>
  <c r="AD33" i="20"/>
  <c r="AD9" i="20"/>
  <c r="AE2" i="20"/>
  <c r="AD26" i="20"/>
  <c r="AD8" i="20"/>
  <c r="AD43" i="20"/>
  <c r="AD36" i="20"/>
  <c r="AD7" i="20"/>
  <c r="AD32" i="20"/>
  <c r="AC29" i="20"/>
  <c r="AC27" i="20" s="1"/>
  <c r="AB66" i="19"/>
  <c r="AD13" i="19"/>
  <c r="AD11" i="19" s="1"/>
  <c r="AD24" i="19"/>
  <c r="AE65" i="19"/>
  <c r="AE64" i="19"/>
  <c r="AE60" i="19"/>
  <c r="AE61" i="19"/>
  <c r="AE57" i="19"/>
  <c r="AE55" i="19"/>
  <c r="AE59" i="19"/>
  <c r="AE54" i="19"/>
  <c r="AE50" i="19"/>
  <c r="AE47" i="19"/>
  <c r="AE63" i="19"/>
  <c r="AE53" i="19"/>
  <c r="AE51" i="19"/>
  <c r="AE46" i="19"/>
  <c r="AE45" i="19"/>
  <c r="AE38" i="19"/>
  <c r="AE34" i="19"/>
  <c r="AE52" i="19"/>
  <c r="AE49" i="19"/>
  <c r="AE44" i="19"/>
  <c r="AE41" i="19"/>
  <c r="AE58" i="19"/>
  <c r="AE40" i="19"/>
  <c r="AE35" i="19"/>
  <c r="AE31" i="19"/>
  <c r="AE28" i="19"/>
  <c r="AE39" i="19"/>
  <c r="AE33" i="19"/>
  <c r="AE30" i="19"/>
  <c r="AE27" i="19"/>
  <c r="AE22" i="19"/>
  <c r="AE37" i="19"/>
  <c r="AE32" i="19"/>
  <c r="AE26" i="19"/>
  <c r="AE21" i="19"/>
  <c r="AE20" i="19"/>
  <c r="AE18" i="19"/>
  <c r="AE17" i="19"/>
  <c r="AE19" i="19"/>
  <c r="AE14" i="19"/>
  <c r="AF2" i="19"/>
  <c r="AE8" i="19"/>
  <c r="AE10" i="19"/>
  <c r="AE15" i="19"/>
  <c r="AE12" i="19"/>
  <c r="AE9" i="19"/>
  <c r="AE7" i="19"/>
  <c r="AE16" i="19"/>
  <c r="AD29" i="19"/>
  <c r="AD48" i="19"/>
  <c r="AD62" i="19"/>
  <c r="AD56" i="19"/>
  <c r="AC5" i="18"/>
  <c r="AC4" i="18" s="1"/>
  <c r="AB42" i="18"/>
  <c r="AB23" i="18" s="1"/>
  <c r="AB66" i="18" s="1"/>
  <c r="AC56" i="18"/>
  <c r="AC43" i="18"/>
  <c r="AC24" i="18"/>
  <c r="AC62" i="18"/>
  <c r="AA66" i="18"/>
  <c r="AD58" i="18"/>
  <c r="AD63" i="18"/>
  <c r="AD59" i="18"/>
  <c r="AD65" i="18"/>
  <c r="AD61" i="18"/>
  <c r="AD57" i="18"/>
  <c r="AD55" i="18"/>
  <c r="AD60" i="18"/>
  <c r="AD53" i="18"/>
  <c r="AD50" i="18"/>
  <c r="AD47" i="18"/>
  <c r="AD64" i="18"/>
  <c r="AD45" i="18"/>
  <c r="AD51" i="18"/>
  <c r="AD49" i="18"/>
  <c r="AD44" i="18"/>
  <c r="AD41" i="18"/>
  <c r="AD54" i="18"/>
  <c r="AD52" i="18"/>
  <c r="AD40" i="18"/>
  <c r="AD46" i="18"/>
  <c r="AD32" i="18"/>
  <c r="AD20" i="18"/>
  <c r="AD37" i="18"/>
  <c r="AD35" i="18"/>
  <c r="AD31" i="18"/>
  <c r="AD28" i="18"/>
  <c r="AD19" i="18"/>
  <c r="AD38" i="18"/>
  <c r="AD34" i="18"/>
  <c r="AD30" i="18"/>
  <c r="AD39" i="18"/>
  <c r="AD33" i="18"/>
  <c r="AD14" i="18"/>
  <c r="AD8" i="18"/>
  <c r="AD26" i="18"/>
  <c r="AD7" i="18"/>
  <c r="AD9" i="18"/>
  <c r="AE2" i="18"/>
  <c r="AD27" i="18"/>
  <c r="AD22" i="18"/>
  <c r="AD18" i="18"/>
  <c r="AD16" i="18"/>
  <c r="AD10" i="18"/>
  <c r="AD21" i="18"/>
  <c r="AD17" i="18"/>
  <c r="AD15" i="18"/>
  <c r="AD12" i="18"/>
  <c r="AC13" i="18"/>
  <c r="AC11" i="18" s="1"/>
  <c r="AC29" i="18"/>
  <c r="AC36" i="18"/>
  <c r="AB5" i="16"/>
  <c r="AB4" i="16" s="1"/>
  <c r="AC63" i="16"/>
  <c r="AC58" i="16"/>
  <c r="AC65" i="16"/>
  <c r="AC61" i="16"/>
  <c r="AC60" i="16"/>
  <c r="AC55" i="16"/>
  <c r="AC52" i="16"/>
  <c r="AC59" i="16"/>
  <c r="AC53" i="16"/>
  <c r="AC64" i="16"/>
  <c r="AC50" i="16"/>
  <c r="AC47" i="16"/>
  <c r="AC57" i="16"/>
  <c r="AC51" i="16"/>
  <c r="AC49" i="16"/>
  <c r="AC46" i="16"/>
  <c r="AC45" i="16"/>
  <c r="AC38" i="16"/>
  <c r="AC54" i="16"/>
  <c r="AC44" i="16"/>
  <c r="AC39" i="16"/>
  <c r="AC37" i="16"/>
  <c r="AC33" i="16"/>
  <c r="AC32" i="16"/>
  <c r="AC41" i="16"/>
  <c r="AC35" i="16"/>
  <c r="AC31" i="16"/>
  <c r="AC40" i="16"/>
  <c r="AC34" i="16"/>
  <c r="AC30" i="16"/>
  <c r="AC27" i="16"/>
  <c r="AC20" i="16"/>
  <c r="AC16" i="16"/>
  <c r="AC10" i="16"/>
  <c r="AC19" i="16"/>
  <c r="AC15" i="16"/>
  <c r="AC22" i="16"/>
  <c r="AC18" i="16"/>
  <c r="AC14" i="16"/>
  <c r="AC28" i="16"/>
  <c r="AC26" i="16"/>
  <c r="AC21" i="16"/>
  <c r="AC17" i="16"/>
  <c r="AC7" i="16"/>
  <c r="AC12" i="16"/>
  <c r="AD2" i="16"/>
  <c r="AC9" i="16"/>
  <c r="AC8" i="16"/>
  <c r="AB62" i="16"/>
  <c r="AB24" i="16"/>
  <c r="Z66" i="16"/>
  <c r="AB13" i="16"/>
  <c r="AB11" i="16" s="1"/>
  <c r="AB36" i="16"/>
  <c r="AB43" i="16"/>
  <c r="AB48" i="16"/>
  <c r="AB56" i="16"/>
  <c r="AB5" i="15"/>
  <c r="AB4" i="15" s="1"/>
  <c r="AC63" i="15"/>
  <c r="AC58" i="15"/>
  <c r="AC65" i="15"/>
  <c r="AC60" i="15"/>
  <c r="AC55" i="15"/>
  <c r="AC52" i="15"/>
  <c r="AC64" i="15"/>
  <c r="AC51" i="15"/>
  <c r="AC57" i="15"/>
  <c r="AC54" i="15"/>
  <c r="AC50" i="15"/>
  <c r="AC61" i="15"/>
  <c r="AC59" i="15"/>
  <c r="AC53" i="15"/>
  <c r="AC49" i="15"/>
  <c r="AC46" i="15"/>
  <c r="AC39" i="15"/>
  <c r="AC35" i="15"/>
  <c r="AC45" i="15"/>
  <c r="AC38" i="15"/>
  <c r="AC34" i="15"/>
  <c r="AC44" i="15"/>
  <c r="AC41" i="15"/>
  <c r="AC37" i="15"/>
  <c r="AC33" i="15"/>
  <c r="AC40" i="15"/>
  <c r="AC32" i="15"/>
  <c r="AC30" i="15"/>
  <c r="AC27" i="15"/>
  <c r="AC22" i="15"/>
  <c r="AC47" i="15"/>
  <c r="AC31" i="15"/>
  <c r="AC26" i="15"/>
  <c r="AC21" i="15"/>
  <c r="AC17" i="15"/>
  <c r="AC20" i="15"/>
  <c r="AC16" i="15"/>
  <c r="AC10" i="15"/>
  <c r="AC19" i="15"/>
  <c r="AC28" i="15"/>
  <c r="AC18" i="15"/>
  <c r="AC14" i="15"/>
  <c r="AC9" i="15"/>
  <c r="AC15" i="15"/>
  <c r="AC7" i="15"/>
  <c r="AC12" i="15"/>
  <c r="AD2" i="15"/>
  <c r="AC8" i="15"/>
  <c r="AB29" i="15"/>
  <c r="AB62" i="15"/>
  <c r="AB13" i="15"/>
  <c r="AB11" i="15" s="1"/>
  <c r="AB56" i="15"/>
  <c r="AA42" i="14"/>
  <c r="AA23" i="14" s="1"/>
  <c r="AB13" i="14"/>
  <c r="AB11" i="14" s="1"/>
  <c r="AB48" i="14"/>
  <c r="AC63" i="14"/>
  <c r="AC58" i="14"/>
  <c r="AC65" i="14"/>
  <c r="AC64" i="14"/>
  <c r="AC61" i="14"/>
  <c r="AC60" i="14"/>
  <c r="AC55" i="14"/>
  <c r="AC57" i="14"/>
  <c r="AC54" i="14"/>
  <c r="AC52" i="14"/>
  <c r="AC59" i="14"/>
  <c r="AC53" i="14"/>
  <c r="AC51" i="14"/>
  <c r="AC50" i="14"/>
  <c r="AC46" i="14"/>
  <c r="AC49" i="14"/>
  <c r="AC45" i="14"/>
  <c r="AC44" i="14"/>
  <c r="AC41" i="14"/>
  <c r="AC37" i="14"/>
  <c r="AC33" i="14"/>
  <c r="AC39" i="14"/>
  <c r="AC35" i="14"/>
  <c r="AC31" i="14"/>
  <c r="AC26" i="14"/>
  <c r="AC21" i="14"/>
  <c r="AC38" i="14"/>
  <c r="AC34" i="14"/>
  <c r="AC28" i="14"/>
  <c r="AC30" i="14"/>
  <c r="AC27" i="14"/>
  <c r="AC22" i="14"/>
  <c r="AC18" i="14"/>
  <c r="AC14" i="14"/>
  <c r="AC32" i="14"/>
  <c r="AC47" i="14"/>
  <c r="AC40" i="14"/>
  <c r="AC10" i="14"/>
  <c r="AD2" i="14"/>
  <c r="AC20" i="14"/>
  <c r="AC19" i="14"/>
  <c r="AC17" i="14"/>
  <c r="AC12" i="14"/>
  <c r="AC9" i="14"/>
  <c r="AC15" i="14"/>
  <c r="AC7" i="14"/>
  <c r="AC16" i="14"/>
  <c r="AC8" i="14"/>
  <c r="AB24" i="14"/>
  <c r="AB56" i="14"/>
  <c r="AB62" i="14"/>
  <c r="AB5" i="14"/>
  <c r="AB4" i="14" s="1"/>
  <c r="AB29" i="14"/>
  <c r="AB5" i="13"/>
  <c r="AB4" i="13" s="1"/>
  <c r="AB36" i="13"/>
  <c r="AA42" i="13"/>
  <c r="AA23" i="13" s="1"/>
  <c r="AC63" i="13"/>
  <c r="AC59" i="13"/>
  <c r="AC58" i="13"/>
  <c r="AC65" i="13"/>
  <c r="AC55" i="13"/>
  <c r="AC51" i="13"/>
  <c r="AC61" i="13"/>
  <c r="AC60" i="13"/>
  <c r="AC53" i="13"/>
  <c r="AC57" i="13"/>
  <c r="AC50" i="13"/>
  <c r="AC44" i="13"/>
  <c r="AC41" i="13"/>
  <c r="AC64" i="13"/>
  <c r="AC47" i="13"/>
  <c r="AC40" i="13"/>
  <c r="AC54" i="13"/>
  <c r="AC52" i="13"/>
  <c r="AC46" i="13"/>
  <c r="AC49" i="13"/>
  <c r="AC45" i="13"/>
  <c r="AC35" i="13"/>
  <c r="AC33" i="13"/>
  <c r="AC39" i="13"/>
  <c r="AC38" i="13"/>
  <c r="AC31" i="13"/>
  <c r="AC34" i="13"/>
  <c r="AC32" i="13"/>
  <c r="AC28" i="13"/>
  <c r="AC19" i="13"/>
  <c r="AC15" i="13"/>
  <c r="AC30" i="13"/>
  <c r="AC27" i="13"/>
  <c r="AC22" i="13"/>
  <c r="AC18" i="13"/>
  <c r="AC26" i="13"/>
  <c r="AC21" i="13"/>
  <c r="AC17" i="13"/>
  <c r="AC37" i="13"/>
  <c r="AC20" i="13"/>
  <c r="AC16" i="13"/>
  <c r="AC8" i="13"/>
  <c r="AC7" i="13"/>
  <c r="AC14" i="13"/>
  <c r="AC10" i="13"/>
  <c r="AC12" i="13"/>
  <c r="AC9" i="13"/>
  <c r="AB56" i="13"/>
  <c r="AB43" i="13"/>
  <c r="AB48" i="13"/>
  <c r="AB62" i="13"/>
  <c r="AB13" i="13"/>
  <c r="AB11" i="13" s="1"/>
  <c r="AB29" i="13"/>
  <c r="AE22" i="20" l="1"/>
  <c r="AE18" i="20"/>
  <c r="AE14" i="20"/>
  <c r="AE11" i="20"/>
  <c r="AE12" i="20"/>
  <c r="AE23" i="20"/>
  <c r="AE19" i="20"/>
  <c r="AE15" i="20"/>
  <c r="AE21" i="20"/>
  <c r="AE13" i="20"/>
  <c r="AE24" i="20"/>
  <c r="AE16" i="20"/>
  <c r="AE25" i="20"/>
  <c r="AE17" i="20"/>
  <c r="AE10" i="20"/>
  <c r="AE20" i="20"/>
  <c r="AA66" i="13"/>
  <c r="AA66" i="16"/>
  <c r="AC3" i="23"/>
  <c r="AD3" i="19"/>
  <c r="AC66" i="19"/>
  <c r="AB66" i="23"/>
  <c r="AB66" i="21"/>
  <c r="AD62" i="21"/>
  <c r="AD36" i="22"/>
  <c r="AE36" i="19"/>
  <c r="AD24" i="24"/>
  <c r="AE24" i="19"/>
  <c r="AD62" i="24"/>
  <c r="AD78" i="20"/>
  <c r="AD43" i="24"/>
  <c r="AD59" i="20"/>
  <c r="AD64" i="20"/>
  <c r="AC42" i="23"/>
  <c r="AC23" i="23" s="1"/>
  <c r="AD36" i="24"/>
  <c r="AC3" i="18"/>
  <c r="AD29" i="23"/>
  <c r="AC36" i="13"/>
  <c r="AC48" i="15"/>
  <c r="AD52" i="20"/>
  <c r="AD62" i="23"/>
  <c r="AD24" i="22"/>
  <c r="AC56" i="16"/>
  <c r="AC42" i="22"/>
  <c r="AC23" i="22" s="1"/>
  <c r="AA66" i="14"/>
  <c r="AE43" i="19"/>
  <c r="AC48" i="14"/>
  <c r="AE48" i="19"/>
  <c r="AE62" i="19"/>
  <c r="AD48" i="23"/>
  <c r="AB3" i="16"/>
  <c r="AC3" i="22"/>
  <c r="AD13" i="22"/>
  <c r="AD11" i="22" s="1"/>
  <c r="AD5" i="24"/>
  <c r="AD4" i="24" s="1"/>
  <c r="AD5" i="20"/>
  <c r="AD4" i="20" s="1"/>
  <c r="AC42" i="24"/>
  <c r="AC23" i="24" s="1"/>
  <c r="AD13" i="24"/>
  <c r="AD11" i="24" s="1"/>
  <c r="AB66" i="24"/>
  <c r="AD5" i="23"/>
  <c r="AD4" i="23" s="1"/>
  <c r="AD29" i="24"/>
  <c r="AD48" i="24"/>
  <c r="AD56" i="24"/>
  <c r="AC3" i="24"/>
  <c r="AE65" i="24"/>
  <c r="AE64" i="24"/>
  <c r="AE60" i="24"/>
  <c r="AE63" i="24"/>
  <c r="AE61" i="24"/>
  <c r="AE58" i="24"/>
  <c r="AE53" i="24"/>
  <c r="AE57" i="24"/>
  <c r="AE54" i="24"/>
  <c r="AE51" i="24"/>
  <c r="AE59" i="24"/>
  <c r="AE52" i="24"/>
  <c r="AE49" i="24"/>
  <c r="AE45" i="24"/>
  <c r="AE38" i="24"/>
  <c r="AE44" i="24"/>
  <c r="AE41" i="24"/>
  <c r="AE37" i="24"/>
  <c r="AE47" i="24"/>
  <c r="AE39" i="24"/>
  <c r="AE55" i="24"/>
  <c r="AE31" i="24"/>
  <c r="AE50" i="24"/>
  <c r="AE46" i="24"/>
  <c r="AE40" i="24"/>
  <c r="AE35" i="24"/>
  <c r="AE33" i="24"/>
  <c r="AE28" i="24"/>
  <c r="AE19" i="24"/>
  <c r="AE15" i="24"/>
  <c r="AE12" i="24"/>
  <c r="AE34" i="24"/>
  <c r="AE30" i="24"/>
  <c r="AE27" i="24"/>
  <c r="AE22" i="24"/>
  <c r="AE18" i="24"/>
  <c r="AE14" i="24"/>
  <c r="AE32" i="24"/>
  <c r="AE26" i="24"/>
  <c r="AE21" i="24"/>
  <c r="AE9" i="24"/>
  <c r="AF2" i="24"/>
  <c r="AE7" i="24"/>
  <c r="AE20" i="24"/>
  <c r="AE17" i="24"/>
  <c r="AE8" i="24"/>
  <c r="AE16" i="24"/>
  <c r="AE10" i="24"/>
  <c r="AD24" i="23"/>
  <c r="AD56" i="23"/>
  <c r="AD36" i="23"/>
  <c r="AD13" i="23"/>
  <c r="AD11" i="23" s="1"/>
  <c r="AD43" i="23"/>
  <c r="AE65" i="23"/>
  <c r="AE61" i="23"/>
  <c r="AE64" i="23"/>
  <c r="AE60" i="23"/>
  <c r="AE63" i="23"/>
  <c r="AE57" i="23"/>
  <c r="AE55" i="23"/>
  <c r="AE52" i="23"/>
  <c r="AE59" i="23"/>
  <c r="AE54" i="23"/>
  <c r="AE51" i="23"/>
  <c r="AE58" i="23"/>
  <c r="AE53" i="23"/>
  <c r="AE47" i="23"/>
  <c r="AE46" i="23"/>
  <c r="AE50" i="23"/>
  <c r="AE45" i="23"/>
  <c r="AE38" i="23"/>
  <c r="AE34" i="23"/>
  <c r="AE30" i="23"/>
  <c r="AE27" i="23"/>
  <c r="AE41" i="23"/>
  <c r="AE37" i="23"/>
  <c r="AE40" i="23"/>
  <c r="AE32" i="23"/>
  <c r="AE19" i="23"/>
  <c r="AE35" i="23"/>
  <c r="AE33" i="23"/>
  <c r="AE28" i="23"/>
  <c r="AE22" i="23"/>
  <c r="AE18" i="23"/>
  <c r="AE14" i="23"/>
  <c r="AE44" i="23"/>
  <c r="AE39" i="23"/>
  <c r="AE26" i="23"/>
  <c r="AE21" i="23"/>
  <c r="AE17" i="23"/>
  <c r="AE49" i="23"/>
  <c r="AE9" i="23"/>
  <c r="AE15" i="23"/>
  <c r="AE8" i="23"/>
  <c r="AE31" i="23"/>
  <c r="AE20" i="23"/>
  <c r="AE16" i="23"/>
  <c r="AE12" i="23"/>
  <c r="AE10" i="23"/>
  <c r="AF2" i="23"/>
  <c r="AE7" i="23"/>
  <c r="AE60" i="22"/>
  <c r="AE55" i="22"/>
  <c r="AE53" i="22"/>
  <c r="AE63" i="22"/>
  <c r="AE34" i="22"/>
  <c r="AE37" i="22"/>
  <c r="AE32" i="22"/>
  <c r="AE26" i="22"/>
  <c r="AE19" i="22"/>
  <c r="AE39" i="22"/>
  <c r="AE18" i="22"/>
  <c r="AE10" i="22"/>
  <c r="AE58" i="22"/>
  <c r="AE52" i="22"/>
  <c r="AE51" i="22"/>
  <c r="AE50" i="22"/>
  <c r="AE30" i="22"/>
  <c r="AE33" i="22"/>
  <c r="AE21" i="22"/>
  <c r="AE20" i="22"/>
  <c r="AE15" i="22"/>
  <c r="AE8" i="22"/>
  <c r="AE16" i="22"/>
  <c r="AF2" i="22"/>
  <c r="AE65" i="22"/>
  <c r="AE61" i="22"/>
  <c r="AE59" i="22"/>
  <c r="AE44" i="22"/>
  <c r="AE47" i="22"/>
  <c r="AE27" i="22"/>
  <c r="AE49" i="22"/>
  <c r="AE17" i="22"/>
  <c r="AE31" i="22"/>
  <c r="AE12" i="22"/>
  <c r="AE14" i="22"/>
  <c r="AE9" i="22"/>
  <c r="AE64" i="22"/>
  <c r="AE57" i="22"/>
  <c r="AE54" i="22"/>
  <c r="AE41" i="22"/>
  <c r="AE40" i="22"/>
  <c r="AE46" i="22"/>
  <c r="AE38" i="22"/>
  <c r="AE35" i="22"/>
  <c r="AE28" i="22"/>
  <c r="AE45" i="22"/>
  <c r="AE22" i="22"/>
  <c r="AE7" i="22"/>
  <c r="AD62" i="22"/>
  <c r="AD5" i="22"/>
  <c r="AD4" i="22" s="1"/>
  <c r="AD56" i="22"/>
  <c r="AD43" i="22"/>
  <c r="AB66" i="22"/>
  <c r="AD29" i="22"/>
  <c r="AD48" i="22"/>
  <c r="AD56" i="21"/>
  <c r="AC42" i="21"/>
  <c r="AC23" i="21" s="1"/>
  <c r="AC3" i="21"/>
  <c r="AE65" i="21"/>
  <c r="AE61" i="21"/>
  <c r="AE64" i="21"/>
  <c r="AE60" i="21"/>
  <c r="AE63" i="21"/>
  <c r="AE54" i="21"/>
  <c r="AE51" i="21"/>
  <c r="AE58" i="21"/>
  <c r="AE57" i="21"/>
  <c r="AE50" i="21"/>
  <c r="AE47" i="21"/>
  <c r="AE59" i="21"/>
  <c r="AE55" i="21"/>
  <c r="AE53" i="21"/>
  <c r="AE46" i="21"/>
  <c r="AE52" i="21"/>
  <c r="AE45" i="21"/>
  <c r="AE38" i="21"/>
  <c r="AE34" i="21"/>
  <c r="AE40" i="21"/>
  <c r="AE26" i="21"/>
  <c r="AE41" i="21"/>
  <c r="AE35" i="21"/>
  <c r="AE32" i="21"/>
  <c r="AE44" i="21"/>
  <c r="AE39" i="21"/>
  <c r="AE33" i="21"/>
  <c r="AE31" i="21"/>
  <c r="AE28" i="21"/>
  <c r="AE19" i="21"/>
  <c r="AE27" i="21"/>
  <c r="AE20" i="21"/>
  <c r="AE49" i="21"/>
  <c r="AE37" i="21"/>
  <c r="AE30" i="21"/>
  <c r="AE22" i="21"/>
  <c r="AE18" i="21"/>
  <c r="AE21" i="21"/>
  <c r="AE17" i="21"/>
  <c r="AE15" i="21"/>
  <c r="AE16" i="21"/>
  <c r="AE10" i="21"/>
  <c r="AE12" i="21"/>
  <c r="AE9" i="21"/>
  <c r="AF2" i="21"/>
  <c r="AE14" i="21"/>
  <c r="AE8" i="21"/>
  <c r="AE7" i="21"/>
  <c r="AD29" i="21"/>
  <c r="AD24" i="21"/>
  <c r="AD36" i="21"/>
  <c r="AD48" i="21"/>
  <c r="AD5" i="21"/>
  <c r="AD4" i="21" s="1"/>
  <c r="AD13" i="21"/>
  <c r="AD11" i="21" s="1"/>
  <c r="AD43" i="21"/>
  <c r="AC58" i="20"/>
  <c r="AC39" i="20" s="1"/>
  <c r="AB82" i="20"/>
  <c r="AD45" i="20"/>
  <c r="AE81" i="20"/>
  <c r="AE77" i="20"/>
  <c r="AE80" i="20"/>
  <c r="AE76" i="20"/>
  <c r="AE79" i="20"/>
  <c r="AE70" i="20"/>
  <c r="AE67" i="20"/>
  <c r="AE71" i="20"/>
  <c r="AE68" i="20"/>
  <c r="AE65" i="20"/>
  <c r="AE69" i="20"/>
  <c r="AE74" i="20"/>
  <c r="AE73" i="20"/>
  <c r="AE60" i="20"/>
  <c r="AE57" i="20"/>
  <c r="AE66" i="20"/>
  <c r="AE63" i="20"/>
  <c r="AE51" i="20"/>
  <c r="AE47" i="20"/>
  <c r="AE44" i="20"/>
  <c r="AE61" i="20"/>
  <c r="AE56" i="20"/>
  <c r="AE54" i="20"/>
  <c r="AE50" i="20"/>
  <c r="AE75" i="20"/>
  <c r="AE55" i="20"/>
  <c r="AE53" i="20"/>
  <c r="AE49" i="20"/>
  <c r="AE38" i="20"/>
  <c r="AE34" i="20"/>
  <c r="AE30" i="20"/>
  <c r="AE42" i="20"/>
  <c r="AE37" i="20"/>
  <c r="AE33" i="20"/>
  <c r="AE62" i="20"/>
  <c r="AE48" i="20"/>
  <c r="AE46" i="20"/>
  <c r="AE43" i="20"/>
  <c r="AE36" i="20"/>
  <c r="AE35" i="20"/>
  <c r="AE32" i="20"/>
  <c r="AE31" i="20"/>
  <c r="AE28" i="20"/>
  <c r="AE26" i="20"/>
  <c r="AE8" i="20"/>
  <c r="AE9" i="20"/>
  <c r="AF2" i="20"/>
  <c r="AE7" i="20"/>
  <c r="AD72" i="20"/>
  <c r="AD40" i="20"/>
  <c r="AD29" i="20"/>
  <c r="AD27" i="20" s="1"/>
  <c r="AC3" i="20"/>
  <c r="AD42" i="19"/>
  <c r="AD23" i="19" s="1"/>
  <c r="AF64" i="19"/>
  <c r="AF63" i="19"/>
  <c r="AF59" i="19"/>
  <c r="AF61" i="19"/>
  <c r="AF65" i="19"/>
  <c r="AF60" i="19"/>
  <c r="AF54" i="19"/>
  <c r="AF58" i="19"/>
  <c r="AF53" i="19"/>
  <c r="AF57" i="19"/>
  <c r="AF55" i="19"/>
  <c r="AF49" i="19"/>
  <c r="AF46" i="19"/>
  <c r="AF52" i="19"/>
  <c r="AF50" i="19"/>
  <c r="AF44" i="19"/>
  <c r="AF41" i="19"/>
  <c r="AF37" i="19"/>
  <c r="AF33" i="19"/>
  <c r="AF40" i="19"/>
  <c r="AF39" i="19"/>
  <c r="AF45" i="19"/>
  <c r="AF34" i="19"/>
  <c r="AF30" i="19"/>
  <c r="AF27" i="19"/>
  <c r="AF51" i="19"/>
  <c r="AF47" i="19"/>
  <c r="AF32" i="19"/>
  <c r="AF26" i="19"/>
  <c r="AF21" i="19"/>
  <c r="AF31" i="19"/>
  <c r="AF20" i="19"/>
  <c r="AF18" i="19"/>
  <c r="AF17" i="19"/>
  <c r="AF35" i="19"/>
  <c r="AF19" i="19"/>
  <c r="AF16" i="19"/>
  <c r="AF10" i="19"/>
  <c r="AF38" i="19"/>
  <c r="AF28" i="19"/>
  <c r="AF22" i="19"/>
  <c r="AF8" i="19"/>
  <c r="AF7" i="19"/>
  <c r="AG2" i="19"/>
  <c r="AF15" i="19"/>
  <c r="AF12" i="19"/>
  <c r="AF9" i="19"/>
  <c r="AF14" i="19"/>
  <c r="AE29" i="19"/>
  <c r="AE56" i="19"/>
  <c r="AE13" i="19"/>
  <c r="AE11" i="19" s="1"/>
  <c r="AE5" i="19"/>
  <c r="AE4" i="19" s="1"/>
  <c r="AC42" i="18"/>
  <c r="AC23" i="18" s="1"/>
  <c r="AD56" i="18"/>
  <c r="AD62" i="18"/>
  <c r="AD13" i="18"/>
  <c r="AD11" i="18" s="1"/>
  <c r="AD5" i="18"/>
  <c r="AD4" i="18" s="1"/>
  <c r="AD24" i="18"/>
  <c r="AD36" i="18"/>
  <c r="AD43" i="18"/>
  <c r="AE65" i="18"/>
  <c r="AE61" i="18"/>
  <c r="AE57" i="18"/>
  <c r="AE64" i="18"/>
  <c r="AE60" i="18"/>
  <c r="AE54" i="18"/>
  <c r="AE59" i="18"/>
  <c r="AE53" i="18"/>
  <c r="AE63" i="18"/>
  <c r="AE58" i="18"/>
  <c r="AE49" i="18"/>
  <c r="AE55" i="18"/>
  <c r="AE52" i="18"/>
  <c r="AE51" i="18"/>
  <c r="AE47" i="18"/>
  <c r="AE44" i="18"/>
  <c r="AE41" i="18"/>
  <c r="AE40" i="18"/>
  <c r="AE50" i="18"/>
  <c r="AE46" i="18"/>
  <c r="AE39" i="18"/>
  <c r="AE45" i="18"/>
  <c r="AE37" i="18"/>
  <c r="AE35" i="18"/>
  <c r="AE31" i="18"/>
  <c r="AE28" i="18"/>
  <c r="AE19" i="18"/>
  <c r="AE38" i="18"/>
  <c r="AE34" i="18"/>
  <c r="AE30" i="18"/>
  <c r="AE27" i="18"/>
  <c r="AE22" i="18"/>
  <c r="AE18" i="18"/>
  <c r="AE33" i="18"/>
  <c r="AE32" i="18"/>
  <c r="AE26" i="18"/>
  <c r="AE20" i="18"/>
  <c r="AE7" i="18"/>
  <c r="AE16" i="18"/>
  <c r="AE10" i="18"/>
  <c r="AF2" i="18"/>
  <c r="AE8" i="18"/>
  <c r="AE21" i="18"/>
  <c r="AE17" i="18"/>
  <c r="AE15" i="18"/>
  <c r="AE12" i="18"/>
  <c r="AE9" i="18"/>
  <c r="AE14" i="18"/>
  <c r="AD29" i="18"/>
  <c r="AD48" i="18"/>
  <c r="AC48" i="16"/>
  <c r="AC36" i="16"/>
  <c r="AC29" i="16"/>
  <c r="AD65" i="16"/>
  <c r="AD61" i="16"/>
  <c r="AD57" i="16"/>
  <c r="AD64" i="16"/>
  <c r="AD59" i="16"/>
  <c r="AD54" i="16"/>
  <c r="AD58" i="16"/>
  <c r="AD63" i="16"/>
  <c r="AD60" i="16"/>
  <c r="AD51" i="16"/>
  <c r="AD49" i="16"/>
  <c r="AD55" i="16"/>
  <c r="AD52" i="16"/>
  <c r="AD45" i="16"/>
  <c r="AD44" i="16"/>
  <c r="AD41" i="16"/>
  <c r="AD53" i="16"/>
  <c r="AD50" i="16"/>
  <c r="AD47" i="16"/>
  <c r="AD38" i="16"/>
  <c r="AD35" i="16"/>
  <c r="AD40" i="16"/>
  <c r="AD34" i="16"/>
  <c r="AD46" i="16"/>
  <c r="AD39" i="16"/>
  <c r="AD37" i="16"/>
  <c r="AD33" i="16"/>
  <c r="AD31" i="16"/>
  <c r="AD19" i="16"/>
  <c r="AD15" i="16"/>
  <c r="AD12" i="16"/>
  <c r="AD32" i="16"/>
  <c r="AD22" i="16"/>
  <c r="AD18" i="16"/>
  <c r="AD28" i="16"/>
  <c r="AD26" i="16"/>
  <c r="AD21" i="16"/>
  <c r="AD17" i="16"/>
  <c r="AD30" i="16"/>
  <c r="AD27" i="16"/>
  <c r="AD20" i="16"/>
  <c r="AD7" i="16"/>
  <c r="AE2" i="16"/>
  <c r="AD9" i="16"/>
  <c r="AD16" i="16"/>
  <c r="AD14" i="16"/>
  <c r="AD8" i="16"/>
  <c r="AD10" i="16"/>
  <c r="AB42" i="16"/>
  <c r="AB23" i="16" s="1"/>
  <c r="AC24" i="16"/>
  <c r="AC62" i="16"/>
  <c r="AC13" i="16"/>
  <c r="AC11" i="16" s="1"/>
  <c r="AC5" i="16"/>
  <c r="AC4" i="16" s="1"/>
  <c r="AC43" i="16"/>
  <c r="AB42" i="15"/>
  <c r="AB23" i="15" s="1"/>
  <c r="AC5" i="15"/>
  <c r="AC4" i="15" s="1"/>
  <c r="AD65" i="15"/>
  <c r="AD61" i="15"/>
  <c r="AD57" i="15"/>
  <c r="AD64" i="15"/>
  <c r="AD59" i="15"/>
  <c r="AD54" i="15"/>
  <c r="AD63" i="15"/>
  <c r="AD58" i="15"/>
  <c r="AD53" i="15"/>
  <c r="AD60" i="15"/>
  <c r="AD49" i="15"/>
  <c r="AD45" i="15"/>
  <c r="AD38" i="15"/>
  <c r="AD55" i="15"/>
  <c r="AD50" i="15"/>
  <c r="AD44" i="15"/>
  <c r="AD41" i="15"/>
  <c r="AD37" i="15"/>
  <c r="AD51" i="15"/>
  <c r="AD47" i="15"/>
  <c r="AD40" i="15"/>
  <c r="AD32" i="15"/>
  <c r="AD52" i="15"/>
  <c r="AD39" i="15"/>
  <c r="AD35" i="15"/>
  <c r="AD31" i="15"/>
  <c r="AD26" i="15"/>
  <c r="AD46" i="15"/>
  <c r="AD20" i="15"/>
  <c r="AD16" i="15"/>
  <c r="AD33" i="15"/>
  <c r="AD28" i="15"/>
  <c r="AD19" i="15"/>
  <c r="AD15" i="15"/>
  <c r="AD12" i="15"/>
  <c r="AD27" i="15"/>
  <c r="AD21" i="15"/>
  <c r="AD17" i="15"/>
  <c r="AD34" i="15"/>
  <c r="AD30" i="15"/>
  <c r="AD22" i="15"/>
  <c r="AD10" i="15"/>
  <c r="AD18" i="15"/>
  <c r="AD14" i="15"/>
  <c r="AD9" i="15"/>
  <c r="AE2" i="15"/>
  <c r="AD8" i="15"/>
  <c r="AD7" i="15"/>
  <c r="AC13" i="15"/>
  <c r="AC11" i="15" s="1"/>
  <c r="AC43" i="15"/>
  <c r="AC24" i="15"/>
  <c r="AC56" i="15"/>
  <c r="AC62" i="15"/>
  <c r="AC29" i="15"/>
  <c r="AC36" i="15"/>
  <c r="AB3" i="15"/>
  <c r="AB42" i="14"/>
  <c r="AB23" i="14" s="1"/>
  <c r="AC62" i="14"/>
  <c r="AC36" i="14"/>
  <c r="AC56" i="14"/>
  <c r="AD65" i="14"/>
  <c r="AD61" i="14"/>
  <c r="AD57" i="14"/>
  <c r="AD64" i="14"/>
  <c r="AD63" i="14"/>
  <c r="AD60" i="14"/>
  <c r="AD59" i="14"/>
  <c r="AD54" i="14"/>
  <c r="AD53" i="14"/>
  <c r="AD51" i="14"/>
  <c r="AD55" i="14"/>
  <c r="AD58" i="14"/>
  <c r="AD49" i="14"/>
  <c r="AD52" i="14"/>
  <c r="AD50" i="14"/>
  <c r="AD47" i="14"/>
  <c r="AD40" i="14"/>
  <c r="AD32" i="14"/>
  <c r="AD38" i="14"/>
  <c r="AD34" i="14"/>
  <c r="AD30" i="14"/>
  <c r="AD20" i="14"/>
  <c r="AD44" i="14"/>
  <c r="AD41" i="14"/>
  <c r="AD37" i="14"/>
  <c r="AD33" i="14"/>
  <c r="AD45" i="14"/>
  <c r="AD28" i="14"/>
  <c r="AD26" i="14"/>
  <c r="AD21" i="14"/>
  <c r="AD17" i="14"/>
  <c r="AD35" i="14"/>
  <c r="AD46" i="14"/>
  <c r="AD39" i="14"/>
  <c r="AD31" i="14"/>
  <c r="AD27" i="14"/>
  <c r="AD22" i="14"/>
  <c r="AD19" i="14"/>
  <c r="AD12" i="14"/>
  <c r="AD9" i="14"/>
  <c r="AE2" i="14"/>
  <c r="AD8" i="14"/>
  <c r="AD18" i="14"/>
  <c r="AD16" i="14"/>
  <c r="AD14" i="14"/>
  <c r="AD10" i="14"/>
  <c r="AD15" i="14"/>
  <c r="AD7" i="14"/>
  <c r="AC5" i="14"/>
  <c r="AC4" i="14" s="1"/>
  <c r="AC13" i="14"/>
  <c r="AC11" i="14" s="1"/>
  <c r="AC29" i="14"/>
  <c r="AC43" i="14"/>
  <c r="AB3" i="14"/>
  <c r="AC24" i="14"/>
  <c r="AB42" i="13"/>
  <c r="AB23" i="13" s="1"/>
  <c r="AC5" i="13"/>
  <c r="AC4" i="13" s="1"/>
  <c r="AB3" i="13"/>
  <c r="AD65" i="13"/>
  <c r="AD61" i="13"/>
  <c r="AD57" i="13"/>
  <c r="AD64" i="13"/>
  <c r="AD54" i="13"/>
  <c r="AD50" i="13"/>
  <c r="AD59" i="13"/>
  <c r="AD63" i="13"/>
  <c r="AD55" i="13"/>
  <c r="AD47" i="13"/>
  <c r="AD52" i="13"/>
  <c r="AD46" i="13"/>
  <c r="AD39" i="13"/>
  <c r="AD35" i="13"/>
  <c r="AD58" i="13"/>
  <c r="AD53" i="13"/>
  <c r="AD51" i="13"/>
  <c r="AD49" i="13"/>
  <c r="AD60" i="13"/>
  <c r="AD41" i="13"/>
  <c r="AD44" i="13"/>
  <c r="AD38" i="13"/>
  <c r="AD45" i="13"/>
  <c r="AD37" i="13"/>
  <c r="AD34" i="13"/>
  <c r="AD33" i="13"/>
  <c r="AD31" i="13"/>
  <c r="AD30" i="13"/>
  <c r="AD27" i="13"/>
  <c r="AD22" i="13"/>
  <c r="AD18" i="13"/>
  <c r="AD26" i="13"/>
  <c r="AD21" i="13"/>
  <c r="AD40" i="13"/>
  <c r="AD20" i="13"/>
  <c r="AD16" i="13"/>
  <c r="AD32" i="13"/>
  <c r="AD28" i="13"/>
  <c r="AD19" i="13"/>
  <c r="AD14" i="13"/>
  <c r="AD10" i="13"/>
  <c r="AD17" i="13"/>
  <c r="AD15" i="13"/>
  <c r="AD12" i="13"/>
  <c r="AD9" i="13"/>
  <c r="AD8" i="13"/>
  <c r="AD7" i="13"/>
  <c r="AC56" i="13"/>
  <c r="AC62" i="13"/>
  <c r="AC13" i="13"/>
  <c r="AC11" i="13" s="1"/>
  <c r="AC24" i="13"/>
  <c r="AC29" i="13"/>
  <c r="AC48" i="13"/>
  <c r="AC43" i="13"/>
  <c r="N146" i="2"/>
  <c r="E23" i="1"/>
  <c r="AF11" i="20" l="1"/>
  <c r="AF24" i="20"/>
  <c r="AF16" i="20"/>
  <c r="AF23" i="20"/>
  <c r="AF19" i="20"/>
  <c r="AF15" i="20"/>
  <c r="AF20" i="20"/>
  <c r="AF12" i="20"/>
  <c r="AF22" i="20"/>
  <c r="AF14" i="20"/>
  <c r="AF25" i="20"/>
  <c r="AF17" i="20"/>
  <c r="AF10" i="20"/>
  <c r="AF13" i="20"/>
  <c r="AF21" i="20"/>
  <c r="AF18" i="20"/>
  <c r="AD66" i="19"/>
  <c r="AC66" i="23"/>
  <c r="AD3" i="24"/>
  <c r="AC66" i="18"/>
  <c r="AC82" i="20"/>
  <c r="AD58" i="20"/>
  <c r="AD39" i="20" s="1"/>
  <c r="AE48" i="21"/>
  <c r="AC42" i="14"/>
  <c r="AC23" i="14" s="1"/>
  <c r="AD42" i="23"/>
  <c r="AD23" i="23" s="1"/>
  <c r="AB66" i="16"/>
  <c r="AD48" i="13"/>
  <c r="AD42" i="24"/>
  <c r="AD23" i="24" s="1"/>
  <c r="AE56" i="22"/>
  <c r="AE48" i="23"/>
  <c r="AE29" i="21"/>
  <c r="AE62" i="23"/>
  <c r="AC66" i="22"/>
  <c r="AD62" i="13"/>
  <c r="AE42" i="19"/>
  <c r="AE23" i="19" s="1"/>
  <c r="AF56" i="19"/>
  <c r="AE36" i="21"/>
  <c r="AE43" i="21"/>
  <c r="AE78" i="20"/>
  <c r="AB66" i="15"/>
  <c r="AE43" i="23"/>
  <c r="AC66" i="24"/>
  <c r="AD62" i="14"/>
  <c r="AE62" i="21"/>
  <c r="AE48" i="22"/>
  <c r="AD3" i="22"/>
  <c r="AE5" i="22"/>
  <c r="AE4" i="22" s="1"/>
  <c r="AD5" i="15"/>
  <c r="AD4" i="15" s="1"/>
  <c r="AD3" i="20"/>
  <c r="AD5" i="14"/>
  <c r="AD4" i="14" s="1"/>
  <c r="AC3" i="13"/>
  <c r="AE13" i="22"/>
  <c r="AE11" i="22" s="1"/>
  <c r="AD3" i="23"/>
  <c r="AE5" i="23"/>
  <c r="AE4" i="23" s="1"/>
  <c r="AE43" i="24"/>
  <c r="AE56" i="24"/>
  <c r="AE62" i="24"/>
  <c r="AE5" i="24"/>
  <c r="AE4" i="24" s="1"/>
  <c r="AE24" i="24"/>
  <c r="AF64" i="24"/>
  <c r="AF63" i="24"/>
  <c r="AF59" i="24"/>
  <c r="AF60" i="24"/>
  <c r="AF65" i="24"/>
  <c r="AF53" i="24"/>
  <c r="AF50" i="24"/>
  <c r="AF61" i="24"/>
  <c r="AF44" i="24"/>
  <c r="AF41" i="24"/>
  <c r="AF37" i="24"/>
  <c r="AF57" i="24"/>
  <c r="AF55" i="24"/>
  <c r="AF54" i="24"/>
  <c r="AF47" i="24"/>
  <c r="AF40" i="24"/>
  <c r="AF58" i="24"/>
  <c r="AF45" i="24"/>
  <c r="AF39" i="24"/>
  <c r="AF52" i="24"/>
  <c r="AF51" i="24"/>
  <c r="AF46" i="24"/>
  <c r="AF38" i="24"/>
  <c r="AF34" i="24"/>
  <c r="AF49" i="24"/>
  <c r="AF35" i="24"/>
  <c r="AF30" i="24"/>
  <c r="AF27" i="24"/>
  <c r="AF22" i="24"/>
  <c r="AF18" i="24"/>
  <c r="AF14" i="24"/>
  <c r="AF32" i="24"/>
  <c r="AF26" i="24"/>
  <c r="AF21" i="24"/>
  <c r="AF17" i="24"/>
  <c r="AF31" i="24"/>
  <c r="AF20" i="24"/>
  <c r="AF33" i="24"/>
  <c r="AF28" i="24"/>
  <c r="AF15" i="24"/>
  <c r="AF8" i="24"/>
  <c r="AF7" i="24"/>
  <c r="AF19" i="24"/>
  <c r="AF16" i="24"/>
  <c r="AF10" i="24"/>
  <c r="AG2" i="24"/>
  <c r="AF12" i="24"/>
  <c r="AF9" i="24"/>
  <c r="AE36" i="24"/>
  <c r="AE13" i="24"/>
  <c r="AE11" i="24" s="1"/>
  <c r="AE29" i="24"/>
  <c r="AE48" i="24"/>
  <c r="AF64" i="23"/>
  <c r="AF63" i="23"/>
  <c r="AF59" i="23"/>
  <c r="AF60" i="23"/>
  <c r="AF54" i="23"/>
  <c r="AF51" i="23"/>
  <c r="AF65" i="23"/>
  <c r="AF61" i="23"/>
  <c r="AF58" i="23"/>
  <c r="AF53" i="23"/>
  <c r="AF50" i="23"/>
  <c r="AF46" i="23"/>
  <c r="AF55" i="23"/>
  <c r="AF52" i="23"/>
  <c r="AF45" i="23"/>
  <c r="AF49" i="23"/>
  <c r="AF44" i="23"/>
  <c r="AF41" i="23"/>
  <c r="AF37" i="23"/>
  <c r="AF33" i="23"/>
  <c r="AF26" i="23"/>
  <c r="AF40" i="23"/>
  <c r="AF39" i="23"/>
  <c r="AF35" i="23"/>
  <c r="AF31" i="23"/>
  <c r="AF28" i="23"/>
  <c r="AF22" i="23"/>
  <c r="AF47" i="23"/>
  <c r="AF32" i="23"/>
  <c r="AF27" i="23"/>
  <c r="AF21" i="23"/>
  <c r="AF17" i="23"/>
  <c r="AF20" i="23"/>
  <c r="AF16" i="23"/>
  <c r="AF57" i="23"/>
  <c r="AF34" i="23"/>
  <c r="AF30" i="23"/>
  <c r="AF19" i="23"/>
  <c r="AF15" i="23"/>
  <c r="AF8" i="23"/>
  <c r="AF38" i="23"/>
  <c r="AF7" i="23"/>
  <c r="AF18" i="23"/>
  <c r="AF12" i="23"/>
  <c r="AF10" i="23"/>
  <c r="AF14" i="23"/>
  <c r="AF9" i="23"/>
  <c r="AG2" i="23"/>
  <c r="AE24" i="23"/>
  <c r="AE36" i="23"/>
  <c r="AE56" i="23"/>
  <c r="AE13" i="23"/>
  <c r="AE11" i="23" s="1"/>
  <c r="AE29" i="23"/>
  <c r="AD42" i="22"/>
  <c r="AD23" i="22" s="1"/>
  <c r="AE36" i="22"/>
  <c r="AE29" i="22"/>
  <c r="AE43" i="22"/>
  <c r="AF65" i="22"/>
  <c r="AF54" i="22"/>
  <c r="AF50" i="22"/>
  <c r="AF49" i="22"/>
  <c r="AF44" i="22"/>
  <c r="AF38" i="22"/>
  <c r="AF35" i="22"/>
  <c r="AF16" i="22"/>
  <c r="AF30" i="22"/>
  <c r="AF14" i="22"/>
  <c r="AG2" i="22"/>
  <c r="AF21" i="22"/>
  <c r="AF64" i="22"/>
  <c r="AF61" i="22"/>
  <c r="AF53" i="22"/>
  <c r="AF47" i="22"/>
  <c r="AF46" i="22"/>
  <c r="AF37" i="22"/>
  <c r="AF32" i="22"/>
  <c r="AF31" i="22"/>
  <c r="AF10" i="22"/>
  <c r="AF12" i="22"/>
  <c r="AF17" i="22"/>
  <c r="AF27" i="22"/>
  <c r="AF63" i="22"/>
  <c r="AF51" i="22"/>
  <c r="AF33" i="22"/>
  <c r="AF28" i="22"/>
  <c r="AF22" i="22"/>
  <c r="AF9" i="22"/>
  <c r="AF57" i="22"/>
  <c r="AF40" i="22"/>
  <c r="AF39" i="22"/>
  <c r="AF45" i="22"/>
  <c r="AF19" i="22"/>
  <c r="AF8" i="22"/>
  <c r="AF59" i="22"/>
  <c r="AF60" i="22"/>
  <c r="AF55" i="22"/>
  <c r="AF58" i="22"/>
  <c r="AF52" i="22"/>
  <c r="AF26" i="22"/>
  <c r="AF41" i="22"/>
  <c r="AF20" i="22"/>
  <c r="AF34" i="22"/>
  <c r="AF18" i="22"/>
  <c r="AF7" i="22"/>
  <c r="AF15" i="22"/>
  <c r="AE24" i="22"/>
  <c r="AE62" i="22"/>
  <c r="AD42" i="21"/>
  <c r="AD23" i="21" s="1"/>
  <c r="AE13" i="21"/>
  <c r="AE11" i="21" s="1"/>
  <c r="AD3" i="21"/>
  <c r="AF64" i="21"/>
  <c r="AF60" i="21"/>
  <c r="AF63" i="21"/>
  <c r="AF59" i="21"/>
  <c r="AF65" i="21"/>
  <c r="AF58" i="21"/>
  <c r="AF53" i="21"/>
  <c r="AF49" i="21"/>
  <c r="AF55" i="21"/>
  <c r="AF52" i="21"/>
  <c r="AF45" i="21"/>
  <c r="AF61" i="21"/>
  <c r="AF57" i="21"/>
  <c r="AF54" i="21"/>
  <c r="AF47" i="21"/>
  <c r="AF44" i="21"/>
  <c r="AF41" i="21"/>
  <c r="AF37" i="21"/>
  <c r="AF33" i="21"/>
  <c r="AF35" i="21"/>
  <c r="AF32" i="21"/>
  <c r="AF51" i="21"/>
  <c r="AF46" i="21"/>
  <c r="AF39" i="21"/>
  <c r="AF34" i="21"/>
  <c r="AF31" i="21"/>
  <c r="AF28" i="21"/>
  <c r="AF50" i="21"/>
  <c r="AF38" i="21"/>
  <c r="AF30" i="21"/>
  <c r="AF27" i="21"/>
  <c r="AF22" i="21"/>
  <c r="AF18" i="21"/>
  <c r="AF40" i="21"/>
  <c r="AF20" i="21"/>
  <c r="AF19" i="21"/>
  <c r="AF16" i="21"/>
  <c r="AF21" i="21"/>
  <c r="AF26" i="21"/>
  <c r="AF10" i="21"/>
  <c r="AF12" i="21"/>
  <c r="AF9" i="21"/>
  <c r="AF17" i="21"/>
  <c r="AF14" i="21"/>
  <c r="AF8" i="21"/>
  <c r="AG2" i="21"/>
  <c r="AF15" i="21"/>
  <c r="AF7" i="21"/>
  <c r="AE24" i="21"/>
  <c r="AE56" i="21"/>
  <c r="AE5" i="21"/>
  <c r="AE4" i="21" s="1"/>
  <c r="AC66" i="21"/>
  <c r="AE45" i="20"/>
  <c r="AE72" i="20"/>
  <c r="AE40" i="20"/>
  <c r="AE5" i="20"/>
  <c r="AE4" i="20" s="1"/>
  <c r="AF80" i="20"/>
  <c r="AF76" i="20"/>
  <c r="AF79" i="20"/>
  <c r="AF75" i="20"/>
  <c r="AF81" i="20"/>
  <c r="AF74" i="20"/>
  <c r="AF69" i="20"/>
  <c r="AF70" i="20"/>
  <c r="AF67" i="20"/>
  <c r="AF77" i="20"/>
  <c r="AF73" i="20"/>
  <c r="AF66" i="20"/>
  <c r="AF63" i="20"/>
  <c r="AF56" i="20"/>
  <c r="AF71" i="20"/>
  <c r="AF61" i="20"/>
  <c r="AF57" i="20"/>
  <c r="AF54" i="20"/>
  <c r="AF50" i="20"/>
  <c r="AF46" i="20"/>
  <c r="AF43" i="20"/>
  <c r="AF65" i="20"/>
  <c r="AF60" i="20"/>
  <c r="AF55" i="20"/>
  <c r="AF53" i="20"/>
  <c r="AF49" i="20"/>
  <c r="AF68" i="20"/>
  <c r="AF62" i="20"/>
  <c r="AF48" i="20"/>
  <c r="AF47" i="20"/>
  <c r="AF42" i="20"/>
  <c r="AF37" i="20"/>
  <c r="AF33" i="20"/>
  <c r="AF36" i="20"/>
  <c r="AF32" i="20"/>
  <c r="AF35" i="20"/>
  <c r="AF9" i="20"/>
  <c r="AF44" i="20"/>
  <c r="AF38" i="20"/>
  <c r="AF34" i="20"/>
  <c r="AF51" i="20"/>
  <c r="AF7" i="20"/>
  <c r="AF30" i="20"/>
  <c r="AF26" i="20"/>
  <c r="AF31" i="20"/>
  <c r="AF28" i="20"/>
  <c r="AF8" i="20"/>
  <c r="AG2" i="20"/>
  <c r="AE29" i="20"/>
  <c r="AE27" i="20" s="1"/>
  <c r="AE52" i="20"/>
  <c r="AE59" i="20"/>
  <c r="AE64" i="20"/>
  <c r="AF36" i="19"/>
  <c r="AF62" i="19"/>
  <c r="AE3" i="19"/>
  <c r="AF24" i="19"/>
  <c r="AF13" i="19"/>
  <c r="AF11" i="19" s="1"/>
  <c r="AG63" i="19"/>
  <c r="AG58" i="19"/>
  <c r="AG65" i="19"/>
  <c r="AG59" i="19"/>
  <c r="AG53" i="19"/>
  <c r="AG64" i="19"/>
  <c r="AG61" i="19"/>
  <c r="AG60" i="19"/>
  <c r="AG54" i="19"/>
  <c r="AG52" i="19"/>
  <c r="AG49" i="19"/>
  <c r="AG40" i="19"/>
  <c r="AG32" i="19"/>
  <c r="AG39" i="19"/>
  <c r="AG57" i="19"/>
  <c r="AG55" i="19"/>
  <c r="AG51" i="19"/>
  <c r="AG47" i="19"/>
  <c r="AG45" i="19"/>
  <c r="AG38" i="19"/>
  <c r="AG33" i="19"/>
  <c r="AG26" i="19"/>
  <c r="AG44" i="19"/>
  <c r="AG37" i="19"/>
  <c r="AG20" i="19"/>
  <c r="AG35" i="19"/>
  <c r="AG46" i="19"/>
  <c r="AG30" i="19"/>
  <c r="AG17" i="19"/>
  <c r="AG34" i="19"/>
  <c r="AG19" i="19"/>
  <c r="AG16" i="19"/>
  <c r="AG50" i="19"/>
  <c r="AG41" i="19"/>
  <c r="AG28" i="19"/>
  <c r="AG22" i="19"/>
  <c r="AG15" i="19"/>
  <c r="AG12" i="19"/>
  <c r="AG9" i="19"/>
  <c r="AG31" i="19"/>
  <c r="AG27" i="19"/>
  <c r="AG21" i="19"/>
  <c r="AG18" i="19"/>
  <c r="AG10" i="19"/>
  <c r="AG7" i="19"/>
  <c r="AG14" i="19"/>
  <c r="AH2" i="19"/>
  <c r="AG8" i="19"/>
  <c r="AF29" i="19"/>
  <c r="AF43" i="19"/>
  <c r="AF48" i="19"/>
  <c r="AF5" i="19"/>
  <c r="AF4" i="19" s="1"/>
  <c r="AE13" i="18"/>
  <c r="AE11" i="18" s="1"/>
  <c r="AE24" i="18"/>
  <c r="AE43" i="18"/>
  <c r="AD42" i="18"/>
  <c r="AD23" i="18" s="1"/>
  <c r="AE36" i="18"/>
  <c r="AE48" i="18"/>
  <c r="AE56" i="18"/>
  <c r="AD3" i="18"/>
  <c r="AE5" i="18"/>
  <c r="AE4" i="18" s="1"/>
  <c r="AE29" i="18"/>
  <c r="AF64" i="18"/>
  <c r="AF60" i="18"/>
  <c r="AF58" i="18"/>
  <c r="AF55" i="18"/>
  <c r="AF65" i="18"/>
  <c r="AF61" i="18"/>
  <c r="AF63" i="18"/>
  <c r="AF59" i="18"/>
  <c r="AF52" i="18"/>
  <c r="AF57" i="18"/>
  <c r="AF54" i="18"/>
  <c r="AF51" i="18"/>
  <c r="AF53" i="18"/>
  <c r="AF49" i="18"/>
  <c r="AF40" i="18"/>
  <c r="AF50" i="18"/>
  <c r="AF46" i="18"/>
  <c r="AF39" i="18"/>
  <c r="AF45" i="18"/>
  <c r="AF38" i="18"/>
  <c r="AF47" i="18"/>
  <c r="AF44" i="18"/>
  <c r="AF41" i="18"/>
  <c r="AF34" i="18"/>
  <c r="AF30" i="18"/>
  <c r="AF27" i="18"/>
  <c r="AF22" i="18"/>
  <c r="AF18" i="18"/>
  <c r="AF33" i="18"/>
  <c r="AF26" i="18"/>
  <c r="AF21" i="18"/>
  <c r="AF17" i="18"/>
  <c r="AF32" i="18"/>
  <c r="AF37" i="18"/>
  <c r="AF35" i="18"/>
  <c r="AF31" i="18"/>
  <c r="AF28" i="18"/>
  <c r="AF16" i="18"/>
  <c r="AF10" i="18"/>
  <c r="AF19" i="18"/>
  <c r="AF15" i="18"/>
  <c r="AF12" i="18"/>
  <c r="AF9" i="18"/>
  <c r="AG2" i="18"/>
  <c r="AF7" i="18"/>
  <c r="AF14" i="18"/>
  <c r="AF8" i="18"/>
  <c r="AF20" i="18"/>
  <c r="AE62" i="18"/>
  <c r="AD24" i="16"/>
  <c r="AD62" i="16"/>
  <c r="AE65" i="16"/>
  <c r="AE61" i="16"/>
  <c r="AE64" i="16"/>
  <c r="AE60" i="16"/>
  <c r="AE63" i="16"/>
  <c r="AE58" i="16"/>
  <c r="AE53" i="16"/>
  <c r="AE57" i="16"/>
  <c r="AE55" i="16"/>
  <c r="AE52" i="16"/>
  <c r="AE54" i="16"/>
  <c r="AE50" i="16"/>
  <c r="AE47" i="16"/>
  <c r="AE40" i="16"/>
  <c r="AE59" i="16"/>
  <c r="AE51" i="16"/>
  <c r="AE49" i="16"/>
  <c r="AE46" i="16"/>
  <c r="AE45" i="16"/>
  <c r="AE35" i="16"/>
  <c r="AE41" i="16"/>
  <c r="AE34" i="16"/>
  <c r="AE39" i="16"/>
  <c r="AE37" i="16"/>
  <c r="AE33" i="16"/>
  <c r="AE44" i="16"/>
  <c r="AE38" i="16"/>
  <c r="AE32" i="16"/>
  <c r="AE22" i="16"/>
  <c r="AE18" i="16"/>
  <c r="AE14" i="16"/>
  <c r="AE28" i="16"/>
  <c r="AE26" i="16"/>
  <c r="AE21" i="16"/>
  <c r="AE17" i="16"/>
  <c r="AE30" i="16"/>
  <c r="AE27" i="16"/>
  <c r="AE20" i="16"/>
  <c r="AE16" i="16"/>
  <c r="AE10" i="16"/>
  <c r="AE31" i="16"/>
  <c r="AE19" i="16"/>
  <c r="AF2" i="16"/>
  <c r="AE12" i="16"/>
  <c r="AE9" i="16"/>
  <c r="AE8" i="16"/>
  <c r="AE7" i="16"/>
  <c r="AE15" i="16"/>
  <c r="AD29" i="16"/>
  <c r="AD43" i="16"/>
  <c r="AD48" i="16"/>
  <c r="AD56" i="16"/>
  <c r="AC42" i="16"/>
  <c r="AC23" i="16" s="1"/>
  <c r="AC3" i="16"/>
  <c r="AD13" i="16"/>
  <c r="AD11" i="16" s="1"/>
  <c r="AD5" i="16"/>
  <c r="AD4" i="16" s="1"/>
  <c r="AD36" i="16"/>
  <c r="AD13" i="15"/>
  <c r="AD11" i="15" s="1"/>
  <c r="AD62" i="15"/>
  <c r="AD29" i="15"/>
  <c r="AD24" i="15"/>
  <c r="AD48" i="15"/>
  <c r="AD56" i="15"/>
  <c r="AC42" i="15"/>
  <c r="AC23" i="15" s="1"/>
  <c r="AE65" i="15"/>
  <c r="AE61" i="15"/>
  <c r="AE64" i="15"/>
  <c r="AE60" i="15"/>
  <c r="AE63" i="15"/>
  <c r="AE58" i="15"/>
  <c r="AE53" i="15"/>
  <c r="AE57" i="15"/>
  <c r="AE54" i="15"/>
  <c r="AE59" i="15"/>
  <c r="AE55" i="15"/>
  <c r="AE52" i="15"/>
  <c r="AE51" i="15"/>
  <c r="AE50" i="15"/>
  <c r="AE44" i="15"/>
  <c r="AE41" i="15"/>
  <c r="AE37" i="15"/>
  <c r="AE47" i="15"/>
  <c r="AE40" i="15"/>
  <c r="AE46" i="15"/>
  <c r="AE39" i="15"/>
  <c r="AE35" i="15"/>
  <c r="AE31" i="15"/>
  <c r="AE49" i="15"/>
  <c r="AE38" i="15"/>
  <c r="AE33" i="15"/>
  <c r="AE28" i="15"/>
  <c r="AE19" i="15"/>
  <c r="AE45" i="15"/>
  <c r="AE34" i="15"/>
  <c r="AE30" i="15"/>
  <c r="AE27" i="15"/>
  <c r="AE22" i="15"/>
  <c r="AE18" i="15"/>
  <c r="AE14" i="15"/>
  <c r="AE32" i="15"/>
  <c r="AE21" i="15"/>
  <c r="AE26" i="15"/>
  <c r="AE20" i="15"/>
  <c r="AE16" i="15"/>
  <c r="AE15" i="15"/>
  <c r="AE12" i="15"/>
  <c r="AE9" i="15"/>
  <c r="AE17" i="15"/>
  <c r="AE10" i="15"/>
  <c r="AE8" i="15"/>
  <c r="AE7" i="15"/>
  <c r="AF2" i="15"/>
  <c r="AD36" i="15"/>
  <c r="AD43" i="15"/>
  <c r="AC3" i="15"/>
  <c r="AB66" i="14"/>
  <c r="AC3" i="14"/>
  <c r="AD13" i="14"/>
  <c r="AD11" i="14" s="1"/>
  <c r="AE65" i="14"/>
  <c r="AE64" i="14"/>
  <c r="AE60" i="14"/>
  <c r="AE63" i="14"/>
  <c r="AE61" i="14"/>
  <c r="AE59" i="14"/>
  <c r="AE58" i="14"/>
  <c r="AE53" i="14"/>
  <c r="AE50" i="14"/>
  <c r="AE55" i="14"/>
  <c r="AE52" i="14"/>
  <c r="AE57" i="14"/>
  <c r="AE54" i="14"/>
  <c r="AE47" i="14"/>
  <c r="AE51" i="14"/>
  <c r="AE46" i="14"/>
  <c r="AE39" i="14"/>
  <c r="AE35" i="14"/>
  <c r="AE31" i="14"/>
  <c r="AE49" i="14"/>
  <c r="AE44" i="14"/>
  <c r="AE41" i="14"/>
  <c r="AE37" i="14"/>
  <c r="AE33" i="14"/>
  <c r="AE28" i="14"/>
  <c r="AE45" i="14"/>
  <c r="AE40" i="14"/>
  <c r="AE32" i="14"/>
  <c r="AE34" i="14"/>
  <c r="AE16" i="14"/>
  <c r="AE38" i="14"/>
  <c r="AE20" i="14"/>
  <c r="AE19" i="14"/>
  <c r="AE27" i="14"/>
  <c r="AE30" i="14"/>
  <c r="AE26" i="14"/>
  <c r="AE21" i="14"/>
  <c r="AE17" i="14"/>
  <c r="AE8" i="14"/>
  <c r="AE7" i="14"/>
  <c r="AE22" i="14"/>
  <c r="AE15" i="14"/>
  <c r="AE12" i="14"/>
  <c r="AE9" i="14"/>
  <c r="AE18" i="14"/>
  <c r="AE14" i="14"/>
  <c r="AE10" i="14"/>
  <c r="AF2" i="14"/>
  <c r="AD24" i="14"/>
  <c r="AD36" i="14"/>
  <c r="AD29" i="14"/>
  <c r="AD48" i="14"/>
  <c r="AD43" i="14"/>
  <c r="AD56" i="14"/>
  <c r="AB66" i="13"/>
  <c r="AD5" i="13"/>
  <c r="AD4" i="13" s="1"/>
  <c r="AD43" i="13"/>
  <c r="AC42" i="13"/>
  <c r="AC23" i="13" s="1"/>
  <c r="AD13" i="13"/>
  <c r="AD11" i="13" s="1"/>
  <c r="AD24" i="13"/>
  <c r="AD29" i="13"/>
  <c r="AD36" i="13"/>
  <c r="AE65" i="13"/>
  <c r="AE61" i="13"/>
  <c r="AE64" i="13"/>
  <c r="AE60" i="13"/>
  <c r="AE63" i="13"/>
  <c r="AE58" i="13"/>
  <c r="AE53" i="13"/>
  <c r="AE57" i="13"/>
  <c r="AE55" i="13"/>
  <c r="AE59" i="13"/>
  <c r="AE52" i="13"/>
  <c r="AE46" i="13"/>
  <c r="AE54" i="13"/>
  <c r="AE51" i="13"/>
  <c r="AE49" i="13"/>
  <c r="AE45" i="13"/>
  <c r="AE38" i="13"/>
  <c r="AE50" i="13"/>
  <c r="AE47" i="13"/>
  <c r="AE44" i="13"/>
  <c r="AE39" i="13"/>
  <c r="AE37" i="13"/>
  <c r="AE40" i="13"/>
  <c r="AE33" i="13"/>
  <c r="AE41" i="13"/>
  <c r="AE26" i="13"/>
  <c r="AE21" i="13"/>
  <c r="AE17" i="13"/>
  <c r="AE20" i="13"/>
  <c r="AE32" i="13"/>
  <c r="AE28" i="13"/>
  <c r="AE19" i="13"/>
  <c r="AE15" i="13"/>
  <c r="AE35" i="13"/>
  <c r="AE34" i="13"/>
  <c r="AE31" i="13"/>
  <c r="AE30" i="13"/>
  <c r="AE27" i="13"/>
  <c r="AE22" i="13"/>
  <c r="AE18" i="13"/>
  <c r="AE14" i="13"/>
  <c r="AE10" i="13"/>
  <c r="AE12" i="13"/>
  <c r="AE9" i="13"/>
  <c r="AE8" i="13"/>
  <c r="AE7" i="13"/>
  <c r="AE16" i="13"/>
  <c r="AD56" i="13"/>
  <c r="F2" i="1"/>
  <c r="AG23" i="20" l="1"/>
  <c r="AG19" i="20"/>
  <c r="AG15" i="20"/>
  <c r="AG12" i="20"/>
  <c r="AG24" i="20"/>
  <c r="AG20" i="20"/>
  <c r="AG16" i="20"/>
  <c r="AG22" i="20"/>
  <c r="AG14" i="20"/>
  <c r="AG11" i="20"/>
  <c r="AG25" i="20"/>
  <c r="AG17" i="20"/>
  <c r="AG10" i="20"/>
  <c r="AG18" i="20"/>
  <c r="AG21" i="20"/>
  <c r="AG13" i="20"/>
  <c r="AD66" i="24"/>
  <c r="AD3" i="14"/>
  <c r="AC66" i="13"/>
  <c r="AE42" i="23"/>
  <c r="AE23" i="23" s="1"/>
  <c r="AE42" i="21"/>
  <c r="AE23" i="21" s="1"/>
  <c r="AF48" i="24"/>
  <c r="AF56" i="23"/>
  <c r="AD82" i="20"/>
  <c r="AE43" i="16"/>
  <c r="AF29" i="21"/>
  <c r="AE48" i="15"/>
  <c r="AF52" i="20"/>
  <c r="AC66" i="14"/>
  <c r="AF72" i="20"/>
  <c r="AF56" i="21"/>
  <c r="AF24" i="22"/>
  <c r="AF29" i="23"/>
  <c r="AE24" i="15"/>
  <c r="AF36" i="18"/>
  <c r="AF56" i="18"/>
  <c r="AG36" i="19"/>
  <c r="AF62" i="22"/>
  <c r="AE62" i="15"/>
  <c r="AG56" i="19"/>
  <c r="AE48" i="14"/>
  <c r="AE62" i="16"/>
  <c r="AD42" i="15"/>
  <c r="AD23" i="15" s="1"/>
  <c r="AF62" i="18"/>
  <c r="AF43" i="18"/>
  <c r="AF24" i="21"/>
  <c r="AD66" i="22"/>
  <c r="AE3" i="23"/>
  <c r="AD66" i="23"/>
  <c r="AF13" i="18"/>
  <c r="AF11" i="18" s="1"/>
  <c r="AF5" i="21"/>
  <c r="AF4" i="21" s="1"/>
  <c r="AE3" i="22"/>
  <c r="AF13" i="23"/>
  <c r="AF11" i="23" s="1"/>
  <c r="AD3" i="15"/>
  <c r="AE5" i="15"/>
  <c r="AE4" i="15" s="1"/>
  <c r="AF5" i="23"/>
  <c r="AF4" i="23" s="1"/>
  <c r="AD3" i="16"/>
  <c r="AE3" i="21"/>
  <c r="AG63" i="24"/>
  <c r="AG58" i="24"/>
  <c r="AG65" i="24"/>
  <c r="AG59" i="24"/>
  <c r="AG61" i="24"/>
  <c r="AG57" i="24"/>
  <c r="AG55" i="24"/>
  <c r="AG52" i="24"/>
  <c r="AG49" i="24"/>
  <c r="AG60" i="24"/>
  <c r="AG54" i="24"/>
  <c r="AG47" i="24"/>
  <c r="AG40" i="24"/>
  <c r="AG64" i="24"/>
  <c r="AG51" i="24"/>
  <c r="AG46" i="24"/>
  <c r="AG39" i="24"/>
  <c r="AG35" i="24"/>
  <c r="AG44" i="24"/>
  <c r="AG38" i="24"/>
  <c r="AG34" i="24"/>
  <c r="AG50" i="24"/>
  <c r="AG41" i="24"/>
  <c r="AG37" i="24"/>
  <c r="AG33" i="24"/>
  <c r="AG53" i="24"/>
  <c r="AG45" i="24"/>
  <c r="AG32" i="24"/>
  <c r="AG26" i="24"/>
  <c r="AG21" i="24"/>
  <c r="AG17" i="24"/>
  <c r="AG31" i="24"/>
  <c r="AG20" i="24"/>
  <c r="AG16" i="24"/>
  <c r="AG28" i="24"/>
  <c r="AG19" i="24"/>
  <c r="AG30" i="24"/>
  <c r="AG27" i="24"/>
  <c r="AG18" i="24"/>
  <c r="AG14" i="24"/>
  <c r="AG7" i="24"/>
  <c r="AG12" i="24"/>
  <c r="AH2" i="24"/>
  <c r="AG10" i="24"/>
  <c r="AG9" i="24"/>
  <c r="AG22" i="24"/>
  <c r="AG15" i="24"/>
  <c r="AG8" i="24"/>
  <c r="AF5" i="24"/>
  <c r="AF4" i="24" s="1"/>
  <c r="AF62" i="24"/>
  <c r="AE3" i="24"/>
  <c r="AF24" i="24"/>
  <c r="AF43" i="24"/>
  <c r="AF56" i="24"/>
  <c r="AF13" i="24"/>
  <c r="AF11" i="24" s="1"/>
  <c r="AF29" i="24"/>
  <c r="AF36" i="24"/>
  <c r="AE42" i="24"/>
  <c r="AE23" i="24" s="1"/>
  <c r="AF36" i="23"/>
  <c r="AF62" i="23"/>
  <c r="AF24" i="23"/>
  <c r="AF43" i="23"/>
  <c r="AG63" i="23"/>
  <c r="AG58" i="23"/>
  <c r="AG65" i="23"/>
  <c r="AG61" i="23"/>
  <c r="AG59" i="23"/>
  <c r="AG53" i="23"/>
  <c r="AG49" i="23"/>
  <c r="AG64" i="23"/>
  <c r="AG57" i="23"/>
  <c r="AG55" i="23"/>
  <c r="AG52" i="23"/>
  <c r="AG45" i="23"/>
  <c r="AG60" i="23"/>
  <c r="AG50" i="23"/>
  <c r="AG44" i="23"/>
  <c r="AG54" i="23"/>
  <c r="AG47" i="23"/>
  <c r="AG46" i="23"/>
  <c r="AG40" i="23"/>
  <c r="AG32" i="23"/>
  <c r="AG51" i="23"/>
  <c r="AG39" i="23"/>
  <c r="AG35" i="23"/>
  <c r="AG38" i="23"/>
  <c r="AG34" i="23"/>
  <c r="AG30" i="23"/>
  <c r="AG41" i="23"/>
  <c r="AG37" i="23"/>
  <c r="AG33" i="23"/>
  <c r="AG27" i="23"/>
  <c r="AG21" i="23"/>
  <c r="AG26" i="23"/>
  <c r="AG20" i="23"/>
  <c r="AG16" i="23"/>
  <c r="AG31" i="23"/>
  <c r="AG19" i="23"/>
  <c r="AG15" i="23"/>
  <c r="AG7" i="23"/>
  <c r="AG28" i="23"/>
  <c r="AG22" i="23"/>
  <c r="AG18" i="23"/>
  <c r="AG12" i="23"/>
  <c r="AG10" i="23"/>
  <c r="AG17" i="23"/>
  <c r="AG14" i="23"/>
  <c r="AG9" i="23"/>
  <c r="AG8" i="23"/>
  <c r="AH2" i="23"/>
  <c r="AF48" i="23"/>
  <c r="AF48" i="22"/>
  <c r="AE42" i="22"/>
  <c r="AE23" i="22" s="1"/>
  <c r="AF5" i="22"/>
  <c r="AF4" i="22" s="1"/>
  <c r="AF56" i="22"/>
  <c r="AG65" i="22"/>
  <c r="AG60" i="22"/>
  <c r="AG50" i="22"/>
  <c r="AG39" i="22"/>
  <c r="AG54" i="22"/>
  <c r="AG35" i="22"/>
  <c r="AG27" i="22"/>
  <c r="AG19" i="22"/>
  <c r="AG31" i="22"/>
  <c r="AG21" i="22"/>
  <c r="AH2" i="22"/>
  <c r="AG20" i="22"/>
  <c r="AG61" i="22"/>
  <c r="AG64" i="22"/>
  <c r="AG47" i="22"/>
  <c r="AG52" i="22"/>
  <c r="AG51" i="22"/>
  <c r="AG40" i="22"/>
  <c r="AG44" i="22"/>
  <c r="AG15" i="22"/>
  <c r="AG28" i="22"/>
  <c r="AG17" i="22"/>
  <c r="AG14" i="22"/>
  <c r="AG33" i="22"/>
  <c r="AG63" i="22"/>
  <c r="AG57" i="22"/>
  <c r="AG59" i="22"/>
  <c r="AG49" i="22"/>
  <c r="AG45" i="22"/>
  <c r="AG32" i="22"/>
  <c r="AG34" i="22"/>
  <c r="AG37" i="22"/>
  <c r="AG12" i="22"/>
  <c r="AG22" i="22"/>
  <c r="AG16" i="22"/>
  <c r="AG10" i="22"/>
  <c r="AG58" i="22"/>
  <c r="AG55" i="22"/>
  <c r="AG53" i="22"/>
  <c r="AG46" i="22"/>
  <c r="AG38" i="22"/>
  <c r="AG41" i="22"/>
  <c r="AG30" i="22"/>
  <c r="AG26" i="22"/>
  <c r="AG9" i="22"/>
  <c r="AG18" i="22"/>
  <c r="AG7" i="22"/>
  <c r="AG8" i="22"/>
  <c r="AF36" i="22"/>
  <c r="AF13" i="22"/>
  <c r="AF11" i="22" s="1"/>
  <c r="AF29" i="22"/>
  <c r="AF43" i="22"/>
  <c r="AF62" i="21"/>
  <c r="AF36" i="21"/>
  <c r="AG63" i="21"/>
  <c r="AG59" i="21"/>
  <c r="AG58" i="21"/>
  <c r="AG65" i="21"/>
  <c r="AG64" i="21"/>
  <c r="AG61" i="21"/>
  <c r="AG60" i="21"/>
  <c r="AG55" i="21"/>
  <c r="AG52" i="21"/>
  <c r="AG57" i="21"/>
  <c r="AG53" i="21"/>
  <c r="AG54" i="21"/>
  <c r="AG47" i="21"/>
  <c r="AG44" i="21"/>
  <c r="AG41" i="21"/>
  <c r="AG50" i="21"/>
  <c r="AG40" i="21"/>
  <c r="AG51" i="21"/>
  <c r="AG46" i="21"/>
  <c r="AG39" i="21"/>
  <c r="AG34" i="21"/>
  <c r="AG31" i="21"/>
  <c r="AG28" i="21"/>
  <c r="AG45" i="21"/>
  <c r="AG38" i="21"/>
  <c r="AG33" i="21"/>
  <c r="AG30" i="21"/>
  <c r="AG27" i="21"/>
  <c r="AG49" i="21"/>
  <c r="AG37" i="21"/>
  <c r="AG26" i="21"/>
  <c r="AG21" i="21"/>
  <c r="AG17" i="21"/>
  <c r="AG32" i="21"/>
  <c r="AG19" i="21"/>
  <c r="AG16" i="21"/>
  <c r="AG22" i="21"/>
  <c r="AG18" i="21"/>
  <c r="AG15" i="21"/>
  <c r="AG35" i="21"/>
  <c r="AG20" i="21"/>
  <c r="AG12" i="21"/>
  <c r="AG9" i="21"/>
  <c r="AG14" i="21"/>
  <c r="AG8" i="21"/>
  <c r="AG7" i="21"/>
  <c r="AG10" i="21"/>
  <c r="AH2" i="21"/>
  <c r="AF13" i="21"/>
  <c r="AF11" i="21" s="1"/>
  <c r="AF43" i="21"/>
  <c r="AF48" i="21"/>
  <c r="AD66" i="21"/>
  <c r="AF5" i="20"/>
  <c r="AF4" i="20" s="1"/>
  <c r="AF64" i="20"/>
  <c r="AE58" i="20"/>
  <c r="AE39" i="20" s="1"/>
  <c r="AG79" i="20"/>
  <c r="AG75" i="20"/>
  <c r="AG74" i="20"/>
  <c r="AG81" i="20"/>
  <c r="AG80" i="20"/>
  <c r="AG77" i="20"/>
  <c r="AG73" i="20"/>
  <c r="AG69" i="20"/>
  <c r="AG66" i="20"/>
  <c r="AG63" i="20"/>
  <c r="AG76" i="20"/>
  <c r="AG71" i="20"/>
  <c r="AG68" i="20"/>
  <c r="AG65" i="20"/>
  <c r="AG62" i="20"/>
  <c r="AG55" i="20"/>
  <c r="AG67" i="20"/>
  <c r="AG60" i="20"/>
  <c r="AG56" i="20"/>
  <c r="AG53" i="20"/>
  <c r="AG49" i="20"/>
  <c r="AG48" i="20"/>
  <c r="AG70" i="20"/>
  <c r="AG51" i="20"/>
  <c r="AG47" i="20"/>
  <c r="AG44" i="20"/>
  <c r="AG61" i="20"/>
  <c r="AG50" i="20"/>
  <c r="AG36" i="20"/>
  <c r="AG32" i="20"/>
  <c r="AG26" i="20"/>
  <c r="AG54" i="20"/>
  <c r="AG46" i="20"/>
  <c r="AG43" i="20"/>
  <c r="AG35" i="20"/>
  <c r="AG31" i="20"/>
  <c r="AG28" i="20"/>
  <c r="AG38" i="20"/>
  <c r="AG34" i="20"/>
  <c r="AG8" i="20"/>
  <c r="AG57" i="20"/>
  <c r="AG42" i="20"/>
  <c r="AG37" i="20"/>
  <c r="AG30" i="20"/>
  <c r="AG9" i="20"/>
  <c r="AG33" i="20"/>
  <c r="AG7" i="20"/>
  <c r="AH2" i="20"/>
  <c r="AF45" i="20"/>
  <c r="AF29" i="20"/>
  <c r="AF27" i="20" s="1"/>
  <c r="AF40" i="20"/>
  <c r="AF59" i="20"/>
  <c r="AF78" i="20"/>
  <c r="AE3" i="20"/>
  <c r="AG62" i="19"/>
  <c r="AE66" i="19"/>
  <c r="AG29" i="19"/>
  <c r="AG5" i="19"/>
  <c r="AG4" i="19" s="1"/>
  <c r="AF3" i="19"/>
  <c r="AH65" i="19"/>
  <c r="AH61" i="19"/>
  <c r="AH57" i="19"/>
  <c r="AH64" i="19"/>
  <c r="AH58" i="19"/>
  <c r="AH63" i="19"/>
  <c r="AH55" i="19"/>
  <c r="AH52" i="19"/>
  <c r="AH53" i="19"/>
  <c r="AH51" i="19"/>
  <c r="AH59" i="19"/>
  <c r="AH39" i="19"/>
  <c r="AH35" i="19"/>
  <c r="AH47" i="19"/>
  <c r="AH45" i="19"/>
  <c r="AH60" i="19"/>
  <c r="AH50" i="19"/>
  <c r="AH46" i="19"/>
  <c r="AH44" i="19"/>
  <c r="AH41" i="19"/>
  <c r="AH37" i="19"/>
  <c r="AH32" i="19"/>
  <c r="AH54" i="19"/>
  <c r="AH31" i="19"/>
  <c r="AH28" i="19"/>
  <c r="AH19" i="19"/>
  <c r="AH49" i="19"/>
  <c r="AH38" i="19"/>
  <c r="AH34" i="19"/>
  <c r="AH40" i="19"/>
  <c r="AH22" i="19"/>
  <c r="AH33" i="19"/>
  <c r="AH27" i="19"/>
  <c r="AH21" i="19"/>
  <c r="AH18" i="19"/>
  <c r="AH14" i="19"/>
  <c r="AH30" i="19"/>
  <c r="AH26" i="19"/>
  <c r="AH20" i="19"/>
  <c r="AH17" i="19"/>
  <c r="AH15" i="19"/>
  <c r="AH12" i="19"/>
  <c r="AH9" i="19"/>
  <c r="AI2" i="19"/>
  <c r="AH16" i="19"/>
  <c r="AH8" i="19"/>
  <c r="AH10" i="19"/>
  <c r="AH7" i="19"/>
  <c r="AG43" i="19"/>
  <c r="AG48" i="19"/>
  <c r="AF42" i="19"/>
  <c r="AF23" i="19" s="1"/>
  <c r="AG13" i="19"/>
  <c r="AG11" i="19" s="1"/>
  <c r="AG24" i="19"/>
  <c r="AF48" i="18"/>
  <c r="AF5" i="18"/>
  <c r="AF4" i="18" s="1"/>
  <c r="AF29" i="18"/>
  <c r="AE3" i="18"/>
  <c r="AG63" i="18"/>
  <c r="AG59" i="18"/>
  <c r="AG65" i="18"/>
  <c r="AG61" i="18"/>
  <c r="AG57" i="18"/>
  <c r="AG54" i="18"/>
  <c r="AG64" i="18"/>
  <c r="AG60" i="18"/>
  <c r="AG58" i="18"/>
  <c r="AG52" i="18"/>
  <c r="AG55" i="18"/>
  <c r="AG51" i="18"/>
  <c r="AG53" i="18"/>
  <c r="AG50" i="18"/>
  <c r="AG46" i="18"/>
  <c r="AG39" i="18"/>
  <c r="AG45" i="18"/>
  <c r="AG38" i="18"/>
  <c r="AG47" i="18"/>
  <c r="AG44" i="18"/>
  <c r="AG41" i="18"/>
  <c r="AG37" i="18"/>
  <c r="AG49" i="18"/>
  <c r="AG33" i="18"/>
  <c r="AG26" i="18"/>
  <c r="AG21" i="18"/>
  <c r="AG17" i="18"/>
  <c r="AG32" i="18"/>
  <c r="AG20" i="18"/>
  <c r="AG40" i="18"/>
  <c r="AG35" i="18"/>
  <c r="AG31" i="18"/>
  <c r="AG28" i="18"/>
  <c r="AG34" i="18"/>
  <c r="AG30" i="18"/>
  <c r="AG27" i="18"/>
  <c r="AG19" i="18"/>
  <c r="AG15" i="18"/>
  <c r="AG12" i="18"/>
  <c r="AG9" i="18"/>
  <c r="AH2" i="18"/>
  <c r="AG22" i="18"/>
  <c r="AG18" i="18"/>
  <c r="AG14" i="18"/>
  <c r="AG8" i="18"/>
  <c r="AG7" i="18"/>
  <c r="AG16" i="18"/>
  <c r="AG10" i="18"/>
  <c r="AD66" i="18"/>
  <c r="AE42" i="18"/>
  <c r="AE23" i="18" s="1"/>
  <c r="AF24" i="18"/>
  <c r="AD42" i="16"/>
  <c r="AD23" i="16" s="1"/>
  <c r="AE5" i="16"/>
  <c r="AE4" i="16" s="1"/>
  <c r="AE24" i="16"/>
  <c r="AE48" i="16"/>
  <c r="AC66" i="16"/>
  <c r="AE29" i="16"/>
  <c r="AE36" i="16"/>
  <c r="AE56" i="16"/>
  <c r="AF64" i="16"/>
  <c r="AF60" i="16"/>
  <c r="AF63" i="16"/>
  <c r="AF59" i="16"/>
  <c r="AF61" i="16"/>
  <c r="AF65" i="16"/>
  <c r="AF57" i="16"/>
  <c r="AF54" i="16"/>
  <c r="AF51" i="16"/>
  <c r="AF55" i="16"/>
  <c r="AF52" i="16"/>
  <c r="AF58" i="16"/>
  <c r="AF50" i="16"/>
  <c r="AF47" i="16"/>
  <c r="AF53" i="16"/>
  <c r="AF49" i="16"/>
  <c r="AF46" i="16"/>
  <c r="AF39" i="16"/>
  <c r="AF45" i="16"/>
  <c r="AF41" i="16"/>
  <c r="AF34" i="16"/>
  <c r="AF40" i="16"/>
  <c r="AF37" i="16"/>
  <c r="AF33" i="16"/>
  <c r="AF44" i="16"/>
  <c r="AF38" i="16"/>
  <c r="AF32" i="16"/>
  <c r="AF35" i="16"/>
  <c r="AF31" i="16"/>
  <c r="AF28" i="16"/>
  <c r="AF26" i="16"/>
  <c r="AF21" i="16"/>
  <c r="AF17" i="16"/>
  <c r="AF30" i="16"/>
  <c r="AF27" i="16"/>
  <c r="AF20" i="16"/>
  <c r="AF16" i="16"/>
  <c r="AF19" i="16"/>
  <c r="AF15" i="16"/>
  <c r="AF12" i="16"/>
  <c r="AF9" i="16"/>
  <c r="AF22" i="16"/>
  <c r="AF18" i="16"/>
  <c r="AF8" i="16"/>
  <c r="AG2" i="16"/>
  <c r="AF14" i="16"/>
  <c r="AF7" i="16"/>
  <c r="AF10" i="16"/>
  <c r="AE13" i="16"/>
  <c r="AE11" i="16" s="1"/>
  <c r="AE13" i="15"/>
  <c r="AE11" i="15" s="1"/>
  <c r="AE29" i="15"/>
  <c r="AE43" i="15"/>
  <c r="AC66" i="15"/>
  <c r="AE36" i="15"/>
  <c r="AF64" i="15"/>
  <c r="AF60" i="15"/>
  <c r="AF63" i="15"/>
  <c r="AF59" i="15"/>
  <c r="AF53" i="15"/>
  <c r="AF61" i="15"/>
  <c r="AF55" i="15"/>
  <c r="AF52" i="15"/>
  <c r="AF51" i="15"/>
  <c r="AF65" i="15"/>
  <c r="AF50" i="15"/>
  <c r="AF58" i="15"/>
  <c r="AF54" i="15"/>
  <c r="AF47" i="15"/>
  <c r="AF40" i="15"/>
  <c r="AF57" i="15"/>
  <c r="AF46" i="15"/>
  <c r="AF39" i="15"/>
  <c r="AF35" i="15"/>
  <c r="AF49" i="15"/>
  <c r="AF45" i="15"/>
  <c r="AF38" i="15"/>
  <c r="AF34" i="15"/>
  <c r="AF33" i="15"/>
  <c r="AF28" i="15"/>
  <c r="AF30" i="15"/>
  <c r="AF27" i="15"/>
  <c r="AF22" i="15"/>
  <c r="AF18" i="15"/>
  <c r="AF41" i="15"/>
  <c r="AF37" i="15"/>
  <c r="AF32" i="15"/>
  <c r="AF26" i="15"/>
  <c r="AF21" i="15"/>
  <c r="AF17" i="15"/>
  <c r="AF44" i="15"/>
  <c r="AF20" i="15"/>
  <c r="AF16" i="15"/>
  <c r="AF15" i="15"/>
  <c r="AF31" i="15"/>
  <c r="AF14" i="15"/>
  <c r="AF19" i="15"/>
  <c r="AF12" i="15"/>
  <c r="AF10" i="15"/>
  <c r="AF8" i="15"/>
  <c r="AF7" i="15"/>
  <c r="AF9" i="15"/>
  <c r="AG2" i="15"/>
  <c r="AE56" i="15"/>
  <c r="AE56" i="14"/>
  <c r="AE62" i="14"/>
  <c r="AE29" i="14"/>
  <c r="AE13" i="14"/>
  <c r="AE11" i="14" s="1"/>
  <c r="AF64" i="14"/>
  <c r="AF63" i="14"/>
  <c r="AF59" i="14"/>
  <c r="AF60" i="14"/>
  <c r="AF65" i="14"/>
  <c r="AF55" i="14"/>
  <c r="AF49" i="14"/>
  <c r="AF52" i="14"/>
  <c r="AF61" i="14"/>
  <c r="AF58" i="14"/>
  <c r="AF57" i="14"/>
  <c r="AF54" i="14"/>
  <c r="AF51" i="14"/>
  <c r="AF53" i="14"/>
  <c r="AF50" i="14"/>
  <c r="AF47" i="14"/>
  <c r="AF46" i="14"/>
  <c r="AF45" i="14"/>
  <c r="AF38" i="14"/>
  <c r="AF34" i="14"/>
  <c r="AF30" i="14"/>
  <c r="AF27" i="14"/>
  <c r="AF22" i="14"/>
  <c r="AF40" i="14"/>
  <c r="AF32" i="14"/>
  <c r="AF39" i="14"/>
  <c r="AF35" i="14"/>
  <c r="AF31" i="14"/>
  <c r="AF20" i="14"/>
  <c r="AF19" i="14"/>
  <c r="AF15" i="14"/>
  <c r="AF44" i="14"/>
  <c r="AF33" i="14"/>
  <c r="AF41" i="14"/>
  <c r="AF37" i="14"/>
  <c r="AF28" i="14"/>
  <c r="AF16" i="14"/>
  <c r="AF7" i="14"/>
  <c r="AF14" i="14"/>
  <c r="AF21" i="14"/>
  <c r="AF26" i="14"/>
  <c r="AF18" i="14"/>
  <c r="AF10" i="14"/>
  <c r="AF8" i="14"/>
  <c r="AF12" i="14"/>
  <c r="AF9" i="14"/>
  <c r="AG2" i="14"/>
  <c r="AF17" i="14"/>
  <c r="AE5" i="14"/>
  <c r="AE4" i="14" s="1"/>
  <c r="AE24" i="14"/>
  <c r="AE36" i="14"/>
  <c r="AD42" i="14"/>
  <c r="AD23" i="14" s="1"/>
  <c r="AE43" i="14"/>
  <c r="AE5" i="13"/>
  <c r="AE4" i="13" s="1"/>
  <c r="AD3" i="13"/>
  <c r="AE13" i="13"/>
  <c r="AE11" i="13" s="1"/>
  <c r="AE24" i="13"/>
  <c r="AE36" i="13"/>
  <c r="AF64" i="13"/>
  <c r="AF60" i="13"/>
  <c r="AF63" i="13"/>
  <c r="AF59" i="13"/>
  <c r="AF61" i="13"/>
  <c r="AF52" i="13"/>
  <c r="AF65" i="13"/>
  <c r="AF54" i="13"/>
  <c r="AF51" i="13"/>
  <c r="AF49" i="13"/>
  <c r="AF45" i="13"/>
  <c r="AF58" i="13"/>
  <c r="AF53" i="13"/>
  <c r="AF44" i="13"/>
  <c r="AF41" i="13"/>
  <c r="AF37" i="13"/>
  <c r="AF50" i="13"/>
  <c r="AF47" i="13"/>
  <c r="AF57" i="13"/>
  <c r="AF55" i="13"/>
  <c r="AF46" i="13"/>
  <c r="AF38" i="13"/>
  <c r="AF34" i="13"/>
  <c r="AF40" i="13"/>
  <c r="AF35" i="13"/>
  <c r="AF32" i="13"/>
  <c r="AF20" i="13"/>
  <c r="AF16" i="13"/>
  <c r="AF39" i="13"/>
  <c r="AF28" i="13"/>
  <c r="AF19" i="13"/>
  <c r="AF31" i="13"/>
  <c r="AF30" i="13"/>
  <c r="AF27" i="13"/>
  <c r="AF22" i="13"/>
  <c r="AF18" i="13"/>
  <c r="AF14" i="13"/>
  <c r="AF33" i="13"/>
  <c r="AF26" i="13"/>
  <c r="AF21" i="13"/>
  <c r="AF17" i="13"/>
  <c r="AF12" i="13"/>
  <c r="AF9" i="13"/>
  <c r="AF15" i="13"/>
  <c r="AF8" i="13"/>
  <c r="AF7" i="13"/>
  <c r="AF10" i="13"/>
  <c r="AE29" i="13"/>
  <c r="AE62" i="13"/>
  <c r="AD42" i="13"/>
  <c r="AD23" i="13" s="1"/>
  <c r="AE48" i="13"/>
  <c r="AE43" i="13"/>
  <c r="AE56" i="13"/>
  <c r="F7" i="1"/>
  <c r="F15" i="1"/>
  <c r="F19" i="1"/>
  <c r="F28" i="1"/>
  <c r="F32" i="1"/>
  <c r="F40" i="1"/>
  <c r="F8" i="1"/>
  <c r="F18" i="1"/>
  <c r="F30" i="1"/>
  <c r="F35" i="1"/>
  <c r="F41" i="1"/>
  <c r="F44" i="1"/>
  <c r="F52" i="1"/>
  <c r="F14" i="1"/>
  <c r="F33" i="1"/>
  <c r="F34" i="1"/>
  <c r="F45" i="1"/>
  <c r="F49" i="1"/>
  <c r="F58" i="1"/>
  <c r="F16" i="1"/>
  <c r="F17" i="1"/>
  <c r="F26" i="1"/>
  <c r="F27" i="1"/>
  <c r="F47" i="1"/>
  <c r="F53" i="1"/>
  <c r="F61" i="1"/>
  <c r="F65" i="1"/>
  <c r="F31" i="1"/>
  <c r="F63" i="1"/>
  <c r="F20" i="1"/>
  <c r="F37" i="1"/>
  <c r="F57" i="1"/>
  <c r="F60" i="1"/>
  <c r="F21" i="1"/>
  <c r="F38" i="1"/>
  <c r="F51" i="1"/>
  <c r="F10" i="1"/>
  <c r="F50" i="1"/>
  <c r="F54" i="1"/>
  <c r="F55" i="1"/>
  <c r="F9" i="1"/>
  <c r="F12" i="1"/>
  <c r="F64" i="1"/>
  <c r="F22" i="1"/>
  <c r="F39" i="1"/>
  <c r="F46" i="1"/>
  <c r="F59" i="1"/>
  <c r="G2" i="1"/>
  <c r="AH12" i="20" l="1"/>
  <c r="AH25" i="20"/>
  <c r="AH17" i="20"/>
  <c r="AH24" i="20"/>
  <c r="AH20" i="20"/>
  <c r="AH16" i="20"/>
  <c r="AH21" i="20"/>
  <c r="AH13" i="20"/>
  <c r="AH23" i="20"/>
  <c r="AH15" i="20"/>
  <c r="AH10" i="20"/>
  <c r="AH18" i="20"/>
  <c r="AH14" i="20"/>
  <c r="AH11" i="20"/>
  <c r="AH22" i="20"/>
  <c r="AH19" i="20"/>
  <c r="AE66" i="22"/>
  <c r="AD66" i="14"/>
  <c r="AF3" i="23"/>
  <c r="AE66" i="23"/>
  <c r="AE66" i="21"/>
  <c r="AF42" i="18"/>
  <c r="AF23" i="18" s="1"/>
  <c r="AG62" i="22"/>
  <c r="AG40" i="20"/>
  <c r="AG24" i="21"/>
  <c r="AH62" i="19"/>
  <c r="AG36" i="23"/>
  <c r="AE42" i="16"/>
  <c r="AE23" i="16" s="1"/>
  <c r="AF42" i="22"/>
  <c r="AF23" i="22" s="1"/>
  <c r="AG36" i="24"/>
  <c r="AF36" i="15"/>
  <c r="AF56" i="15"/>
  <c r="AG29" i="24"/>
  <c r="AH48" i="19"/>
  <c r="AG45" i="20"/>
  <c r="AH29" i="19"/>
  <c r="AG42" i="19"/>
  <c r="AG23" i="19" s="1"/>
  <c r="AF43" i="15"/>
  <c r="AF48" i="15"/>
  <c r="AG48" i="21"/>
  <c r="AG48" i="18"/>
  <c r="AF58" i="20"/>
  <c r="AF39" i="20" s="1"/>
  <c r="AG24" i="22"/>
  <c r="AG48" i="22"/>
  <c r="AE42" i="14"/>
  <c r="AE23" i="14" s="1"/>
  <c r="AF29" i="16"/>
  <c r="AG29" i="22"/>
  <c r="AF24" i="15"/>
  <c r="AG56" i="21"/>
  <c r="AG29" i="18"/>
  <c r="AD66" i="15"/>
  <c r="AF43" i="14"/>
  <c r="AG36" i="21"/>
  <c r="AE3" i="15"/>
  <c r="AG13" i="21"/>
  <c r="AG11" i="21" s="1"/>
  <c r="AG5" i="20"/>
  <c r="AG4" i="20" s="1"/>
  <c r="AD66" i="16"/>
  <c r="AE3" i="16"/>
  <c r="AF5" i="16"/>
  <c r="AF4" i="16" s="1"/>
  <c r="AF13" i="16"/>
  <c r="AF11" i="16" s="1"/>
  <c r="AG13" i="23"/>
  <c r="AG11" i="23" s="1"/>
  <c r="AF13" i="15"/>
  <c r="AF11" i="15" s="1"/>
  <c r="AD66" i="13"/>
  <c r="AG13" i="24"/>
  <c r="AG11" i="24" s="1"/>
  <c r="AF42" i="24"/>
  <c r="AF23" i="24" s="1"/>
  <c r="AF3" i="24"/>
  <c r="AE66" i="24"/>
  <c r="AH65" i="24"/>
  <c r="AH61" i="24"/>
  <c r="AH57" i="24"/>
  <c r="AH58" i="24"/>
  <c r="AH64" i="24"/>
  <c r="AH60" i="24"/>
  <c r="AH54" i="24"/>
  <c r="AH55" i="24"/>
  <c r="AH52" i="24"/>
  <c r="AH51" i="24"/>
  <c r="AH46" i="24"/>
  <c r="AH39" i="24"/>
  <c r="AH35" i="24"/>
  <c r="AH50" i="24"/>
  <c r="AH45" i="24"/>
  <c r="AH38" i="24"/>
  <c r="AH47" i="24"/>
  <c r="AH41" i="24"/>
  <c r="AH37" i="24"/>
  <c r="AH63" i="24"/>
  <c r="AH53" i="24"/>
  <c r="AH49" i="24"/>
  <c r="AH40" i="24"/>
  <c r="AH32" i="24"/>
  <c r="AH59" i="24"/>
  <c r="AH44" i="24"/>
  <c r="AH34" i="24"/>
  <c r="AH31" i="24"/>
  <c r="AH20" i="24"/>
  <c r="AH16" i="24"/>
  <c r="AH28" i="24"/>
  <c r="AH19" i="24"/>
  <c r="AH15" i="24"/>
  <c r="AH12" i="24"/>
  <c r="AH33" i="24"/>
  <c r="AH30" i="24"/>
  <c r="AH27" i="24"/>
  <c r="AH22" i="24"/>
  <c r="AH17" i="24"/>
  <c r="AH10" i="24"/>
  <c r="AH7" i="24"/>
  <c r="AH26" i="24"/>
  <c r="AH9" i="24"/>
  <c r="AI2" i="24"/>
  <c r="AH8" i="24"/>
  <c r="AH21" i="24"/>
  <c r="AH18" i="24"/>
  <c r="AH14" i="24"/>
  <c r="AG43" i="24"/>
  <c r="AG56" i="24"/>
  <c r="AG5" i="24"/>
  <c r="AG4" i="24" s="1"/>
  <c r="AG24" i="24"/>
  <c r="AG48" i="24"/>
  <c r="AG62" i="24"/>
  <c r="AG56" i="23"/>
  <c r="AG62" i="23"/>
  <c r="AH65" i="23"/>
  <c r="AH61" i="23"/>
  <c r="AH57" i="23"/>
  <c r="AH64" i="23"/>
  <c r="AH58" i="23"/>
  <c r="AH55" i="23"/>
  <c r="AH52" i="23"/>
  <c r="AH63" i="23"/>
  <c r="AH60" i="23"/>
  <c r="AH54" i="23"/>
  <c r="AH59" i="23"/>
  <c r="AH50" i="23"/>
  <c r="AH49" i="23"/>
  <c r="AH47" i="23"/>
  <c r="AH53" i="23"/>
  <c r="AH51" i="23"/>
  <c r="AH46" i="23"/>
  <c r="AH45" i="23"/>
  <c r="AH39" i="23"/>
  <c r="AH35" i="23"/>
  <c r="AH31" i="23"/>
  <c r="AH28" i="23"/>
  <c r="AH38" i="23"/>
  <c r="AH44" i="23"/>
  <c r="AH41" i="23"/>
  <c r="AH37" i="23"/>
  <c r="AH33" i="23"/>
  <c r="AH40" i="23"/>
  <c r="AH32" i="23"/>
  <c r="AH26" i="23"/>
  <c r="AH20" i="23"/>
  <c r="AH19" i="23"/>
  <c r="AH15" i="23"/>
  <c r="AH12" i="23"/>
  <c r="AH34" i="23"/>
  <c r="AH30" i="23"/>
  <c r="AH22" i="23"/>
  <c r="AH18" i="23"/>
  <c r="AH27" i="23"/>
  <c r="AH10" i="23"/>
  <c r="AH21" i="23"/>
  <c r="AH17" i="23"/>
  <c r="AH14" i="23"/>
  <c r="AH9" i="23"/>
  <c r="AH16" i="23"/>
  <c r="AH7" i="23"/>
  <c r="AH8" i="23"/>
  <c r="AG24" i="23"/>
  <c r="AF42" i="23"/>
  <c r="AF23" i="23" s="1"/>
  <c r="AG43" i="23"/>
  <c r="AG48" i="23"/>
  <c r="AG5" i="23"/>
  <c r="AG4" i="23" s="1"/>
  <c r="AG29" i="23"/>
  <c r="AG56" i="22"/>
  <c r="AG36" i="22"/>
  <c r="AG5" i="22"/>
  <c r="AG4" i="22" s="1"/>
  <c r="AG13" i="22"/>
  <c r="AG11" i="22" s="1"/>
  <c r="AG43" i="22"/>
  <c r="AH57" i="22"/>
  <c r="AH63" i="22"/>
  <c r="AH46" i="22"/>
  <c r="AH51" i="22"/>
  <c r="AH38" i="22"/>
  <c r="AH40" i="22"/>
  <c r="AH33" i="22"/>
  <c r="AH47" i="22"/>
  <c r="AH53" i="22"/>
  <c r="AH26" i="22"/>
  <c r="AH8" i="22"/>
  <c r="AH7" i="22"/>
  <c r="AH64" i="22"/>
  <c r="AH58" i="22"/>
  <c r="AH52" i="22"/>
  <c r="AH44" i="22"/>
  <c r="AH35" i="22"/>
  <c r="AH34" i="22"/>
  <c r="AH22" i="22"/>
  <c r="AH30" i="22"/>
  <c r="AH20" i="22"/>
  <c r="AH15" i="22"/>
  <c r="AH17" i="22"/>
  <c r="AH12" i="22"/>
  <c r="AH65" i="22"/>
  <c r="AH60" i="22"/>
  <c r="AH55" i="22"/>
  <c r="AH45" i="22"/>
  <c r="AH41" i="22"/>
  <c r="AH31" i="22"/>
  <c r="AH39" i="22"/>
  <c r="AH18" i="22"/>
  <c r="AH27" i="22"/>
  <c r="AH16" i="22"/>
  <c r="AI2" i="22"/>
  <c r="AH19" i="22"/>
  <c r="AH61" i="22"/>
  <c r="AH59" i="22"/>
  <c r="AH49" i="22"/>
  <c r="AH54" i="22"/>
  <c r="AH50" i="22"/>
  <c r="AH28" i="22"/>
  <c r="AH37" i="22"/>
  <c r="AH14" i="22"/>
  <c r="AH21" i="22"/>
  <c r="AH10" i="22"/>
  <c r="AH32" i="22"/>
  <c r="AH9" i="22"/>
  <c r="AF3" i="22"/>
  <c r="AG5" i="21"/>
  <c r="AG4" i="21" s="1"/>
  <c r="AG29" i="21"/>
  <c r="AG43" i="21"/>
  <c r="AG62" i="21"/>
  <c r="AF3" i="21"/>
  <c r="AF42" i="21"/>
  <c r="AF23" i="21" s="1"/>
  <c r="AH65" i="21"/>
  <c r="AH61" i="21"/>
  <c r="AH57" i="21"/>
  <c r="AH64" i="21"/>
  <c r="AH63" i="21"/>
  <c r="AH60" i="21"/>
  <c r="AH55" i="21"/>
  <c r="AH52" i="21"/>
  <c r="AH59" i="21"/>
  <c r="AH54" i="21"/>
  <c r="AH51" i="21"/>
  <c r="AH58" i="21"/>
  <c r="AH50" i="21"/>
  <c r="AH49" i="21"/>
  <c r="AH46" i="21"/>
  <c r="AH39" i="21"/>
  <c r="AH35" i="21"/>
  <c r="AH47" i="21"/>
  <c r="AH45" i="21"/>
  <c r="AH41" i="21"/>
  <c r="AH38" i="21"/>
  <c r="AH33" i="21"/>
  <c r="AH30" i="21"/>
  <c r="AH27" i="21"/>
  <c r="AH22" i="21"/>
  <c r="AH44" i="21"/>
  <c r="AH37" i="21"/>
  <c r="AH40" i="21"/>
  <c r="AH32" i="21"/>
  <c r="AH20" i="21"/>
  <c r="AH31" i="21"/>
  <c r="AH18" i="21"/>
  <c r="AH53" i="21"/>
  <c r="AH34" i="21"/>
  <c r="AH21" i="21"/>
  <c r="AH17" i="21"/>
  <c r="AH26" i="21"/>
  <c r="AH28" i="21"/>
  <c r="AH19" i="21"/>
  <c r="AH16" i="21"/>
  <c r="AH14" i="21"/>
  <c r="AH15" i="21"/>
  <c r="AH10" i="21"/>
  <c r="AH12" i="21"/>
  <c r="AH9" i="21"/>
  <c r="AH8" i="21"/>
  <c r="AH7" i="21"/>
  <c r="AG72" i="20"/>
  <c r="AG59" i="20"/>
  <c r="AG64" i="20"/>
  <c r="AG78" i="20"/>
  <c r="AF3" i="20"/>
  <c r="AE82" i="20"/>
  <c r="AH81" i="20"/>
  <c r="AH77" i="20"/>
  <c r="AH73" i="20"/>
  <c r="AH80" i="20"/>
  <c r="AH79" i="20"/>
  <c r="AH76" i="20"/>
  <c r="AH71" i="20"/>
  <c r="AH68" i="20"/>
  <c r="AH66" i="20"/>
  <c r="AH63" i="20"/>
  <c r="AH74" i="20"/>
  <c r="AH65" i="20"/>
  <c r="AH75" i="20"/>
  <c r="AH70" i="20"/>
  <c r="AH67" i="20"/>
  <c r="AH61" i="20"/>
  <c r="AH55" i="20"/>
  <c r="AH48" i="20"/>
  <c r="AH69" i="20"/>
  <c r="AH62" i="20"/>
  <c r="AH51" i="20"/>
  <c r="AH57" i="20"/>
  <c r="AH54" i="20"/>
  <c r="AH50" i="20"/>
  <c r="AH46" i="20"/>
  <c r="AH49" i="20"/>
  <c r="AH43" i="20"/>
  <c r="AH35" i="20"/>
  <c r="AH31" i="20"/>
  <c r="AH28" i="20"/>
  <c r="AH53" i="20"/>
  <c r="AH38" i="20"/>
  <c r="AH34" i="20"/>
  <c r="AH30" i="20"/>
  <c r="AH56" i="20"/>
  <c r="AH44" i="20"/>
  <c r="AH42" i="20"/>
  <c r="AH37" i="20"/>
  <c r="AH26" i="20"/>
  <c r="AH47" i="20"/>
  <c r="AH36" i="20"/>
  <c r="AH33" i="20"/>
  <c r="AH9" i="20"/>
  <c r="AI2" i="20"/>
  <c r="AH60" i="20"/>
  <c r="AH8" i="20"/>
  <c r="AH32" i="20"/>
  <c r="AH7" i="20"/>
  <c r="AG29" i="20"/>
  <c r="AG27" i="20" s="1"/>
  <c r="AG52" i="20"/>
  <c r="AH43" i="19"/>
  <c r="AH56" i="19"/>
  <c r="AG3" i="19"/>
  <c r="AH24" i="19"/>
  <c r="AH36" i="19"/>
  <c r="AH5" i="19"/>
  <c r="AH4" i="19" s="1"/>
  <c r="AI65" i="19"/>
  <c r="AJ65" i="19" s="1"/>
  <c r="AI64" i="19"/>
  <c r="AJ64" i="19" s="1"/>
  <c r="AI60" i="19"/>
  <c r="AJ60" i="19" s="1"/>
  <c r="AI63" i="19"/>
  <c r="AI55" i="19"/>
  <c r="AJ55" i="19" s="1"/>
  <c r="AI61" i="19"/>
  <c r="AJ61" i="19" s="1"/>
  <c r="AI57" i="19"/>
  <c r="AI54" i="19"/>
  <c r="AJ54" i="19" s="1"/>
  <c r="AI59" i="19"/>
  <c r="AJ59" i="19" s="1"/>
  <c r="AI50" i="19"/>
  <c r="AJ50" i="19" s="1"/>
  <c r="AI47" i="19"/>
  <c r="AJ47" i="19" s="1"/>
  <c r="AI58" i="19"/>
  <c r="AJ58" i="19" s="1"/>
  <c r="AI45" i="19"/>
  <c r="AJ45" i="19" s="1"/>
  <c r="AI38" i="19"/>
  <c r="AJ38" i="19" s="1"/>
  <c r="AI34" i="19"/>
  <c r="AJ34" i="19" s="1"/>
  <c r="AI51" i="19"/>
  <c r="AJ51" i="19" s="1"/>
  <c r="AI46" i="19"/>
  <c r="AJ46" i="19" s="1"/>
  <c r="AI44" i="19"/>
  <c r="AI41" i="19"/>
  <c r="AJ41" i="19" s="1"/>
  <c r="AI49" i="19"/>
  <c r="AI40" i="19"/>
  <c r="AJ40" i="19" s="1"/>
  <c r="AI39" i="19"/>
  <c r="AJ39" i="19" s="1"/>
  <c r="AI31" i="19"/>
  <c r="AJ31" i="19" s="1"/>
  <c r="AI28" i="19"/>
  <c r="AJ28" i="19" s="1"/>
  <c r="AI53" i="19"/>
  <c r="AJ53" i="19" s="1"/>
  <c r="AK53" i="19" s="1"/>
  <c r="AI35" i="19"/>
  <c r="AJ35" i="19" s="1"/>
  <c r="AI30" i="19"/>
  <c r="AI27" i="19"/>
  <c r="AJ27" i="19" s="1"/>
  <c r="AI22" i="19"/>
  <c r="AJ22" i="19" s="1"/>
  <c r="AI52" i="19"/>
  <c r="AJ52" i="19" s="1"/>
  <c r="AI37" i="19"/>
  <c r="AI19" i="19"/>
  <c r="AJ19" i="19" s="1"/>
  <c r="AI33" i="19"/>
  <c r="AJ33" i="19" s="1"/>
  <c r="AI21" i="19"/>
  <c r="AJ21" i="19" s="1"/>
  <c r="AI18" i="19"/>
  <c r="AJ18" i="19" s="1"/>
  <c r="AI26" i="19"/>
  <c r="AI20" i="19"/>
  <c r="AJ20" i="19" s="1"/>
  <c r="AI17" i="19"/>
  <c r="AJ17" i="19" s="1"/>
  <c r="AI32" i="19"/>
  <c r="AJ32" i="19" s="1"/>
  <c r="AI8" i="19"/>
  <c r="AJ8" i="19" s="1"/>
  <c r="AI16" i="19"/>
  <c r="AJ16" i="19" s="1"/>
  <c r="AI14" i="19"/>
  <c r="AI10" i="19"/>
  <c r="AJ10" i="19" s="1"/>
  <c r="AI7" i="19"/>
  <c r="AI12" i="19"/>
  <c r="AI9" i="19"/>
  <c r="AJ9" i="19" s="1"/>
  <c r="AI15" i="19"/>
  <c r="AJ15" i="19" s="1"/>
  <c r="AH13" i="19"/>
  <c r="AH11" i="19" s="1"/>
  <c r="AF66" i="19"/>
  <c r="AG24" i="18"/>
  <c r="AG13" i="18"/>
  <c r="AG11" i="18" s="1"/>
  <c r="AG43" i="18"/>
  <c r="AE66" i="18"/>
  <c r="AH58" i="18"/>
  <c r="AH64" i="18"/>
  <c r="AH60" i="18"/>
  <c r="AH63" i="18"/>
  <c r="AH59" i="18"/>
  <c r="AH55" i="18"/>
  <c r="AH61" i="18"/>
  <c r="AH57" i="18"/>
  <c r="AH54" i="18"/>
  <c r="AH53" i="18"/>
  <c r="AH50" i="18"/>
  <c r="AH47" i="18"/>
  <c r="AH65" i="18"/>
  <c r="AH45" i="18"/>
  <c r="AH52" i="18"/>
  <c r="AH44" i="18"/>
  <c r="AH41" i="18"/>
  <c r="AH49" i="18"/>
  <c r="AH40" i="18"/>
  <c r="AH51" i="18"/>
  <c r="AH46" i="18"/>
  <c r="AH38" i="18"/>
  <c r="AH32" i="18"/>
  <c r="AH20" i="18"/>
  <c r="AH35" i="18"/>
  <c r="AH31" i="18"/>
  <c r="AH28" i="18"/>
  <c r="AH19" i="18"/>
  <c r="AH39" i="18"/>
  <c r="AH37" i="18"/>
  <c r="AH34" i="18"/>
  <c r="AH30" i="18"/>
  <c r="AH33" i="18"/>
  <c r="AH22" i="18"/>
  <c r="AH18" i="18"/>
  <c r="AH14" i="18"/>
  <c r="AH8" i="18"/>
  <c r="AH27" i="18"/>
  <c r="AH21" i="18"/>
  <c r="AH17" i="18"/>
  <c r="AH7" i="18"/>
  <c r="AH9" i="18"/>
  <c r="AH16" i="18"/>
  <c r="AH10" i="18"/>
  <c r="AH26" i="18"/>
  <c r="AH15" i="18"/>
  <c r="AH12" i="18"/>
  <c r="AG5" i="18"/>
  <c r="AG4" i="18" s="1"/>
  <c r="AG36" i="18"/>
  <c r="AF3" i="18"/>
  <c r="AG56" i="18"/>
  <c r="AG62" i="18"/>
  <c r="AF43" i="16"/>
  <c r="AG63" i="16"/>
  <c r="AG58" i="16"/>
  <c r="AG65" i="16"/>
  <c r="AG61" i="16"/>
  <c r="AG57" i="16"/>
  <c r="AG55" i="16"/>
  <c r="AG52" i="16"/>
  <c r="AG64" i="16"/>
  <c r="AG60" i="16"/>
  <c r="AG59" i="16"/>
  <c r="AG53" i="16"/>
  <c r="AG50" i="16"/>
  <c r="AG47" i="16"/>
  <c r="AG54" i="16"/>
  <c r="AG49" i="16"/>
  <c r="AG46" i="16"/>
  <c r="AG51" i="16"/>
  <c r="AG45" i="16"/>
  <c r="AG38" i="16"/>
  <c r="AG44" i="16"/>
  <c r="AG40" i="16"/>
  <c r="AG37" i="16"/>
  <c r="AG33" i="16"/>
  <c r="AG39" i="16"/>
  <c r="AG32" i="16"/>
  <c r="AG35" i="16"/>
  <c r="AG31" i="16"/>
  <c r="AG41" i="16"/>
  <c r="AG34" i="16"/>
  <c r="AG30" i="16"/>
  <c r="AG27" i="16"/>
  <c r="AG28" i="16"/>
  <c r="AG20" i="16"/>
  <c r="AG16" i="16"/>
  <c r="AG10" i="16"/>
  <c r="AG19" i="16"/>
  <c r="AG15" i="16"/>
  <c r="AG22" i="16"/>
  <c r="AG18" i="16"/>
  <c r="AG14" i="16"/>
  <c r="AG26" i="16"/>
  <c r="AG21" i="16"/>
  <c r="AG17" i="16"/>
  <c r="AG12" i="16"/>
  <c r="AG9" i="16"/>
  <c r="AG7" i="16"/>
  <c r="AH2" i="16"/>
  <c r="AG8" i="16"/>
  <c r="AF48" i="16"/>
  <c r="AF24" i="16"/>
  <c r="AF36" i="16"/>
  <c r="AF56" i="16"/>
  <c r="AF62" i="16"/>
  <c r="AF5" i="15"/>
  <c r="AF4" i="15" s="1"/>
  <c r="AF29" i="15"/>
  <c r="AE42" i="15"/>
  <c r="AE23" i="15" s="1"/>
  <c r="AG63" i="15"/>
  <c r="AG58" i="15"/>
  <c r="AG57" i="15"/>
  <c r="AG55" i="15"/>
  <c r="AG52" i="15"/>
  <c r="AG61" i="15"/>
  <c r="AG59" i="15"/>
  <c r="AG51" i="15"/>
  <c r="AG65" i="15"/>
  <c r="AG60" i="15"/>
  <c r="AG50" i="15"/>
  <c r="AG54" i="15"/>
  <c r="AG49" i="15"/>
  <c r="AG46" i="15"/>
  <c r="AG39" i="15"/>
  <c r="AG35" i="15"/>
  <c r="AG45" i="15"/>
  <c r="AG38" i="15"/>
  <c r="AG34" i="15"/>
  <c r="AG53" i="15"/>
  <c r="AG44" i="15"/>
  <c r="AG41" i="15"/>
  <c r="AG37" i="15"/>
  <c r="AG33" i="15"/>
  <c r="AG47" i="15"/>
  <c r="AG30" i="15"/>
  <c r="AG27" i="15"/>
  <c r="AG22" i="15"/>
  <c r="AG32" i="15"/>
  <c r="AG26" i="15"/>
  <c r="AG21" i="15"/>
  <c r="AG17" i="15"/>
  <c r="AG64" i="15"/>
  <c r="AG31" i="15"/>
  <c r="AG20" i="15"/>
  <c r="AG16" i="15"/>
  <c r="AG10" i="15"/>
  <c r="AG40" i="15"/>
  <c r="AG28" i="15"/>
  <c r="AG19" i="15"/>
  <c r="AG15" i="15"/>
  <c r="AG9" i="15"/>
  <c r="AG18" i="15"/>
  <c r="AG12" i="15"/>
  <c r="AG14" i="15"/>
  <c r="AG7" i="15"/>
  <c r="AH2" i="15"/>
  <c r="AG8" i="15"/>
  <c r="AF62" i="15"/>
  <c r="AF36" i="14"/>
  <c r="AF24" i="14"/>
  <c r="AF56" i="14"/>
  <c r="AE3" i="14"/>
  <c r="AG63" i="14"/>
  <c r="AG58" i="14"/>
  <c r="AG65" i="14"/>
  <c r="AG61" i="14"/>
  <c r="AG57" i="14"/>
  <c r="AG55" i="14"/>
  <c r="AG60" i="14"/>
  <c r="AG59" i="14"/>
  <c r="AG52" i="14"/>
  <c r="AG64" i="14"/>
  <c r="AG54" i="14"/>
  <c r="AG51" i="14"/>
  <c r="AG53" i="14"/>
  <c r="AG50" i="14"/>
  <c r="AG46" i="14"/>
  <c r="AG45" i="14"/>
  <c r="AG49" i="14"/>
  <c r="AG44" i="14"/>
  <c r="AG41" i="14"/>
  <c r="AG37" i="14"/>
  <c r="AG33" i="14"/>
  <c r="AG40" i="14"/>
  <c r="AG32" i="14"/>
  <c r="AG26" i="14"/>
  <c r="AG21" i="14"/>
  <c r="AG39" i="14"/>
  <c r="AG35" i="14"/>
  <c r="AG47" i="14"/>
  <c r="AG38" i="14"/>
  <c r="AG34" i="14"/>
  <c r="AG30" i="14"/>
  <c r="AG28" i="14"/>
  <c r="AG18" i="14"/>
  <c r="AG14" i="14"/>
  <c r="AG31" i="14"/>
  <c r="AG27" i="14"/>
  <c r="AG22" i="14"/>
  <c r="AG20" i="14"/>
  <c r="AG15" i="14"/>
  <c r="AG10" i="14"/>
  <c r="AG12" i="14"/>
  <c r="AG19" i="14"/>
  <c r="AG9" i="14"/>
  <c r="AG7" i="14"/>
  <c r="AG17" i="14"/>
  <c r="AG8" i="14"/>
  <c r="AG16" i="14"/>
  <c r="AF13" i="14"/>
  <c r="AF11" i="14" s="1"/>
  <c r="AF48" i="14"/>
  <c r="AF5" i="14"/>
  <c r="AF4" i="14" s="1"/>
  <c r="AF62" i="14"/>
  <c r="AF29" i="14"/>
  <c r="AE3" i="13"/>
  <c r="AF24" i="13"/>
  <c r="AF29" i="13"/>
  <c r="AF13" i="13"/>
  <c r="AF11" i="13" s="1"/>
  <c r="AF36" i="13"/>
  <c r="AE42" i="13"/>
  <c r="AE23" i="13" s="1"/>
  <c r="AF56" i="13"/>
  <c r="AF62" i="13"/>
  <c r="AF5" i="13"/>
  <c r="AF4" i="13" s="1"/>
  <c r="AG63" i="13"/>
  <c r="AG59" i="13"/>
  <c r="AG58" i="13"/>
  <c r="AG65" i="13"/>
  <c r="AG61" i="13"/>
  <c r="AG60" i="13"/>
  <c r="AG57" i="13"/>
  <c r="AG55" i="13"/>
  <c r="AG51" i="13"/>
  <c r="AG64" i="13"/>
  <c r="AG53" i="13"/>
  <c r="AG54" i="13"/>
  <c r="AG44" i="13"/>
  <c r="AG41" i="13"/>
  <c r="AG50" i="13"/>
  <c r="AG47" i="13"/>
  <c r="AG40" i="13"/>
  <c r="AG46" i="13"/>
  <c r="AG52" i="13"/>
  <c r="AG49" i="13"/>
  <c r="AG45" i="13"/>
  <c r="AG37" i="13"/>
  <c r="AG33" i="13"/>
  <c r="AG39" i="13"/>
  <c r="AG31" i="13"/>
  <c r="AG28" i="13"/>
  <c r="AG19" i="13"/>
  <c r="AG15" i="13"/>
  <c r="AG32" i="13"/>
  <c r="AG30" i="13"/>
  <c r="AG27" i="13"/>
  <c r="AG22" i="13"/>
  <c r="AG18" i="13"/>
  <c r="AG35" i="13"/>
  <c r="AG34" i="13"/>
  <c r="AG26" i="13"/>
  <c r="AG21" i="13"/>
  <c r="AG17" i="13"/>
  <c r="AG38" i="13"/>
  <c r="AG20" i="13"/>
  <c r="AG16" i="13"/>
  <c r="AG8" i="13"/>
  <c r="AG7" i="13"/>
  <c r="AG10" i="13"/>
  <c r="AG14" i="13"/>
  <c r="AG12" i="13"/>
  <c r="AG9" i="13"/>
  <c r="AF43" i="13"/>
  <c r="AF48" i="13"/>
  <c r="F56" i="1"/>
  <c r="F36" i="1"/>
  <c r="F24" i="1"/>
  <c r="F13" i="1"/>
  <c r="F11" i="1" s="1"/>
  <c r="G7" i="1"/>
  <c r="G15" i="1"/>
  <c r="G19" i="1"/>
  <c r="G28" i="1"/>
  <c r="G32" i="1"/>
  <c r="G40" i="1"/>
  <c r="G44" i="1"/>
  <c r="G8" i="1"/>
  <c r="G18" i="1"/>
  <c r="G30" i="1"/>
  <c r="G35" i="1"/>
  <c r="G41" i="1"/>
  <c r="G52" i="1"/>
  <c r="G14" i="1"/>
  <c r="G33" i="1"/>
  <c r="G34" i="1"/>
  <c r="G45" i="1"/>
  <c r="G49" i="1"/>
  <c r="G58" i="1"/>
  <c r="G20" i="1"/>
  <c r="G37" i="1"/>
  <c r="G55" i="1"/>
  <c r="G57" i="1"/>
  <c r="G60" i="1"/>
  <c r="G10" i="1"/>
  <c r="G27" i="1"/>
  <c r="G54" i="1"/>
  <c r="G31" i="1"/>
  <c r="G47" i="1"/>
  <c r="G63" i="1"/>
  <c r="G64" i="1"/>
  <c r="G16" i="1"/>
  <c r="G22" i="1"/>
  <c r="G39" i="1"/>
  <c r="G46" i="1"/>
  <c r="G50" i="1"/>
  <c r="G53" i="1"/>
  <c r="G59" i="1"/>
  <c r="G21" i="1"/>
  <c r="G38" i="1"/>
  <c r="G51" i="1"/>
  <c r="G61" i="1"/>
  <c r="G9" i="1"/>
  <c r="G12" i="1"/>
  <c r="G26" i="1"/>
  <c r="G65" i="1"/>
  <c r="G17" i="1"/>
  <c r="F62" i="1"/>
  <c r="F43" i="1"/>
  <c r="F48" i="1"/>
  <c r="F29" i="1"/>
  <c r="F5" i="1"/>
  <c r="H2" i="1"/>
  <c r="AI24" i="20" l="1"/>
  <c r="AJ24" i="20" s="1"/>
  <c r="AI20" i="20"/>
  <c r="AJ20" i="20" s="1"/>
  <c r="AI16" i="20"/>
  <c r="AJ16" i="20" s="1"/>
  <c r="AI25" i="20"/>
  <c r="AJ25" i="20" s="1"/>
  <c r="AI21" i="20"/>
  <c r="AJ21" i="20" s="1"/>
  <c r="AI17" i="20"/>
  <c r="AJ17" i="20" s="1"/>
  <c r="AI13" i="20"/>
  <c r="AJ13" i="20" s="1"/>
  <c r="AI23" i="20"/>
  <c r="AJ23" i="20" s="1"/>
  <c r="AI15" i="20"/>
  <c r="AJ15" i="20" s="1"/>
  <c r="AI10" i="20"/>
  <c r="AJ10" i="20" s="1"/>
  <c r="AI18" i="20"/>
  <c r="AJ18" i="20" s="1"/>
  <c r="AI19" i="20"/>
  <c r="AJ19" i="20" s="1"/>
  <c r="AI11" i="20"/>
  <c r="AJ11" i="20" s="1"/>
  <c r="AI22" i="20"/>
  <c r="AJ22" i="20" s="1"/>
  <c r="AI12" i="20"/>
  <c r="AJ12" i="20" s="1"/>
  <c r="AI14" i="20"/>
  <c r="AJ14" i="20" s="1"/>
  <c r="AK32" i="19"/>
  <c r="J32" i="27"/>
  <c r="AK31" i="19"/>
  <c r="J31" i="27"/>
  <c r="AK34" i="19"/>
  <c r="J34" i="27"/>
  <c r="AK52" i="19"/>
  <c r="J52" i="27"/>
  <c r="AK39" i="19"/>
  <c r="J39" i="27"/>
  <c r="AK38" i="19"/>
  <c r="J38" i="27"/>
  <c r="AK61" i="19"/>
  <c r="J61" i="27"/>
  <c r="AK40" i="19"/>
  <c r="J40" i="27"/>
  <c r="AK45" i="19"/>
  <c r="J45" i="27"/>
  <c r="AK55" i="19"/>
  <c r="J55" i="27"/>
  <c r="AK27" i="19"/>
  <c r="J27" i="27"/>
  <c r="AK58" i="19"/>
  <c r="J58" i="27"/>
  <c r="AK41" i="19"/>
  <c r="J41" i="27"/>
  <c r="AK47" i="19"/>
  <c r="J47" i="27"/>
  <c r="AK60" i="19"/>
  <c r="J60" i="27"/>
  <c r="AK35" i="19"/>
  <c r="J35" i="27"/>
  <c r="AK50" i="19"/>
  <c r="J50" i="27"/>
  <c r="AK64" i="19"/>
  <c r="J64" i="27"/>
  <c r="AK33" i="19"/>
  <c r="J33" i="27"/>
  <c r="AK46" i="19"/>
  <c r="J46" i="27"/>
  <c r="AK59" i="19"/>
  <c r="J59" i="27"/>
  <c r="AK65" i="19"/>
  <c r="J65" i="27"/>
  <c r="AK28" i="19"/>
  <c r="J28" i="27"/>
  <c r="AK51" i="19"/>
  <c r="J51" i="27"/>
  <c r="AK54" i="19"/>
  <c r="J54" i="27"/>
  <c r="AK15" i="19"/>
  <c r="J15" i="27"/>
  <c r="AK20" i="19"/>
  <c r="J20" i="27"/>
  <c r="AK22" i="19"/>
  <c r="J22" i="27"/>
  <c r="AK9" i="19"/>
  <c r="J9" i="27"/>
  <c r="AK10" i="19"/>
  <c r="J10" i="27"/>
  <c r="AK18" i="19"/>
  <c r="J18" i="27"/>
  <c r="AK17" i="19"/>
  <c r="J17" i="27"/>
  <c r="AK21" i="19"/>
  <c r="J21" i="27"/>
  <c r="AK16" i="19"/>
  <c r="J16" i="27"/>
  <c r="AK8" i="19"/>
  <c r="J8" i="27"/>
  <c r="AK19" i="19"/>
  <c r="J19" i="27"/>
  <c r="AF66" i="23"/>
  <c r="AG3" i="20"/>
  <c r="AE66" i="16"/>
  <c r="AF3" i="16"/>
  <c r="AH5" i="18"/>
  <c r="AH4" i="18" s="1"/>
  <c r="AE66" i="14"/>
  <c r="AE66" i="15"/>
  <c r="AF42" i="15"/>
  <c r="AF23" i="15" s="1"/>
  <c r="AH62" i="24"/>
  <c r="AH48" i="24"/>
  <c r="AG66" i="19"/>
  <c r="AH43" i="21"/>
  <c r="AH42" i="19"/>
  <c r="AH23" i="19" s="1"/>
  <c r="AF66" i="22"/>
  <c r="AH43" i="24"/>
  <c r="AH36" i="22"/>
  <c r="AF82" i="20"/>
  <c r="AG48" i="14"/>
  <c r="AG48" i="15"/>
  <c r="AH62" i="21"/>
  <c r="AH62" i="23"/>
  <c r="AF42" i="14"/>
  <c r="AF23" i="14" s="1"/>
  <c r="AH59" i="20"/>
  <c r="AH78" i="20"/>
  <c r="AG29" i="16"/>
  <c r="AG36" i="16"/>
  <c r="AG42" i="22"/>
  <c r="AH36" i="23"/>
  <c r="AF66" i="18"/>
  <c r="AH13" i="22"/>
  <c r="AH11" i="22" s="1"/>
  <c r="AF3" i="15"/>
  <c r="AE66" i="13"/>
  <c r="AG3" i="23"/>
  <c r="AH24" i="24"/>
  <c r="AH29" i="23"/>
  <c r="AH43" i="23"/>
  <c r="AH36" i="24"/>
  <c r="AH56" i="24"/>
  <c r="AF66" i="24"/>
  <c r="AG42" i="24"/>
  <c r="AG23" i="24" s="1"/>
  <c r="AH5" i="24"/>
  <c r="AH4" i="24" s="1"/>
  <c r="AG3" i="24"/>
  <c r="AH13" i="24"/>
  <c r="AH11" i="24" s="1"/>
  <c r="AI65" i="24"/>
  <c r="AJ65" i="24" s="1"/>
  <c r="AI64" i="24"/>
  <c r="AJ64" i="24" s="1"/>
  <c r="AI60" i="24"/>
  <c r="AJ60" i="24" s="1"/>
  <c r="AI63" i="24"/>
  <c r="AI59" i="24"/>
  <c r="AJ59" i="24" s="1"/>
  <c r="AI53" i="24"/>
  <c r="AJ53" i="24" s="1"/>
  <c r="AK53" i="24" s="1"/>
  <c r="AI61" i="24"/>
  <c r="AJ61" i="24" s="1"/>
  <c r="AI51" i="24"/>
  <c r="AJ51" i="24" s="1"/>
  <c r="AI57" i="24"/>
  <c r="AI55" i="24"/>
  <c r="AJ55" i="24" s="1"/>
  <c r="AI50" i="24"/>
  <c r="AJ50" i="24" s="1"/>
  <c r="AI45" i="24"/>
  <c r="AJ45" i="24" s="1"/>
  <c r="AI38" i="24"/>
  <c r="AJ38" i="24" s="1"/>
  <c r="AI34" i="24"/>
  <c r="AJ34" i="24" s="1"/>
  <c r="AI49" i="24"/>
  <c r="AI44" i="24"/>
  <c r="AI41" i="24"/>
  <c r="AJ41" i="24" s="1"/>
  <c r="AI37" i="24"/>
  <c r="AI54" i="24"/>
  <c r="AJ54" i="24" s="1"/>
  <c r="AI52" i="24"/>
  <c r="AJ52" i="24" s="1"/>
  <c r="AI46" i="24"/>
  <c r="AJ46" i="24" s="1"/>
  <c r="AI40" i="24"/>
  <c r="AJ40" i="24" s="1"/>
  <c r="AI35" i="24"/>
  <c r="AJ35" i="24" s="1"/>
  <c r="AI31" i="24"/>
  <c r="AJ31" i="24" s="1"/>
  <c r="AI58" i="24"/>
  <c r="AJ58" i="24" s="1"/>
  <c r="AI47" i="24"/>
  <c r="AJ47" i="24" s="1"/>
  <c r="AI39" i="24"/>
  <c r="AJ39" i="24" s="1"/>
  <c r="AI28" i="24"/>
  <c r="AJ28" i="24" s="1"/>
  <c r="AI19" i="24"/>
  <c r="AJ19" i="24" s="1"/>
  <c r="AI15" i="24"/>
  <c r="AJ15" i="24" s="1"/>
  <c r="AI12" i="24"/>
  <c r="AI33" i="24"/>
  <c r="AJ33" i="24" s="1"/>
  <c r="AI30" i="24"/>
  <c r="AI27" i="24"/>
  <c r="AJ27" i="24" s="1"/>
  <c r="AI22" i="24"/>
  <c r="AJ22" i="24" s="1"/>
  <c r="AI18" i="24"/>
  <c r="AJ18" i="24" s="1"/>
  <c r="AI14" i="24"/>
  <c r="AI26" i="24"/>
  <c r="AI21" i="24"/>
  <c r="AJ21" i="24" s="1"/>
  <c r="AI32" i="24"/>
  <c r="AJ32" i="24" s="1"/>
  <c r="AI20" i="24"/>
  <c r="AJ20" i="24" s="1"/>
  <c r="AI9" i="24"/>
  <c r="AJ9" i="24" s="1"/>
  <c r="AI16" i="24"/>
  <c r="AJ16" i="24" s="1"/>
  <c r="AI8" i="24"/>
  <c r="AJ8" i="24" s="1"/>
  <c r="AI7" i="24"/>
  <c r="AI17" i="24"/>
  <c r="AJ17" i="24" s="1"/>
  <c r="AI10" i="24"/>
  <c r="AJ10" i="24" s="1"/>
  <c r="AH29" i="24"/>
  <c r="AH5" i="23"/>
  <c r="AH4" i="23" s="1"/>
  <c r="AI65" i="23"/>
  <c r="AI61" i="23"/>
  <c r="AI64" i="23"/>
  <c r="AI60" i="23"/>
  <c r="AI55" i="23"/>
  <c r="AI52" i="23"/>
  <c r="AI54" i="23"/>
  <c r="AI51" i="23"/>
  <c r="AI59" i="23"/>
  <c r="AI53" i="23"/>
  <c r="AJ53" i="23" s="1"/>
  <c r="AI47" i="23"/>
  <c r="AI46" i="23"/>
  <c r="AI45" i="23"/>
  <c r="AI58" i="23"/>
  <c r="AI38" i="23"/>
  <c r="AI34" i="23"/>
  <c r="AI27" i="23"/>
  <c r="AI41" i="23"/>
  <c r="AI40" i="23"/>
  <c r="AI32" i="23"/>
  <c r="AI50" i="23"/>
  <c r="AI35" i="23"/>
  <c r="AI19" i="23"/>
  <c r="AI39" i="23"/>
  <c r="AI31" i="23"/>
  <c r="AI22" i="23"/>
  <c r="AI18" i="23"/>
  <c r="AI28" i="23"/>
  <c r="AI21" i="23"/>
  <c r="AI17" i="23"/>
  <c r="AI9" i="23"/>
  <c r="AI33" i="23"/>
  <c r="AI16" i="23"/>
  <c r="AI8" i="23"/>
  <c r="AI20" i="23"/>
  <c r="AI15" i="23"/>
  <c r="AI10" i="23"/>
  <c r="AH48" i="23"/>
  <c r="AG42" i="23"/>
  <c r="AG23" i="23" s="1"/>
  <c r="AH13" i="23"/>
  <c r="AH11" i="23" s="1"/>
  <c r="AH56" i="23"/>
  <c r="AH24" i="23"/>
  <c r="AH24" i="22"/>
  <c r="AH62" i="22"/>
  <c r="AG3" i="22"/>
  <c r="AH56" i="22"/>
  <c r="AG23" i="22"/>
  <c r="AH29" i="22"/>
  <c r="AH43" i="22"/>
  <c r="AH5" i="22"/>
  <c r="AH4" i="22" s="1"/>
  <c r="AH48" i="22"/>
  <c r="AI65" i="22"/>
  <c r="AJ65" i="22" s="1"/>
  <c r="AI63" i="22"/>
  <c r="AI61" i="22"/>
  <c r="AJ61" i="22" s="1"/>
  <c r="AI44" i="22"/>
  <c r="AI47" i="22"/>
  <c r="AJ47" i="22" s="1"/>
  <c r="AI30" i="22"/>
  <c r="AI39" i="22"/>
  <c r="AJ39" i="22" s="1"/>
  <c r="AI38" i="22"/>
  <c r="AJ38" i="22" s="1"/>
  <c r="AI21" i="22"/>
  <c r="AJ21" i="22" s="1"/>
  <c r="AI19" i="22"/>
  <c r="AJ19" i="22" s="1"/>
  <c r="AI18" i="22"/>
  <c r="AJ18" i="22" s="1"/>
  <c r="AI10" i="22"/>
  <c r="AJ10" i="22" s="1"/>
  <c r="AI64" i="22"/>
  <c r="AJ64" i="22" s="1"/>
  <c r="AI58" i="22"/>
  <c r="AJ58" i="22" s="1"/>
  <c r="AI57" i="22"/>
  <c r="AI41" i="22"/>
  <c r="AJ41" i="22" s="1"/>
  <c r="AI40" i="22"/>
  <c r="AJ40" i="22" s="1"/>
  <c r="AI27" i="22"/>
  <c r="AJ27" i="22" s="1"/>
  <c r="AI37" i="22"/>
  <c r="AI35" i="22"/>
  <c r="AJ35" i="22" s="1"/>
  <c r="AI17" i="22"/>
  <c r="AJ17" i="22" s="1"/>
  <c r="AI15" i="22"/>
  <c r="AJ15" i="22" s="1"/>
  <c r="AI8" i="22"/>
  <c r="AJ8" i="22" s="1"/>
  <c r="AI7" i="22"/>
  <c r="AI60" i="22"/>
  <c r="AJ60" i="22" s="1"/>
  <c r="AI55" i="22"/>
  <c r="AJ55" i="22" s="1"/>
  <c r="AI54" i="22"/>
  <c r="AJ54" i="22" s="1"/>
  <c r="AI53" i="22"/>
  <c r="AJ53" i="22" s="1"/>
  <c r="AK53" i="22" s="1"/>
  <c r="AI46" i="22"/>
  <c r="AJ46" i="22" s="1"/>
  <c r="AI49" i="22"/>
  <c r="AI33" i="22"/>
  <c r="AJ33" i="22" s="1"/>
  <c r="AI31" i="22"/>
  <c r="AJ31" i="22" s="1"/>
  <c r="AI20" i="22"/>
  <c r="AJ20" i="22" s="1"/>
  <c r="AI12" i="22"/>
  <c r="AJ12" i="22" s="1"/>
  <c r="AI16" i="22"/>
  <c r="AJ16" i="22" s="1"/>
  <c r="AI9" i="22"/>
  <c r="AJ9" i="22" s="1"/>
  <c r="AI59" i="22"/>
  <c r="AJ59" i="22" s="1"/>
  <c r="AI52" i="22"/>
  <c r="AJ52" i="22" s="1"/>
  <c r="AI51" i="22"/>
  <c r="AJ51" i="22" s="1"/>
  <c r="AI50" i="22"/>
  <c r="AJ50" i="22" s="1"/>
  <c r="AI34" i="22"/>
  <c r="AJ34" i="22" s="1"/>
  <c r="AI45" i="22"/>
  <c r="AJ45" i="22" s="1"/>
  <c r="AI32" i="22"/>
  <c r="AJ32" i="22" s="1"/>
  <c r="AI28" i="22"/>
  <c r="AJ28" i="22" s="1"/>
  <c r="AI26" i="22"/>
  <c r="AI22" i="22"/>
  <c r="AJ22" i="22" s="1"/>
  <c r="AI14" i="22"/>
  <c r="AG42" i="21"/>
  <c r="AG23" i="21" s="1"/>
  <c r="AF66" i="21"/>
  <c r="AG3" i="21"/>
  <c r="AH5" i="21"/>
  <c r="AH4" i="21" s="1"/>
  <c r="AH36" i="21"/>
  <c r="AH29" i="21"/>
  <c r="AH56" i="21"/>
  <c r="AI65" i="21"/>
  <c r="AI61" i="21"/>
  <c r="AI64" i="21"/>
  <c r="AI60" i="21"/>
  <c r="AI59" i="21"/>
  <c r="AI54" i="21"/>
  <c r="AI51" i="21"/>
  <c r="AI53" i="21"/>
  <c r="AJ53" i="21" s="1"/>
  <c r="AI50" i="21"/>
  <c r="AI47" i="21"/>
  <c r="AI58" i="21"/>
  <c r="AI52" i="21"/>
  <c r="AI46" i="21"/>
  <c r="AI45" i="21"/>
  <c r="AI38" i="21"/>
  <c r="AI34" i="21"/>
  <c r="AI55" i="21"/>
  <c r="AI40" i="21"/>
  <c r="AI32" i="21"/>
  <c r="AI35" i="21"/>
  <c r="AI31" i="21"/>
  <c r="AI28" i="21"/>
  <c r="AI19" i="21"/>
  <c r="AI33" i="21"/>
  <c r="AI27" i="21"/>
  <c r="AI22" i="21"/>
  <c r="AI21" i="21"/>
  <c r="AI17" i="21"/>
  <c r="AI20" i="21"/>
  <c r="AI41" i="21"/>
  <c r="AI39" i="21"/>
  <c r="AI18" i="21"/>
  <c r="AI15" i="21"/>
  <c r="AI10" i="21"/>
  <c r="AI9" i="21"/>
  <c r="AI16" i="21"/>
  <c r="AI8" i="21"/>
  <c r="AH48" i="21"/>
  <c r="AH13" i="21"/>
  <c r="AH11" i="21" s="1"/>
  <c r="AH24" i="21"/>
  <c r="AH5" i="20"/>
  <c r="AH4" i="20" s="1"/>
  <c r="AH52" i="20"/>
  <c r="AH72" i="20"/>
  <c r="AI81" i="20"/>
  <c r="AJ81" i="20" s="1"/>
  <c r="AI77" i="20"/>
  <c r="AJ77" i="20" s="1"/>
  <c r="AI80" i="20"/>
  <c r="AJ80" i="20" s="1"/>
  <c r="AI76" i="20"/>
  <c r="AJ76" i="20" s="1"/>
  <c r="AI79" i="20"/>
  <c r="AI75" i="20"/>
  <c r="AJ75" i="20" s="1"/>
  <c r="AI73" i="20"/>
  <c r="AI70" i="20"/>
  <c r="AJ70" i="20" s="1"/>
  <c r="AI67" i="20"/>
  <c r="AJ67" i="20" s="1"/>
  <c r="AI74" i="20"/>
  <c r="AJ74" i="20" s="1"/>
  <c r="AI65" i="20"/>
  <c r="AI71" i="20"/>
  <c r="AJ71" i="20" s="1"/>
  <c r="AI68" i="20"/>
  <c r="AJ68" i="20" s="1"/>
  <c r="AI69" i="20"/>
  <c r="AJ69" i="20" s="1"/>
  <c r="AK69" i="20" s="1"/>
  <c r="AI60" i="20"/>
  <c r="AI57" i="20"/>
  <c r="AJ57" i="20" s="1"/>
  <c r="AI62" i="20"/>
  <c r="AJ62" i="20" s="1"/>
  <c r="AI51" i="20"/>
  <c r="AJ51" i="20" s="1"/>
  <c r="AI47" i="20"/>
  <c r="AJ47" i="20" s="1"/>
  <c r="AI44" i="20"/>
  <c r="AJ44" i="20" s="1"/>
  <c r="AI54" i="20"/>
  <c r="AJ54" i="20" s="1"/>
  <c r="AI50" i="20"/>
  <c r="AJ50" i="20" s="1"/>
  <c r="AI61" i="20"/>
  <c r="AJ61" i="20" s="1"/>
  <c r="AI56" i="20"/>
  <c r="AJ56" i="20" s="1"/>
  <c r="AI53" i="20"/>
  <c r="AI49" i="20"/>
  <c r="AJ49" i="20" s="1"/>
  <c r="AI66" i="20"/>
  <c r="AJ66" i="20" s="1"/>
  <c r="AI46" i="20"/>
  <c r="AI38" i="20"/>
  <c r="AJ38" i="20" s="1"/>
  <c r="AI34" i="20"/>
  <c r="AJ34" i="20" s="1"/>
  <c r="AI30" i="20"/>
  <c r="AI63" i="20"/>
  <c r="AJ63" i="20" s="1"/>
  <c r="AI55" i="20"/>
  <c r="AJ55" i="20" s="1"/>
  <c r="AI48" i="20"/>
  <c r="AJ48" i="20" s="1"/>
  <c r="AI42" i="20"/>
  <c r="AI37" i="20"/>
  <c r="AJ37" i="20" s="1"/>
  <c r="AI33" i="20"/>
  <c r="AJ33" i="20" s="1"/>
  <c r="AI36" i="20"/>
  <c r="AJ36" i="20" s="1"/>
  <c r="AI31" i="20"/>
  <c r="AJ31" i="20" s="1"/>
  <c r="AI28" i="20"/>
  <c r="AI43" i="20"/>
  <c r="AJ43" i="20" s="1"/>
  <c r="AI32" i="20"/>
  <c r="AJ32" i="20" s="1"/>
  <c r="AI8" i="20"/>
  <c r="AJ8" i="20" s="1"/>
  <c r="AI26" i="20"/>
  <c r="AJ26" i="20" s="1"/>
  <c r="AI35" i="20"/>
  <c r="AJ35" i="20" s="1"/>
  <c r="AI9" i="20"/>
  <c r="AJ9" i="20" s="1"/>
  <c r="AI7" i="20"/>
  <c r="AH29" i="20"/>
  <c r="AH27" i="20" s="1"/>
  <c r="AG58" i="20"/>
  <c r="AG39" i="20" s="1"/>
  <c r="AH40" i="20"/>
  <c r="AH45" i="20"/>
  <c r="AH64" i="20"/>
  <c r="AI24" i="19"/>
  <c r="AJ26" i="19"/>
  <c r="AI48" i="19"/>
  <c r="AJ48" i="19" s="1"/>
  <c r="AK48" i="19" s="1"/>
  <c r="AJ49" i="19"/>
  <c r="AI62" i="19"/>
  <c r="AJ62" i="19" s="1"/>
  <c r="AK62" i="19" s="1"/>
  <c r="AJ63" i="19"/>
  <c r="AH3" i="19"/>
  <c r="AI36" i="19"/>
  <c r="AJ36" i="19" s="1"/>
  <c r="AK36" i="19" s="1"/>
  <c r="AJ37" i="19"/>
  <c r="AI29" i="19"/>
  <c r="AJ29" i="19" s="1"/>
  <c r="AK29" i="19" s="1"/>
  <c r="AJ30" i="19"/>
  <c r="AI56" i="19"/>
  <c r="AJ56" i="19" s="1"/>
  <c r="AK56" i="19" s="1"/>
  <c r="AJ57" i="19"/>
  <c r="AI13" i="19"/>
  <c r="AJ13" i="19" s="1"/>
  <c r="AK13" i="19" s="1"/>
  <c r="AJ14" i="19"/>
  <c r="AI43" i="19"/>
  <c r="AJ44" i="19"/>
  <c r="AI5" i="19"/>
  <c r="AJ7" i="19"/>
  <c r="AJ12" i="19"/>
  <c r="AG3" i="18"/>
  <c r="AI65" i="18"/>
  <c r="AI61" i="18"/>
  <c r="AI59" i="18"/>
  <c r="AI58" i="18"/>
  <c r="AI54" i="18"/>
  <c r="AI60" i="18"/>
  <c r="AI55" i="18"/>
  <c r="AI53" i="18"/>
  <c r="AJ53" i="18" s="1"/>
  <c r="AI64" i="18"/>
  <c r="AI52" i="18"/>
  <c r="AI50" i="18"/>
  <c r="AI41" i="18"/>
  <c r="AI47" i="18"/>
  <c r="AI40" i="18"/>
  <c r="AI51" i="18"/>
  <c r="AI46" i="18"/>
  <c r="AI39" i="18"/>
  <c r="AI45" i="18"/>
  <c r="AI35" i="18"/>
  <c r="AI31" i="18"/>
  <c r="AJ31" i="18" s="1"/>
  <c r="AI28" i="18"/>
  <c r="AI19" i="18"/>
  <c r="AI34" i="18"/>
  <c r="AI27" i="18"/>
  <c r="AI22" i="18"/>
  <c r="AI18" i="18"/>
  <c r="AI33" i="18"/>
  <c r="AI38" i="18"/>
  <c r="AI32" i="18"/>
  <c r="AI21" i="18"/>
  <c r="AI17" i="18"/>
  <c r="AI16" i="18"/>
  <c r="AI10" i="18"/>
  <c r="AJ10" i="18" s="1"/>
  <c r="AI8" i="18"/>
  <c r="AJ8" i="18" s="1"/>
  <c r="AI20" i="18"/>
  <c r="AI15" i="18"/>
  <c r="AI9" i="18"/>
  <c r="AJ9" i="18" s="1"/>
  <c r="AH36" i="18"/>
  <c r="AH48" i="18"/>
  <c r="AG42" i="18"/>
  <c r="AG23" i="18" s="1"/>
  <c r="AH24" i="18"/>
  <c r="AH13" i="18"/>
  <c r="AH11" i="18" s="1"/>
  <c r="AH29" i="18"/>
  <c r="AH43" i="18"/>
  <c r="AH56" i="18"/>
  <c r="AH62" i="18"/>
  <c r="AG5" i="16"/>
  <c r="AG4" i="16" s="1"/>
  <c r="AG24" i="16"/>
  <c r="AG56" i="16"/>
  <c r="AG62" i="16"/>
  <c r="AG13" i="16"/>
  <c r="AG11" i="16" s="1"/>
  <c r="AG43" i="16"/>
  <c r="AF42" i="16"/>
  <c r="AF23" i="16" s="1"/>
  <c r="AH65" i="16"/>
  <c r="AH61" i="16"/>
  <c r="AH57" i="16"/>
  <c r="AH64" i="16"/>
  <c r="AH54" i="16"/>
  <c r="AH60" i="16"/>
  <c r="AH59" i="16"/>
  <c r="AH63" i="16"/>
  <c r="AH58" i="16"/>
  <c r="AH49" i="16"/>
  <c r="AH53" i="16"/>
  <c r="AH51" i="16"/>
  <c r="AH45" i="16"/>
  <c r="AH44" i="16"/>
  <c r="AH41" i="16"/>
  <c r="AH55" i="16"/>
  <c r="AH52" i="16"/>
  <c r="AH50" i="16"/>
  <c r="AH47" i="16"/>
  <c r="AH39" i="16"/>
  <c r="AH38" i="16"/>
  <c r="AH35" i="16"/>
  <c r="AH46" i="16"/>
  <c r="AH34" i="16"/>
  <c r="AH40" i="16"/>
  <c r="AH37" i="16"/>
  <c r="AH33" i="16"/>
  <c r="AH32" i="16"/>
  <c r="AH30" i="16"/>
  <c r="AH27" i="16"/>
  <c r="AH19" i="16"/>
  <c r="AH15" i="16"/>
  <c r="AH12" i="16"/>
  <c r="AH22" i="16"/>
  <c r="AH18" i="16"/>
  <c r="AH31" i="16"/>
  <c r="AH26" i="16"/>
  <c r="AH21" i="16"/>
  <c r="AH17" i="16"/>
  <c r="AH28" i="16"/>
  <c r="AH20" i="16"/>
  <c r="AH14" i="16"/>
  <c r="AH7" i="16"/>
  <c r="AH16" i="16"/>
  <c r="AH10" i="16"/>
  <c r="AI2" i="16"/>
  <c r="AH8" i="16"/>
  <c r="AH9" i="16"/>
  <c r="AG48" i="16"/>
  <c r="AG5" i="15"/>
  <c r="AG4" i="15" s="1"/>
  <c r="AG36" i="15"/>
  <c r="AG56" i="15"/>
  <c r="AG24" i="15"/>
  <c r="AG29" i="15"/>
  <c r="AH65" i="15"/>
  <c r="AH61" i="15"/>
  <c r="AH57" i="15"/>
  <c r="AH54" i="15"/>
  <c r="AH60" i="15"/>
  <c r="AH55" i="15"/>
  <c r="AH52" i="15"/>
  <c r="AH64" i="15"/>
  <c r="AH58" i="15"/>
  <c r="AH53" i="15"/>
  <c r="AH45" i="15"/>
  <c r="AH38" i="15"/>
  <c r="AH51" i="15"/>
  <c r="AH49" i="15"/>
  <c r="AH44" i="15"/>
  <c r="AH41" i="15"/>
  <c r="AH37" i="15"/>
  <c r="AH59" i="15"/>
  <c r="AH47" i="15"/>
  <c r="AH40" i="15"/>
  <c r="AH32" i="15"/>
  <c r="AH63" i="15"/>
  <c r="AH46" i="15"/>
  <c r="AH26" i="15"/>
  <c r="AH34" i="15"/>
  <c r="AH31" i="15"/>
  <c r="AH20" i="15"/>
  <c r="AH16" i="15"/>
  <c r="AH50" i="15"/>
  <c r="AH28" i="15"/>
  <c r="AH19" i="15"/>
  <c r="AH15" i="15"/>
  <c r="AH12" i="15"/>
  <c r="AH39" i="15"/>
  <c r="AH35" i="15"/>
  <c r="AH33" i="15"/>
  <c r="AH27" i="15"/>
  <c r="AH30" i="15"/>
  <c r="AH22" i="15"/>
  <c r="AH18" i="15"/>
  <c r="AH14" i="15"/>
  <c r="AH21" i="15"/>
  <c r="AH17" i="15"/>
  <c r="AH9" i="15"/>
  <c r="AI2" i="15"/>
  <c r="AH8" i="15"/>
  <c r="AH10" i="15"/>
  <c r="AH7" i="15"/>
  <c r="AG13" i="15"/>
  <c r="AG11" i="15" s="1"/>
  <c r="AG43" i="15"/>
  <c r="AG62" i="15"/>
  <c r="AG24" i="14"/>
  <c r="AG36" i="14"/>
  <c r="AG29" i="14"/>
  <c r="AF3" i="14"/>
  <c r="AG13" i="14"/>
  <c r="AG11" i="14" s="1"/>
  <c r="AG43" i="14"/>
  <c r="AG5" i="14"/>
  <c r="AG4" i="14" s="1"/>
  <c r="AG56" i="14"/>
  <c r="AG62" i="14"/>
  <c r="AG5" i="13"/>
  <c r="AG4" i="13" s="1"/>
  <c r="AG62" i="13"/>
  <c r="AG43" i="13"/>
  <c r="AG24" i="13"/>
  <c r="AG48" i="13"/>
  <c r="AF3" i="13"/>
  <c r="AG56" i="13"/>
  <c r="AH65" i="13"/>
  <c r="AH61" i="13"/>
  <c r="AH57" i="13"/>
  <c r="AH64" i="13"/>
  <c r="AH59" i="13"/>
  <c r="AH54" i="13"/>
  <c r="AH50" i="13"/>
  <c r="AH63" i="13"/>
  <c r="AH58" i="13"/>
  <c r="AH53" i="13"/>
  <c r="AH47" i="13"/>
  <c r="AH46" i="13"/>
  <c r="AH39" i="13"/>
  <c r="AH35" i="13"/>
  <c r="AH60" i="13"/>
  <c r="AH55" i="13"/>
  <c r="AH52" i="13"/>
  <c r="AH49" i="13"/>
  <c r="AH51" i="13"/>
  <c r="AH40" i="13"/>
  <c r="AH45" i="13"/>
  <c r="AH41" i="13"/>
  <c r="AH38" i="13"/>
  <c r="AH34" i="13"/>
  <c r="AH32" i="13"/>
  <c r="AH30" i="13"/>
  <c r="AH27" i="13"/>
  <c r="AH22" i="13"/>
  <c r="AH18" i="13"/>
  <c r="AH44" i="13"/>
  <c r="AH31" i="13"/>
  <c r="AH26" i="13"/>
  <c r="AH21" i="13"/>
  <c r="AH37" i="13"/>
  <c r="AH33" i="13"/>
  <c r="AH20" i="13"/>
  <c r="AH16" i="13"/>
  <c r="AH28" i="13"/>
  <c r="AH19" i="13"/>
  <c r="AH15" i="13"/>
  <c r="AH17" i="13"/>
  <c r="AH10" i="13"/>
  <c r="AH14" i="13"/>
  <c r="AH12" i="13"/>
  <c r="AH9" i="13"/>
  <c r="AH8" i="13"/>
  <c r="AH7" i="13"/>
  <c r="AF42" i="13"/>
  <c r="AF23" i="13" s="1"/>
  <c r="AG13" i="13"/>
  <c r="AG11" i="13" s="1"/>
  <c r="AG29" i="13"/>
  <c r="AG36" i="13"/>
  <c r="F42" i="1"/>
  <c r="F23" i="1" s="1"/>
  <c r="F4" i="1"/>
  <c r="G48" i="1"/>
  <c r="G29" i="1"/>
  <c r="H8" i="1"/>
  <c r="H12" i="1"/>
  <c r="H16" i="1"/>
  <c r="H20" i="1"/>
  <c r="H33" i="1"/>
  <c r="H37" i="1"/>
  <c r="H41" i="1"/>
  <c r="H14" i="1"/>
  <c r="H19" i="1"/>
  <c r="H26" i="1"/>
  <c r="H31" i="1"/>
  <c r="H49" i="1"/>
  <c r="H53" i="1"/>
  <c r="H57" i="1"/>
  <c r="H44" i="1"/>
  <c r="H21" i="1"/>
  <c r="H22" i="1"/>
  <c r="H32" i="1"/>
  <c r="H50" i="1"/>
  <c r="H55" i="1"/>
  <c r="H59" i="1"/>
  <c r="H63" i="1"/>
  <c r="H7" i="1"/>
  <c r="H15" i="1"/>
  <c r="H34" i="1"/>
  <c r="H35" i="1"/>
  <c r="H45" i="1"/>
  <c r="H58" i="1"/>
  <c r="H28" i="1"/>
  <c r="H52" i="1"/>
  <c r="H54" i="1"/>
  <c r="H64" i="1"/>
  <c r="H10" i="1"/>
  <c r="H17" i="1"/>
  <c r="H40" i="1"/>
  <c r="H18" i="1"/>
  <c r="H60" i="1"/>
  <c r="H61" i="1"/>
  <c r="H39" i="1"/>
  <c r="H46" i="1"/>
  <c r="H65" i="1"/>
  <c r="H47" i="1"/>
  <c r="H38" i="1"/>
  <c r="H51" i="1"/>
  <c r="H27" i="1"/>
  <c r="H30" i="1"/>
  <c r="G5" i="1"/>
  <c r="G4" i="1" s="1"/>
  <c r="G56" i="1"/>
  <c r="G43" i="1"/>
  <c r="G62" i="1"/>
  <c r="G13" i="1"/>
  <c r="G11" i="1" s="1"/>
  <c r="G24" i="1"/>
  <c r="G36" i="1"/>
  <c r="E11" i="1"/>
  <c r="I2" i="1"/>
  <c r="AJ34" i="18" l="1"/>
  <c r="I34" i="27"/>
  <c r="AJ51" i="18"/>
  <c r="I51" i="27"/>
  <c r="AJ55" i="18"/>
  <c r="I55" i="27"/>
  <c r="AK49" i="19"/>
  <c r="J49" i="27"/>
  <c r="J48" i="27" s="1"/>
  <c r="AK63" i="20"/>
  <c r="K47" i="27"/>
  <c r="AK56" i="20"/>
  <c r="K40" i="27"/>
  <c r="AK57" i="20"/>
  <c r="K41" i="27"/>
  <c r="AK70" i="20"/>
  <c r="K54" i="27"/>
  <c r="AJ32" i="21"/>
  <c r="L32" i="27"/>
  <c r="AJ58" i="21"/>
  <c r="L58" i="27"/>
  <c r="AJ64" i="21"/>
  <c r="L64" i="27"/>
  <c r="AK34" i="22"/>
  <c r="M34" i="27"/>
  <c r="AK60" i="22"/>
  <c r="M60" i="27"/>
  <c r="AK40" i="22"/>
  <c r="M40" i="27"/>
  <c r="AK65" i="22"/>
  <c r="M65" i="27"/>
  <c r="AJ28" i="23"/>
  <c r="N28" i="27"/>
  <c r="AJ32" i="23"/>
  <c r="N32" i="27"/>
  <c r="AJ46" i="23"/>
  <c r="N46" i="27"/>
  <c r="AJ60" i="23"/>
  <c r="N60" i="27"/>
  <c r="AK46" i="24"/>
  <c r="O46" i="27"/>
  <c r="AK38" i="24"/>
  <c r="O38" i="27"/>
  <c r="AK59" i="24"/>
  <c r="O59" i="27"/>
  <c r="AJ40" i="18"/>
  <c r="I40" i="27"/>
  <c r="AJ60" i="18"/>
  <c r="I60" i="27"/>
  <c r="AK30" i="19"/>
  <c r="J30" i="27"/>
  <c r="J29" i="27" s="1"/>
  <c r="AK61" i="20"/>
  <c r="K45" i="27"/>
  <c r="AJ40" i="21"/>
  <c r="L40" i="27"/>
  <c r="AJ47" i="21"/>
  <c r="L47" i="27"/>
  <c r="AJ61" i="21"/>
  <c r="L61" i="27"/>
  <c r="AK50" i="22"/>
  <c r="M50" i="27"/>
  <c r="AK31" i="22"/>
  <c r="M31" i="27"/>
  <c r="AK41" i="22"/>
  <c r="M41" i="27"/>
  <c r="AK38" i="22"/>
  <c r="M38" i="27"/>
  <c r="AJ40" i="23"/>
  <c r="N40" i="27"/>
  <c r="AJ47" i="23"/>
  <c r="N47" i="27"/>
  <c r="AJ64" i="23"/>
  <c r="N64" i="27"/>
  <c r="AK28" i="24"/>
  <c r="O28" i="27"/>
  <c r="AK52" i="24"/>
  <c r="O52" i="27"/>
  <c r="AK45" i="24"/>
  <c r="O45" i="27"/>
  <c r="AJ32" i="18"/>
  <c r="I32" i="27"/>
  <c r="AJ28" i="18"/>
  <c r="I9" i="27"/>
  <c r="I28" i="27"/>
  <c r="AJ47" i="18"/>
  <c r="I47" i="27"/>
  <c r="AJ54" i="18"/>
  <c r="I54" i="27"/>
  <c r="AK26" i="19"/>
  <c r="J26" i="27"/>
  <c r="J24" i="27" s="1"/>
  <c r="AK50" i="20"/>
  <c r="K34" i="27"/>
  <c r="AK75" i="20"/>
  <c r="K59" i="27"/>
  <c r="AJ27" i="21"/>
  <c r="L27" i="27"/>
  <c r="AJ55" i="21"/>
  <c r="L55" i="27"/>
  <c r="AJ50" i="21"/>
  <c r="L50" i="27"/>
  <c r="AJ65" i="21"/>
  <c r="L65" i="27"/>
  <c r="AK51" i="22"/>
  <c r="M51" i="27"/>
  <c r="AK33" i="22"/>
  <c r="M33" i="27"/>
  <c r="AK39" i="22"/>
  <c r="M39" i="27"/>
  <c r="AJ41" i="23"/>
  <c r="N41" i="27"/>
  <c r="AJ61" i="23"/>
  <c r="N61" i="27"/>
  <c r="AK39" i="24"/>
  <c r="O39" i="27"/>
  <c r="AK54" i="24"/>
  <c r="O54" i="27"/>
  <c r="AK50" i="24"/>
  <c r="O50" i="27"/>
  <c r="AK60" i="24"/>
  <c r="O60" i="27"/>
  <c r="AJ38" i="18"/>
  <c r="I38" i="27"/>
  <c r="AJ41" i="18"/>
  <c r="I41" i="27"/>
  <c r="AJ58" i="18"/>
  <c r="I58" i="27"/>
  <c r="AK44" i="19"/>
  <c r="J44" i="27"/>
  <c r="J43" i="27" s="1"/>
  <c r="AK37" i="19"/>
  <c r="J37" i="27"/>
  <c r="J36" i="27" s="1"/>
  <c r="AK54" i="20"/>
  <c r="K38" i="27"/>
  <c r="AK68" i="20"/>
  <c r="K52" i="27"/>
  <c r="AJ33" i="21"/>
  <c r="L33" i="27"/>
  <c r="AJ34" i="21"/>
  <c r="L34" i="27"/>
  <c r="AK52" i="22"/>
  <c r="M52" i="27"/>
  <c r="AK58" i="22"/>
  <c r="M58" i="27"/>
  <c r="AJ31" i="23"/>
  <c r="N31" i="27"/>
  <c r="AJ27" i="23"/>
  <c r="N27" i="27"/>
  <c r="AJ59" i="23"/>
  <c r="N59" i="27"/>
  <c r="AJ65" i="23"/>
  <c r="N65" i="27"/>
  <c r="AK27" i="24"/>
  <c r="O27" i="27"/>
  <c r="AK47" i="24"/>
  <c r="O47" i="27"/>
  <c r="AK55" i="24"/>
  <c r="O55" i="27"/>
  <c r="AK64" i="24"/>
  <c r="O64" i="27"/>
  <c r="AJ33" i="18"/>
  <c r="I33" i="27"/>
  <c r="AJ35" i="18"/>
  <c r="I35" i="27"/>
  <c r="AJ50" i="18"/>
  <c r="I50" i="27"/>
  <c r="I31" i="27"/>
  <c r="AJ59" i="18"/>
  <c r="I59" i="27"/>
  <c r="AK44" i="20"/>
  <c r="K28" i="27"/>
  <c r="AK71" i="20"/>
  <c r="K55" i="27"/>
  <c r="AK76" i="20"/>
  <c r="K60" i="27"/>
  <c r="AJ39" i="21"/>
  <c r="L39" i="27"/>
  <c r="AJ38" i="21"/>
  <c r="L38" i="27"/>
  <c r="AJ51" i="21"/>
  <c r="L51" i="27"/>
  <c r="AK59" i="22"/>
  <c r="M59" i="27"/>
  <c r="AK46" i="22"/>
  <c r="M46" i="27"/>
  <c r="AK64" i="22"/>
  <c r="M64" i="27"/>
  <c r="AK47" i="22"/>
  <c r="M47" i="27"/>
  <c r="AJ33" i="23"/>
  <c r="N33" i="27"/>
  <c r="AJ39" i="23"/>
  <c r="N39" i="27"/>
  <c r="AJ34" i="23"/>
  <c r="N34" i="27"/>
  <c r="AJ51" i="23"/>
  <c r="N51" i="27"/>
  <c r="AK58" i="24"/>
  <c r="O58" i="27"/>
  <c r="AK41" i="24"/>
  <c r="O41" i="27"/>
  <c r="AK65" i="24"/>
  <c r="O65" i="27"/>
  <c r="AJ45" i="18"/>
  <c r="I45" i="27"/>
  <c r="AJ52" i="18"/>
  <c r="I52" i="27"/>
  <c r="AJ61" i="18"/>
  <c r="I61" i="27"/>
  <c r="AK66" i="20"/>
  <c r="K50" i="27"/>
  <c r="AK47" i="20"/>
  <c r="K31" i="27"/>
  <c r="AK80" i="20"/>
  <c r="K64" i="27"/>
  <c r="AJ41" i="21"/>
  <c r="L41" i="27"/>
  <c r="AJ28" i="21"/>
  <c r="L28" i="27"/>
  <c r="AJ45" i="21"/>
  <c r="L45" i="27"/>
  <c r="AJ54" i="21"/>
  <c r="L54" i="27"/>
  <c r="AK28" i="22"/>
  <c r="M28" i="27"/>
  <c r="AK35" i="22"/>
  <c r="M35" i="27"/>
  <c r="AJ38" i="23"/>
  <c r="N38" i="27"/>
  <c r="AJ54" i="23"/>
  <c r="N54" i="27"/>
  <c r="AK32" i="24"/>
  <c r="O32" i="27"/>
  <c r="AK33" i="24"/>
  <c r="O33" i="27"/>
  <c r="AK31" i="24"/>
  <c r="O31" i="27"/>
  <c r="AK51" i="24"/>
  <c r="O51" i="27"/>
  <c r="AJ39" i="18"/>
  <c r="I39" i="27"/>
  <c r="AJ64" i="18"/>
  <c r="I64" i="27"/>
  <c r="AJ65" i="18"/>
  <c r="I65" i="27"/>
  <c r="AK63" i="19"/>
  <c r="J63" i="27"/>
  <c r="J62" i="27" s="1"/>
  <c r="AK48" i="20"/>
  <c r="K32" i="27"/>
  <c r="AK49" i="20"/>
  <c r="K33" i="27"/>
  <c r="AK51" i="20"/>
  <c r="K35" i="27"/>
  <c r="AK74" i="20"/>
  <c r="K58" i="27"/>
  <c r="AK77" i="20"/>
  <c r="K61" i="27"/>
  <c r="AJ31" i="21"/>
  <c r="L31" i="27"/>
  <c r="AJ46" i="21"/>
  <c r="L46" i="27"/>
  <c r="AJ59" i="21"/>
  <c r="L59" i="27"/>
  <c r="AK32" i="22"/>
  <c r="M32" i="27"/>
  <c r="AK54" i="22"/>
  <c r="M54" i="27"/>
  <c r="AK61" i="22"/>
  <c r="M61" i="27"/>
  <c r="AJ35" i="23"/>
  <c r="N35" i="27"/>
  <c r="AJ58" i="23"/>
  <c r="N58" i="27"/>
  <c r="AJ52" i="23"/>
  <c r="N52" i="27"/>
  <c r="AK35" i="24"/>
  <c r="O35" i="27"/>
  <c r="AK61" i="24"/>
  <c r="O61" i="27"/>
  <c r="AJ27" i="18"/>
  <c r="I27" i="27"/>
  <c r="I8" i="27"/>
  <c r="AJ46" i="18"/>
  <c r="I46" i="27"/>
  <c r="AK57" i="19"/>
  <c r="J57" i="27"/>
  <c r="J56" i="27" s="1"/>
  <c r="AK43" i="20"/>
  <c r="K27" i="27"/>
  <c r="AK55" i="20"/>
  <c r="K39" i="27"/>
  <c r="AK62" i="20"/>
  <c r="K46" i="27"/>
  <c r="AK67" i="20"/>
  <c r="K51" i="27"/>
  <c r="AK81" i="20"/>
  <c r="K65" i="27"/>
  <c r="AJ35" i="21"/>
  <c r="L35" i="27"/>
  <c r="AJ52" i="21"/>
  <c r="L52" i="27"/>
  <c r="AJ60" i="21"/>
  <c r="L60" i="27"/>
  <c r="AK45" i="22"/>
  <c r="M45" i="27"/>
  <c r="AK55" i="22"/>
  <c r="M55" i="27"/>
  <c r="AK27" i="22"/>
  <c r="M27" i="27"/>
  <c r="AJ50" i="23"/>
  <c r="N50" i="27"/>
  <c r="AJ45" i="23"/>
  <c r="N45" i="27"/>
  <c r="AJ55" i="23"/>
  <c r="N55" i="27"/>
  <c r="AK40" i="24"/>
  <c r="O40" i="27"/>
  <c r="AK34" i="24"/>
  <c r="O34" i="27"/>
  <c r="AG66" i="18"/>
  <c r="AK18" i="22"/>
  <c r="M18" i="27"/>
  <c r="AK12" i="22"/>
  <c r="M12" i="27"/>
  <c r="AK17" i="24"/>
  <c r="O17" i="27"/>
  <c r="AJ17" i="18"/>
  <c r="I17" i="27"/>
  <c r="AK12" i="19"/>
  <c r="J12" i="27"/>
  <c r="AJ9" i="21"/>
  <c r="L9" i="27"/>
  <c r="AK21" i="22"/>
  <c r="M21" i="27"/>
  <c r="AJ15" i="23"/>
  <c r="N15" i="27"/>
  <c r="AK19" i="24"/>
  <c r="O19" i="27"/>
  <c r="AJ21" i="18"/>
  <c r="I21" i="27"/>
  <c r="AJ19" i="18"/>
  <c r="I19" i="27"/>
  <c r="AK7" i="19"/>
  <c r="J7" i="27"/>
  <c r="J5" i="27" s="1"/>
  <c r="J4" i="27" s="1"/>
  <c r="AK31" i="20"/>
  <c r="K15" i="27"/>
  <c r="AJ10" i="21"/>
  <c r="L10" i="27"/>
  <c r="AJ22" i="21"/>
  <c r="L22" i="27"/>
  <c r="AJ20" i="23"/>
  <c r="N20" i="27"/>
  <c r="AJ18" i="23"/>
  <c r="N18" i="27"/>
  <c r="AK8" i="24"/>
  <c r="O8" i="27"/>
  <c r="AK18" i="24"/>
  <c r="O18" i="27"/>
  <c r="AK15" i="24"/>
  <c r="O15" i="27"/>
  <c r="AJ21" i="21"/>
  <c r="L21" i="27"/>
  <c r="AK9" i="20"/>
  <c r="K9" i="27"/>
  <c r="AK36" i="20"/>
  <c r="K20" i="27"/>
  <c r="AK34" i="20"/>
  <c r="K18" i="27"/>
  <c r="AJ15" i="21"/>
  <c r="L15" i="27"/>
  <c r="AK8" i="22"/>
  <c r="M8" i="27"/>
  <c r="AJ8" i="23"/>
  <c r="N8" i="27"/>
  <c r="AJ22" i="23"/>
  <c r="N22" i="27"/>
  <c r="AK16" i="24"/>
  <c r="O16" i="27"/>
  <c r="AK22" i="24"/>
  <c r="O22" i="27"/>
  <c r="AJ22" i="18"/>
  <c r="I22" i="27"/>
  <c r="AK10" i="24"/>
  <c r="O10" i="27"/>
  <c r="AK21" i="24"/>
  <c r="O21" i="27"/>
  <c r="AJ16" i="18"/>
  <c r="I16" i="27"/>
  <c r="AJ16" i="21"/>
  <c r="L16" i="27"/>
  <c r="AJ17" i="21"/>
  <c r="L17" i="27"/>
  <c r="AK19" i="22"/>
  <c r="M19" i="27"/>
  <c r="AJ10" i="23"/>
  <c r="N10" i="27"/>
  <c r="AJ21" i="23"/>
  <c r="N21" i="27"/>
  <c r="AK20" i="22"/>
  <c r="M20" i="27"/>
  <c r="AJ15" i="18"/>
  <c r="I15" i="27"/>
  <c r="AK35" i="20"/>
  <c r="K19" i="27"/>
  <c r="AK33" i="20"/>
  <c r="K17" i="27"/>
  <c r="AK38" i="20"/>
  <c r="K22" i="27"/>
  <c r="AJ18" i="21"/>
  <c r="L18" i="27"/>
  <c r="AK22" i="22"/>
  <c r="M22" i="27"/>
  <c r="AK15" i="22"/>
  <c r="M15" i="27"/>
  <c r="AJ16" i="23"/>
  <c r="N16" i="27"/>
  <c r="AK9" i="24"/>
  <c r="O9" i="27"/>
  <c r="AK16" i="22"/>
  <c r="M16" i="27"/>
  <c r="AJ20" i="18"/>
  <c r="I20" i="27"/>
  <c r="AK26" i="20"/>
  <c r="K10" i="27"/>
  <c r="AK37" i="20"/>
  <c r="K21" i="27"/>
  <c r="AJ19" i="21"/>
  <c r="L19" i="27"/>
  <c r="AK17" i="22"/>
  <c r="M17" i="27"/>
  <c r="AK20" i="24"/>
  <c r="O20" i="27"/>
  <c r="AK32" i="20"/>
  <c r="K16" i="27"/>
  <c r="AJ8" i="21"/>
  <c r="L8" i="27"/>
  <c r="AJ20" i="21"/>
  <c r="L20" i="27"/>
  <c r="AJ17" i="23"/>
  <c r="N17" i="27"/>
  <c r="AJ18" i="18"/>
  <c r="I18" i="27"/>
  <c r="AK14" i="19"/>
  <c r="J14" i="27"/>
  <c r="J13" i="27" s="1"/>
  <c r="AK8" i="20"/>
  <c r="K8" i="27"/>
  <c r="AK9" i="22"/>
  <c r="M9" i="27"/>
  <c r="AK10" i="22"/>
  <c r="M10" i="27"/>
  <c r="AJ9" i="23"/>
  <c r="N9" i="27"/>
  <c r="AJ19" i="23"/>
  <c r="N19" i="27"/>
  <c r="AF66" i="16"/>
  <c r="AG82" i="20"/>
  <c r="AF66" i="15"/>
  <c r="AF66" i="14"/>
  <c r="AH42" i="21"/>
  <c r="AH23" i="21" s="1"/>
  <c r="AH42" i="24"/>
  <c r="AH23" i="24" s="1"/>
  <c r="AG66" i="21"/>
  <c r="AH66" i="19"/>
  <c r="AH29" i="15"/>
  <c r="AH58" i="20"/>
  <c r="AH39" i="20" s="1"/>
  <c r="AH62" i="15"/>
  <c r="AG42" i="15"/>
  <c r="AG23" i="15" s="1"/>
  <c r="AH62" i="16"/>
  <c r="AH36" i="16"/>
  <c r="AH42" i="23"/>
  <c r="AH23" i="23" s="1"/>
  <c r="AG3" i="15"/>
  <c r="AG3" i="16"/>
  <c r="AG66" i="23"/>
  <c r="AH13" i="16"/>
  <c r="AH11" i="16" s="1"/>
  <c r="AH13" i="15"/>
  <c r="AH11" i="15" s="1"/>
  <c r="AH3" i="20"/>
  <c r="AH5" i="15"/>
  <c r="AH4" i="15" s="1"/>
  <c r="AI5" i="24"/>
  <c r="AJ7" i="24"/>
  <c r="AI13" i="24"/>
  <c r="AJ13" i="24" s="1"/>
  <c r="AK13" i="24" s="1"/>
  <c r="AJ14" i="24"/>
  <c r="AI29" i="24"/>
  <c r="AJ29" i="24" s="1"/>
  <c r="AK29" i="24" s="1"/>
  <c r="AJ30" i="24"/>
  <c r="AI56" i="24"/>
  <c r="AJ56" i="24" s="1"/>
  <c r="AK56" i="24" s="1"/>
  <c r="AJ57" i="24"/>
  <c r="AI43" i="24"/>
  <c r="AJ44" i="24"/>
  <c r="AI62" i="24"/>
  <c r="AJ62" i="24" s="1"/>
  <c r="AK62" i="24" s="1"/>
  <c r="AJ63" i="24"/>
  <c r="AJ12" i="24"/>
  <c r="AI48" i="24"/>
  <c r="AJ48" i="24" s="1"/>
  <c r="AK48" i="24" s="1"/>
  <c r="AJ49" i="24"/>
  <c r="AG66" i="24"/>
  <c r="AI24" i="24"/>
  <c r="AJ26" i="24"/>
  <c r="AI36" i="24"/>
  <c r="AJ36" i="24" s="1"/>
  <c r="AK36" i="24" s="1"/>
  <c r="AJ37" i="24"/>
  <c r="AH3" i="24"/>
  <c r="AI48" i="23"/>
  <c r="AJ48" i="23" s="1"/>
  <c r="AI49" i="23"/>
  <c r="AI62" i="23"/>
  <c r="AJ62" i="23" s="1"/>
  <c r="AI63" i="23"/>
  <c r="AI26" i="23"/>
  <c r="AI36" i="23"/>
  <c r="AJ36" i="23" s="1"/>
  <c r="AI37" i="23"/>
  <c r="AI29" i="23"/>
  <c r="AJ29" i="23" s="1"/>
  <c r="AI30" i="23"/>
  <c r="AI56" i="23"/>
  <c r="AJ56" i="23" s="1"/>
  <c r="AI57" i="23"/>
  <c r="AI7" i="23"/>
  <c r="AI11" i="23"/>
  <c r="AJ11" i="23" s="1"/>
  <c r="AI12" i="23"/>
  <c r="AI13" i="23"/>
  <c r="AJ13" i="23" s="1"/>
  <c r="AI14" i="23"/>
  <c r="AI44" i="23"/>
  <c r="AH3" i="23"/>
  <c r="AI48" i="22"/>
  <c r="AJ48" i="22" s="1"/>
  <c r="AK48" i="22" s="1"/>
  <c r="AJ49" i="22"/>
  <c r="AJ30" i="22"/>
  <c r="AI29" i="22"/>
  <c r="AJ29" i="22" s="1"/>
  <c r="AK29" i="22" s="1"/>
  <c r="AJ63" i="22"/>
  <c r="AI62" i="22"/>
  <c r="AJ62" i="22" s="1"/>
  <c r="AK62" i="22" s="1"/>
  <c r="AH42" i="22"/>
  <c r="AH23" i="22" s="1"/>
  <c r="AI13" i="22"/>
  <c r="AJ14" i="22"/>
  <c r="AJ26" i="22"/>
  <c r="AI24" i="22"/>
  <c r="AG66" i="22"/>
  <c r="AJ7" i="22"/>
  <c r="AI5" i="22"/>
  <c r="AI43" i="22"/>
  <c r="AJ44" i="22"/>
  <c r="AH3" i="22"/>
  <c r="AI36" i="22"/>
  <c r="AJ36" i="22" s="1"/>
  <c r="AK36" i="22" s="1"/>
  <c r="AJ37" i="22"/>
  <c r="AJ57" i="22"/>
  <c r="AI56" i="22"/>
  <c r="AJ56" i="22" s="1"/>
  <c r="AK56" i="22" s="1"/>
  <c r="AI12" i="21"/>
  <c r="AI26" i="21"/>
  <c r="AI13" i="21"/>
  <c r="AJ13" i="21" s="1"/>
  <c r="AI14" i="21"/>
  <c r="AI36" i="21"/>
  <c r="AJ36" i="21" s="1"/>
  <c r="AI37" i="21"/>
  <c r="AI62" i="21"/>
  <c r="AJ62" i="21" s="1"/>
  <c r="AI63" i="21"/>
  <c r="AI7" i="21"/>
  <c r="AI44" i="21"/>
  <c r="AI29" i="21"/>
  <c r="AJ29" i="21" s="1"/>
  <c r="AI30" i="21"/>
  <c r="AI48" i="21"/>
  <c r="AJ48" i="21" s="1"/>
  <c r="AI49" i="21"/>
  <c r="AI56" i="21"/>
  <c r="AJ56" i="21" s="1"/>
  <c r="AI57" i="21"/>
  <c r="AH3" i="21"/>
  <c r="AI40" i="20"/>
  <c r="AJ42" i="20"/>
  <c r="AI29" i="20"/>
  <c r="AJ29" i="20" s="1"/>
  <c r="AK29" i="20" s="1"/>
  <c r="AJ30" i="20"/>
  <c r="AI59" i="20"/>
  <c r="AJ60" i="20"/>
  <c r="AI64" i="20"/>
  <c r="AJ64" i="20" s="1"/>
  <c r="AK64" i="20" s="1"/>
  <c r="AJ65" i="20"/>
  <c r="AI72" i="20"/>
  <c r="AJ72" i="20" s="1"/>
  <c r="AK72" i="20" s="1"/>
  <c r="AJ73" i="20"/>
  <c r="AI52" i="20"/>
  <c r="AJ52" i="20" s="1"/>
  <c r="AK52" i="20" s="1"/>
  <c r="AJ53" i="20"/>
  <c r="AI78" i="20"/>
  <c r="AJ78" i="20" s="1"/>
  <c r="AK78" i="20" s="1"/>
  <c r="AJ79" i="20"/>
  <c r="AI5" i="20"/>
  <c r="AJ7" i="20"/>
  <c r="AJ28" i="20"/>
  <c r="AI45" i="20"/>
  <c r="AJ45" i="20" s="1"/>
  <c r="AK45" i="20" s="1"/>
  <c r="AJ46" i="20"/>
  <c r="AI11" i="19"/>
  <c r="AJ11" i="19" s="1"/>
  <c r="AK11" i="19" s="1"/>
  <c r="AI42" i="19"/>
  <c r="AJ42" i="19" s="1"/>
  <c r="AK42" i="19" s="1"/>
  <c r="AJ43" i="19"/>
  <c r="AK43" i="19" s="1"/>
  <c r="AI4" i="19"/>
  <c r="AJ5" i="19"/>
  <c r="AK5" i="19" s="1"/>
  <c r="AJ24" i="19"/>
  <c r="AK24" i="19" s="1"/>
  <c r="AI11" i="18"/>
  <c r="AJ11" i="18" s="1"/>
  <c r="AI12" i="18"/>
  <c r="AI48" i="18"/>
  <c r="AJ48" i="18" s="1"/>
  <c r="AI49" i="18"/>
  <c r="AI62" i="18"/>
  <c r="AJ62" i="18" s="1"/>
  <c r="AI63" i="18"/>
  <c r="AI26" i="18"/>
  <c r="AH42" i="18"/>
  <c r="AH23" i="18" s="1"/>
  <c r="AH3" i="18"/>
  <c r="AI13" i="18"/>
  <c r="AJ13" i="18" s="1"/>
  <c r="AI14" i="18"/>
  <c r="AI36" i="18"/>
  <c r="AJ36" i="18" s="1"/>
  <c r="AI37" i="18"/>
  <c r="AI44" i="18"/>
  <c r="AI56" i="18"/>
  <c r="AJ56" i="18" s="1"/>
  <c r="AI57" i="18"/>
  <c r="AI7" i="18"/>
  <c r="AJ7" i="18" s="1"/>
  <c r="AI29" i="18"/>
  <c r="AI30" i="18"/>
  <c r="AH43" i="16"/>
  <c r="AH48" i="16"/>
  <c r="AG42" i="16"/>
  <c r="AG23" i="16" s="1"/>
  <c r="AH24" i="16"/>
  <c r="AH29" i="16"/>
  <c r="AI65" i="16"/>
  <c r="AJ65" i="16" s="1"/>
  <c r="AI61" i="16"/>
  <c r="AJ61" i="16" s="1"/>
  <c r="AI64" i="16"/>
  <c r="AJ64" i="16" s="1"/>
  <c r="AI60" i="16"/>
  <c r="AJ60" i="16" s="1"/>
  <c r="AI63" i="16"/>
  <c r="AI59" i="16"/>
  <c r="AJ59" i="16" s="1"/>
  <c r="AI53" i="16"/>
  <c r="AJ53" i="16" s="1"/>
  <c r="AK53" i="16" s="1"/>
  <c r="AI58" i="16"/>
  <c r="AJ58" i="16" s="1"/>
  <c r="AI55" i="16"/>
  <c r="AJ55" i="16" s="1"/>
  <c r="AI52" i="16"/>
  <c r="AJ52" i="16" s="1"/>
  <c r="AI57" i="16"/>
  <c r="AI54" i="16"/>
  <c r="AJ54" i="16" s="1"/>
  <c r="AI51" i="16"/>
  <c r="AJ51" i="16" s="1"/>
  <c r="AI50" i="16"/>
  <c r="AJ50" i="16" s="1"/>
  <c r="AI47" i="16"/>
  <c r="AJ47" i="16" s="1"/>
  <c r="AI40" i="16"/>
  <c r="AJ40" i="16" s="1"/>
  <c r="AI49" i="16"/>
  <c r="AI46" i="16"/>
  <c r="AJ46" i="16" s="1"/>
  <c r="AI38" i="16"/>
  <c r="AJ38" i="16" s="1"/>
  <c r="AI35" i="16"/>
  <c r="AJ35" i="16" s="1"/>
  <c r="AI44" i="16"/>
  <c r="AI34" i="16"/>
  <c r="AJ34" i="16" s="1"/>
  <c r="AI41" i="16"/>
  <c r="AJ41" i="16" s="1"/>
  <c r="AI37" i="16"/>
  <c r="AI33" i="16"/>
  <c r="AJ33" i="16" s="1"/>
  <c r="AI45" i="16"/>
  <c r="AJ45" i="16" s="1"/>
  <c r="AI39" i="16"/>
  <c r="AJ39" i="16" s="1"/>
  <c r="AI32" i="16"/>
  <c r="AJ32" i="16" s="1"/>
  <c r="AI22" i="16"/>
  <c r="AJ22" i="16" s="1"/>
  <c r="AI18" i="16"/>
  <c r="AJ18" i="16" s="1"/>
  <c r="AI14" i="16"/>
  <c r="AI31" i="16"/>
  <c r="AJ31" i="16" s="1"/>
  <c r="AI26" i="16"/>
  <c r="AI21" i="16"/>
  <c r="AJ21" i="16" s="1"/>
  <c r="AI17" i="16"/>
  <c r="AJ17" i="16" s="1"/>
  <c r="AI28" i="16"/>
  <c r="AJ28" i="16" s="1"/>
  <c r="AI20" i="16"/>
  <c r="AJ20" i="16" s="1"/>
  <c r="AI16" i="16"/>
  <c r="AJ16" i="16" s="1"/>
  <c r="AI10" i="16"/>
  <c r="AJ10" i="16" s="1"/>
  <c r="AI30" i="16"/>
  <c r="AI27" i="16"/>
  <c r="AJ27" i="16" s="1"/>
  <c r="AI19" i="16"/>
  <c r="AJ19" i="16" s="1"/>
  <c r="AI8" i="16"/>
  <c r="AJ8" i="16" s="1"/>
  <c r="AI9" i="16"/>
  <c r="AJ9" i="16" s="1"/>
  <c r="AI15" i="16"/>
  <c r="AJ15" i="16" s="1"/>
  <c r="AI7" i="16"/>
  <c r="AI12" i="16"/>
  <c r="AH5" i="16"/>
  <c r="AH4" i="16" s="1"/>
  <c r="AH56" i="16"/>
  <c r="AI65" i="15"/>
  <c r="AJ65" i="15" s="1"/>
  <c r="AI61" i="15"/>
  <c r="AJ61" i="15" s="1"/>
  <c r="AI64" i="15"/>
  <c r="AJ64" i="15" s="1"/>
  <c r="AI60" i="15"/>
  <c r="AJ60" i="15" s="1"/>
  <c r="AI59" i="15"/>
  <c r="AJ59" i="15" s="1"/>
  <c r="AI53" i="15"/>
  <c r="AJ53" i="15" s="1"/>
  <c r="AK53" i="15" s="1"/>
  <c r="AI58" i="15"/>
  <c r="AJ58" i="15" s="1"/>
  <c r="AI54" i="15"/>
  <c r="AJ54" i="15" s="1"/>
  <c r="AI63" i="15"/>
  <c r="AI57" i="15"/>
  <c r="AI51" i="15"/>
  <c r="AJ51" i="15" s="1"/>
  <c r="AI55" i="15"/>
  <c r="AJ55" i="15" s="1"/>
  <c r="AI49" i="15"/>
  <c r="AI44" i="15"/>
  <c r="AI41" i="15"/>
  <c r="AJ41" i="15" s="1"/>
  <c r="AI37" i="15"/>
  <c r="AI47" i="15"/>
  <c r="AJ47" i="15" s="1"/>
  <c r="AI40" i="15"/>
  <c r="AJ40" i="15" s="1"/>
  <c r="AI52" i="15"/>
  <c r="AJ52" i="15" s="1"/>
  <c r="AI50" i="15"/>
  <c r="AJ50" i="15" s="1"/>
  <c r="AI46" i="15"/>
  <c r="AJ46" i="15" s="1"/>
  <c r="AI39" i="15"/>
  <c r="AJ39" i="15" s="1"/>
  <c r="AI35" i="15"/>
  <c r="AJ35" i="15" s="1"/>
  <c r="AI31" i="15"/>
  <c r="AJ31" i="15" s="1"/>
  <c r="AI38" i="15"/>
  <c r="AJ38" i="15" s="1"/>
  <c r="AI34" i="15"/>
  <c r="AJ34" i="15" s="1"/>
  <c r="AI32" i="15"/>
  <c r="AJ32" i="15" s="1"/>
  <c r="AI45" i="15"/>
  <c r="AJ45" i="15" s="1"/>
  <c r="AI28" i="15"/>
  <c r="AJ28" i="15" s="1"/>
  <c r="AI19" i="15"/>
  <c r="AJ19" i="15" s="1"/>
  <c r="AI33" i="15"/>
  <c r="AJ33" i="15" s="1"/>
  <c r="AI30" i="15"/>
  <c r="AI27" i="15"/>
  <c r="AJ27" i="15" s="1"/>
  <c r="AI22" i="15"/>
  <c r="AJ22" i="15" s="1"/>
  <c r="AI18" i="15"/>
  <c r="AJ18" i="15" s="1"/>
  <c r="AI14" i="15"/>
  <c r="AI20" i="15"/>
  <c r="AJ20" i="15" s="1"/>
  <c r="AI26" i="15"/>
  <c r="AI21" i="15"/>
  <c r="AJ21" i="15" s="1"/>
  <c r="AI17" i="15"/>
  <c r="AJ17" i="15" s="1"/>
  <c r="AI16" i="15"/>
  <c r="AJ16" i="15" s="1"/>
  <c r="AI12" i="15"/>
  <c r="AI10" i="15"/>
  <c r="AJ10" i="15" s="1"/>
  <c r="AI9" i="15"/>
  <c r="AJ9" i="15" s="1"/>
  <c r="AI15" i="15"/>
  <c r="AJ15" i="15" s="1"/>
  <c r="AI8" i="15"/>
  <c r="AJ8" i="15" s="1"/>
  <c r="AI7" i="15"/>
  <c r="AH43" i="15"/>
  <c r="AH56" i="15"/>
  <c r="AH48" i="15"/>
  <c r="AH36" i="15"/>
  <c r="AH24" i="15"/>
  <c r="AG3" i="14"/>
  <c r="AG42" i="14"/>
  <c r="AG23" i="14" s="1"/>
  <c r="AH65" i="14"/>
  <c r="AH64" i="14"/>
  <c r="AH60" i="14"/>
  <c r="AH61" i="14"/>
  <c r="AH59" i="14"/>
  <c r="AH53" i="14"/>
  <c r="AI53" i="14" s="1"/>
  <c r="AH58" i="14"/>
  <c r="AH54" i="14"/>
  <c r="AH50" i="14"/>
  <c r="AH55" i="14"/>
  <c r="AH52" i="14"/>
  <c r="AH51" i="14"/>
  <c r="AH47" i="14"/>
  <c r="AH46" i="14"/>
  <c r="AH39" i="14"/>
  <c r="AH35" i="14"/>
  <c r="AH31" i="14"/>
  <c r="AH38" i="14"/>
  <c r="AH34" i="14"/>
  <c r="AH28" i="14"/>
  <c r="AH41" i="14"/>
  <c r="AH33" i="14"/>
  <c r="AH21" i="14"/>
  <c r="AH16" i="14"/>
  <c r="AH45" i="14"/>
  <c r="AH32" i="14"/>
  <c r="AH19" i="14"/>
  <c r="AH40" i="14"/>
  <c r="AH27" i="14"/>
  <c r="AH22" i="14"/>
  <c r="AH8" i="14"/>
  <c r="AH18" i="14"/>
  <c r="AH17" i="14"/>
  <c r="AH9" i="14"/>
  <c r="AH20" i="14"/>
  <c r="AH15" i="14"/>
  <c r="AH10" i="14"/>
  <c r="AH5" i="13"/>
  <c r="AH4" i="13" s="1"/>
  <c r="AH24" i="13"/>
  <c r="AF66" i="13"/>
  <c r="AH62" i="13"/>
  <c r="AH13" i="13"/>
  <c r="AH11" i="13" s="1"/>
  <c r="AH56" i="13"/>
  <c r="AG3" i="13"/>
  <c r="AI65" i="13"/>
  <c r="AI61" i="13"/>
  <c r="AI64" i="13"/>
  <c r="AI60" i="13"/>
  <c r="AI53" i="13"/>
  <c r="AJ53" i="13" s="1"/>
  <c r="AI55" i="13"/>
  <c r="AI58" i="13"/>
  <c r="AI50" i="13"/>
  <c r="AI46" i="13"/>
  <c r="AI52" i="13"/>
  <c r="AI45" i="13"/>
  <c r="AI38" i="13"/>
  <c r="AI51" i="13"/>
  <c r="AI59" i="13"/>
  <c r="AI54" i="13"/>
  <c r="AI47" i="13"/>
  <c r="AI35" i="13"/>
  <c r="AI41" i="13"/>
  <c r="AI39" i="13"/>
  <c r="AI33" i="13"/>
  <c r="AI31" i="13"/>
  <c r="AI21" i="13"/>
  <c r="AI17" i="13"/>
  <c r="AI40" i="13"/>
  <c r="AI34" i="13"/>
  <c r="AI20" i="13"/>
  <c r="AI28" i="13"/>
  <c r="AI19" i="13"/>
  <c r="AI15" i="13"/>
  <c r="AI32" i="13"/>
  <c r="AI27" i="13"/>
  <c r="AI22" i="13"/>
  <c r="AI18" i="13"/>
  <c r="AI10" i="13"/>
  <c r="AI9" i="13"/>
  <c r="AI16" i="13"/>
  <c r="AI8" i="13"/>
  <c r="AH36" i="13"/>
  <c r="AH43" i="13"/>
  <c r="AH29" i="13"/>
  <c r="AH48" i="13"/>
  <c r="AG42" i="13"/>
  <c r="AG23" i="13" s="1"/>
  <c r="G3" i="1"/>
  <c r="I8" i="1"/>
  <c r="I12" i="1"/>
  <c r="I16" i="1"/>
  <c r="I20" i="1"/>
  <c r="I33" i="1"/>
  <c r="I37" i="1"/>
  <c r="I41" i="1"/>
  <c r="I45" i="1"/>
  <c r="I9" i="1"/>
  <c r="I14" i="1"/>
  <c r="I19" i="1"/>
  <c r="I26" i="1"/>
  <c r="I31" i="1"/>
  <c r="I49" i="1"/>
  <c r="I21" i="1"/>
  <c r="I22" i="1"/>
  <c r="I32" i="1"/>
  <c r="I50" i="1"/>
  <c r="I55" i="1"/>
  <c r="I59" i="1"/>
  <c r="I63" i="1"/>
  <c r="I17" i="1"/>
  <c r="I34" i="1"/>
  <c r="I40" i="1"/>
  <c r="I61" i="1"/>
  <c r="I7" i="1"/>
  <c r="I46" i="1"/>
  <c r="I10" i="1"/>
  <c r="I27" i="1"/>
  <c r="I30" i="1"/>
  <c r="I53" i="1"/>
  <c r="I28" i="1"/>
  <c r="I52" i="1"/>
  <c r="I54" i="1"/>
  <c r="I57" i="1"/>
  <c r="I38" i="1"/>
  <c r="I44" i="1"/>
  <c r="I51" i="1"/>
  <c r="I65" i="1"/>
  <c r="I15" i="1"/>
  <c r="I18" i="1"/>
  <c r="I35" i="1"/>
  <c r="I60" i="1"/>
  <c r="I47" i="1"/>
  <c r="I58" i="1"/>
  <c r="I64" i="1"/>
  <c r="I39" i="1"/>
  <c r="H48" i="1"/>
  <c r="G42" i="1"/>
  <c r="G23" i="1" s="1"/>
  <c r="F3" i="1"/>
  <c r="F66" i="1" s="1"/>
  <c r="H24" i="1"/>
  <c r="E3" i="1"/>
  <c r="H13" i="1"/>
  <c r="H11" i="1" s="1"/>
  <c r="H5" i="1"/>
  <c r="H43" i="1"/>
  <c r="H29" i="1"/>
  <c r="H62" i="1"/>
  <c r="H56" i="1"/>
  <c r="H36" i="1"/>
  <c r="J2" i="1"/>
  <c r="AJ47" i="13" l="1"/>
  <c r="G47" i="27"/>
  <c r="AK34" i="15"/>
  <c r="D34" i="27"/>
  <c r="AJ27" i="13"/>
  <c r="G27" i="27"/>
  <c r="AJ54" i="13"/>
  <c r="G54" i="27"/>
  <c r="AJ58" i="13"/>
  <c r="G58" i="27"/>
  <c r="AI34" i="14"/>
  <c r="E34" i="27"/>
  <c r="AI52" i="14"/>
  <c r="E52" i="27"/>
  <c r="AI60" i="14"/>
  <c r="E60" i="27"/>
  <c r="AK27" i="15"/>
  <c r="D27" i="27"/>
  <c r="AK38" i="15"/>
  <c r="D38" i="27"/>
  <c r="AK47" i="15"/>
  <c r="D47" i="27"/>
  <c r="AK65" i="15"/>
  <c r="D65" i="27"/>
  <c r="AK45" i="16"/>
  <c r="H45" i="27"/>
  <c r="AK46" i="16"/>
  <c r="H46" i="27"/>
  <c r="AK52" i="16"/>
  <c r="H52" i="27"/>
  <c r="AK61" i="16"/>
  <c r="H61" i="27"/>
  <c r="AJ29" i="18"/>
  <c r="I10" i="27"/>
  <c r="AK46" i="20"/>
  <c r="K30" i="27"/>
  <c r="K29" i="27" s="1"/>
  <c r="AJ30" i="21"/>
  <c r="L30" i="27"/>
  <c r="L29" i="27" s="1"/>
  <c r="AJ57" i="23"/>
  <c r="N57" i="27"/>
  <c r="N56" i="27" s="1"/>
  <c r="AK57" i="24"/>
  <c r="O57" i="27"/>
  <c r="O56" i="27" s="1"/>
  <c r="AJ59" i="13"/>
  <c r="G59" i="27"/>
  <c r="AK31" i="15"/>
  <c r="D31" i="27"/>
  <c r="AK54" i="15"/>
  <c r="D54" i="27"/>
  <c r="AK27" i="16"/>
  <c r="H27" i="27"/>
  <c r="AK33" i="16"/>
  <c r="H33" i="27"/>
  <c r="AK55" i="16"/>
  <c r="H55" i="27"/>
  <c r="AK65" i="16"/>
  <c r="H65" i="27"/>
  <c r="AK73" i="20"/>
  <c r="K57" i="27"/>
  <c r="K56" i="27" s="1"/>
  <c r="AK42" i="20"/>
  <c r="K26" i="27"/>
  <c r="K24" i="27" s="1"/>
  <c r="AK44" i="22"/>
  <c r="M44" i="27"/>
  <c r="M43" i="27" s="1"/>
  <c r="AJ49" i="23"/>
  <c r="N49" i="27"/>
  <c r="N48" i="27" s="1"/>
  <c r="AK49" i="24"/>
  <c r="O49" i="27"/>
  <c r="O48" i="27" s="1"/>
  <c r="J42" i="27"/>
  <c r="J23" i="27" s="1"/>
  <c r="AJ32" i="13"/>
  <c r="G32" i="27"/>
  <c r="AJ55" i="13"/>
  <c r="G55" i="27"/>
  <c r="AI32" i="14"/>
  <c r="E32" i="27"/>
  <c r="AI38" i="14"/>
  <c r="E38" i="27"/>
  <c r="AI55" i="14"/>
  <c r="E55" i="27"/>
  <c r="AI64" i="14"/>
  <c r="E64" i="27"/>
  <c r="AJ31" i="13"/>
  <c r="G31" i="27"/>
  <c r="AK33" i="15"/>
  <c r="D33" i="27"/>
  <c r="AK41" i="15"/>
  <c r="D41" i="27"/>
  <c r="AK40" i="16"/>
  <c r="H40" i="27"/>
  <c r="AK58" i="16"/>
  <c r="H58" i="27"/>
  <c r="AJ57" i="18"/>
  <c r="I57" i="27"/>
  <c r="I56" i="27" s="1"/>
  <c r="AJ44" i="21"/>
  <c r="L44" i="27"/>
  <c r="L43" i="27" s="1"/>
  <c r="AJ26" i="21"/>
  <c r="L26" i="27"/>
  <c r="L24" i="27" s="1"/>
  <c r="AJ44" i="23"/>
  <c r="N44" i="27"/>
  <c r="N43" i="27" s="1"/>
  <c r="AJ30" i="23"/>
  <c r="N30" i="27"/>
  <c r="N29" i="27" s="1"/>
  <c r="AK30" i="24"/>
  <c r="O30" i="27"/>
  <c r="O29" i="27" s="1"/>
  <c r="AJ51" i="13"/>
  <c r="G51" i="27"/>
  <c r="AI45" i="14"/>
  <c r="E45" i="27"/>
  <c r="AI31" i="14"/>
  <c r="E31" i="27"/>
  <c r="AI50" i="14"/>
  <c r="E50" i="27"/>
  <c r="AI65" i="14"/>
  <c r="E65" i="27"/>
  <c r="AK35" i="15"/>
  <c r="D35" i="27"/>
  <c r="AK58" i="15"/>
  <c r="D58" i="27"/>
  <c r="AK31" i="16"/>
  <c r="H31" i="27"/>
  <c r="AJ33" i="13"/>
  <c r="G33" i="27"/>
  <c r="AJ38" i="13"/>
  <c r="G38" i="27"/>
  <c r="AJ60" i="13"/>
  <c r="G60" i="27"/>
  <c r="AI35" i="14"/>
  <c r="E35" i="27"/>
  <c r="AI54" i="14"/>
  <c r="E54" i="27"/>
  <c r="AK39" i="15"/>
  <c r="D39" i="27"/>
  <c r="AK41" i="16"/>
  <c r="H41" i="27"/>
  <c r="AK47" i="16"/>
  <c r="H47" i="27"/>
  <c r="AJ26" i="18"/>
  <c r="I26" i="27"/>
  <c r="I24" i="27" s="1"/>
  <c r="I7" i="27"/>
  <c r="I5" i="27" s="1"/>
  <c r="AK65" i="20"/>
  <c r="K49" i="27"/>
  <c r="K48" i="27" s="1"/>
  <c r="AJ28" i="13"/>
  <c r="G28" i="27"/>
  <c r="AJ39" i="13"/>
  <c r="G39" i="27"/>
  <c r="AJ45" i="13"/>
  <c r="G45" i="27"/>
  <c r="AJ64" i="13"/>
  <c r="G64" i="27"/>
  <c r="AI39" i="14"/>
  <c r="E39" i="27"/>
  <c r="AI58" i="14"/>
  <c r="E58" i="27"/>
  <c r="AK28" i="15"/>
  <c r="D28" i="27"/>
  <c r="AK46" i="15"/>
  <c r="D46" i="27"/>
  <c r="AK59" i="15"/>
  <c r="D59" i="27"/>
  <c r="AK34" i="16"/>
  <c r="H34" i="27"/>
  <c r="AK50" i="16"/>
  <c r="H50" i="27"/>
  <c r="AK59" i="16"/>
  <c r="H59" i="27"/>
  <c r="AJ44" i="18"/>
  <c r="I44" i="27"/>
  <c r="I43" i="27" s="1"/>
  <c r="AJ63" i="18"/>
  <c r="I63" i="27"/>
  <c r="I62" i="27" s="1"/>
  <c r="AJ57" i="21"/>
  <c r="L57" i="27"/>
  <c r="L56" i="27" s="1"/>
  <c r="AJ63" i="21"/>
  <c r="L63" i="27"/>
  <c r="L62" i="27" s="1"/>
  <c r="AK63" i="22"/>
  <c r="M63" i="27"/>
  <c r="M62" i="27" s="1"/>
  <c r="AJ37" i="23"/>
  <c r="N37" i="27"/>
  <c r="N36" i="27" s="1"/>
  <c r="AK37" i="24"/>
  <c r="O37" i="27"/>
  <c r="O36" i="27" s="1"/>
  <c r="AK63" i="24"/>
  <c r="O63" i="27"/>
  <c r="O62" i="27" s="1"/>
  <c r="AJ41" i="13"/>
  <c r="G41" i="27"/>
  <c r="AJ52" i="13"/>
  <c r="G52" i="27"/>
  <c r="AJ61" i="13"/>
  <c r="G61" i="27"/>
  <c r="AI33" i="14"/>
  <c r="E33" i="27"/>
  <c r="AI46" i="14"/>
  <c r="E46" i="27"/>
  <c r="AK45" i="15"/>
  <c r="D45" i="27"/>
  <c r="AK50" i="15"/>
  <c r="D50" i="27"/>
  <c r="AK55" i="15"/>
  <c r="D55" i="27"/>
  <c r="AK60" i="15"/>
  <c r="D60" i="27"/>
  <c r="AK51" i="16"/>
  <c r="H51" i="27"/>
  <c r="AJ37" i="18"/>
  <c r="I37" i="27"/>
  <c r="I36" i="27" s="1"/>
  <c r="AK79" i="20"/>
  <c r="K63" i="27"/>
  <c r="K62" i="27" s="1"/>
  <c r="AK60" i="20"/>
  <c r="K44" i="27"/>
  <c r="K43" i="27" s="1"/>
  <c r="AK57" i="22"/>
  <c r="M57" i="27"/>
  <c r="M56" i="27" s="1"/>
  <c r="AJ34" i="13"/>
  <c r="G34" i="27"/>
  <c r="AJ35" i="13"/>
  <c r="G35" i="27"/>
  <c r="AJ46" i="13"/>
  <c r="G46" i="27"/>
  <c r="AJ65" i="13"/>
  <c r="G65" i="27"/>
  <c r="AI27" i="14"/>
  <c r="E27" i="27"/>
  <c r="AI41" i="14"/>
  <c r="E41" i="27"/>
  <c r="AI47" i="14"/>
  <c r="E47" i="27"/>
  <c r="AI59" i="14"/>
  <c r="E59" i="27"/>
  <c r="AK32" i="15"/>
  <c r="D32" i="27"/>
  <c r="AK52" i="15"/>
  <c r="D52" i="27"/>
  <c r="AK51" i="15"/>
  <c r="D51" i="27"/>
  <c r="AK64" i="15"/>
  <c r="D64" i="27"/>
  <c r="AK28" i="16"/>
  <c r="H28" i="27"/>
  <c r="AK32" i="16"/>
  <c r="H32" i="27"/>
  <c r="AK35" i="16"/>
  <c r="H35" i="27"/>
  <c r="AK54" i="16"/>
  <c r="H54" i="27"/>
  <c r="AK60" i="16"/>
  <c r="H60" i="27"/>
  <c r="AJ49" i="18"/>
  <c r="I49" i="27"/>
  <c r="I48" i="27" s="1"/>
  <c r="AJ49" i="21"/>
  <c r="L49" i="27"/>
  <c r="L48" i="27" s="1"/>
  <c r="AJ37" i="21"/>
  <c r="L37" i="27"/>
  <c r="L36" i="27" s="1"/>
  <c r="AK37" i="22"/>
  <c r="M37" i="27"/>
  <c r="M36" i="27" s="1"/>
  <c r="AK30" i="22"/>
  <c r="M30" i="27"/>
  <c r="M29" i="27" s="1"/>
  <c r="AJ26" i="23"/>
  <c r="N26" i="27"/>
  <c r="N24" i="27" s="1"/>
  <c r="AK26" i="24"/>
  <c r="O26" i="27"/>
  <c r="O24" i="27" s="1"/>
  <c r="AK44" i="24"/>
  <c r="O44" i="27"/>
  <c r="O43" i="27" s="1"/>
  <c r="AJ40" i="13"/>
  <c r="G40" i="27"/>
  <c r="AJ50" i="13"/>
  <c r="G50" i="27"/>
  <c r="AI40" i="14"/>
  <c r="E40" i="27"/>
  <c r="AI28" i="14"/>
  <c r="E28" i="27"/>
  <c r="AI51" i="14"/>
  <c r="E51" i="27"/>
  <c r="AI61" i="14"/>
  <c r="E61" i="27"/>
  <c r="AK40" i="15"/>
  <c r="D40" i="27"/>
  <c r="AK61" i="15"/>
  <c r="D61" i="27"/>
  <c r="AK39" i="16"/>
  <c r="H39" i="27"/>
  <c r="AK38" i="16"/>
  <c r="H38" i="27"/>
  <c r="AK64" i="16"/>
  <c r="H64" i="27"/>
  <c r="AJ30" i="18"/>
  <c r="I30" i="27"/>
  <c r="I29" i="27" s="1"/>
  <c r="AK53" i="20"/>
  <c r="K37" i="27"/>
  <c r="K36" i="27" s="1"/>
  <c r="AK26" i="22"/>
  <c r="M26" i="27"/>
  <c r="M24" i="27" s="1"/>
  <c r="AK49" i="22"/>
  <c r="M49" i="27"/>
  <c r="M48" i="27" s="1"/>
  <c r="AJ63" i="23"/>
  <c r="N63" i="27"/>
  <c r="N62" i="27" s="1"/>
  <c r="J11" i="27"/>
  <c r="J3" i="27" s="1"/>
  <c r="AJ9" i="13"/>
  <c r="G9" i="27"/>
  <c r="AI21" i="14"/>
  <c r="E21" i="27"/>
  <c r="AK9" i="15"/>
  <c r="D9" i="27"/>
  <c r="AK10" i="15"/>
  <c r="D10" i="27"/>
  <c r="AK17" i="16"/>
  <c r="H17" i="27"/>
  <c r="AJ14" i="18"/>
  <c r="I14" i="27"/>
  <c r="I13" i="27" s="1"/>
  <c r="AK30" i="20"/>
  <c r="K14" i="27"/>
  <c r="K13" i="27" s="1"/>
  <c r="AJ7" i="23"/>
  <c r="N7" i="27"/>
  <c r="N5" i="27" s="1"/>
  <c r="N4" i="27" s="1"/>
  <c r="AJ10" i="13"/>
  <c r="G10" i="27"/>
  <c r="AI22" i="14"/>
  <c r="E22" i="27"/>
  <c r="AJ18" i="13"/>
  <c r="G18" i="27"/>
  <c r="AK22" i="15"/>
  <c r="D22" i="27"/>
  <c r="AK19" i="16"/>
  <c r="H19" i="27"/>
  <c r="AK18" i="16"/>
  <c r="H18" i="27"/>
  <c r="AK14" i="24"/>
  <c r="O14" i="27"/>
  <c r="O13" i="27" s="1"/>
  <c r="AK15" i="16"/>
  <c r="H15" i="27"/>
  <c r="AK22" i="16"/>
  <c r="H22" i="27"/>
  <c r="AK8" i="16"/>
  <c r="H8" i="27"/>
  <c r="AJ17" i="13"/>
  <c r="G17" i="27"/>
  <c r="AI20" i="14"/>
  <c r="E20" i="27"/>
  <c r="AI19" i="14"/>
  <c r="E19" i="27"/>
  <c r="AK16" i="15"/>
  <c r="D16" i="27"/>
  <c r="AK21" i="16"/>
  <c r="H21" i="27"/>
  <c r="AJ12" i="18"/>
  <c r="I12" i="27"/>
  <c r="AJ14" i="21"/>
  <c r="L14" i="27"/>
  <c r="L13" i="27" s="1"/>
  <c r="AK14" i="22"/>
  <c r="M14" i="27"/>
  <c r="M13" i="27" s="1"/>
  <c r="M11" i="27" s="1"/>
  <c r="AJ21" i="13"/>
  <c r="G21" i="27"/>
  <c r="AK17" i="15"/>
  <c r="D17" i="27"/>
  <c r="AK20" i="15"/>
  <c r="D20" i="27"/>
  <c r="AJ20" i="13"/>
  <c r="G20" i="27"/>
  <c r="AK9" i="16"/>
  <c r="H9" i="27"/>
  <c r="AJ22" i="13"/>
  <c r="G22" i="27"/>
  <c r="AI15" i="14"/>
  <c r="E15" i="27"/>
  <c r="AK21" i="15"/>
  <c r="D21" i="27"/>
  <c r="AK28" i="20"/>
  <c r="K12" i="27"/>
  <c r="AK15" i="15"/>
  <c r="D15" i="27"/>
  <c r="AK16" i="16"/>
  <c r="H16" i="27"/>
  <c r="AK7" i="22"/>
  <c r="M7" i="27"/>
  <c r="M5" i="27" s="1"/>
  <c r="M4" i="27" s="1"/>
  <c r="AK20" i="16"/>
  <c r="H20" i="27"/>
  <c r="AJ12" i="23"/>
  <c r="N12" i="27"/>
  <c r="AK18" i="15"/>
  <c r="D18" i="27"/>
  <c r="AK7" i="24"/>
  <c r="O7" i="27"/>
  <c r="O5" i="27" s="1"/>
  <c r="O4" i="27" s="1"/>
  <c r="AJ8" i="13"/>
  <c r="G8" i="27"/>
  <c r="AJ15" i="13"/>
  <c r="G15" i="27"/>
  <c r="AI17" i="14"/>
  <c r="E17" i="27"/>
  <c r="AJ16" i="13"/>
  <c r="G16" i="27"/>
  <c r="AJ19" i="13"/>
  <c r="G19" i="27"/>
  <c r="AI18" i="14"/>
  <c r="E18" i="27"/>
  <c r="AI16" i="14"/>
  <c r="E16" i="27"/>
  <c r="AK8" i="15"/>
  <c r="D8" i="27"/>
  <c r="AK19" i="15"/>
  <c r="D19" i="27"/>
  <c r="AK10" i="16"/>
  <c r="H10" i="27"/>
  <c r="AK7" i="20"/>
  <c r="K7" i="27"/>
  <c r="K5" i="27" s="1"/>
  <c r="K4" i="27" s="1"/>
  <c r="AJ7" i="21"/>
  <c r="L7" i="27"/>
  <c r="L5" i="27" s="1"/>
  <c r="L4" i="27" s="1"/>
  <c r="AJ12" i="21"/>
  <c r="L12" i="27"/>
  <c r="AJ14" i="23"/>
  <c r="N14" i="27"/>
  <c r="N13" i="27" s="1"/>
  <c r="AK12" i="24"/>
  <c r="O12" i="27"/>
  <c r="AI10" i="14"/>
  <c r="E10" i="27"/>
  <c r="AI8" i="14"/>
  <c r="E8" i="27"/>
  <c r="AI9" i="14"/>
  <c r="E9" i="27"/>
  <c r="AH3" i="15"/>
  <c r="AG66" i="15"/>
  <c r="AH66" i="23"/>
  <c r="AI23" i="19"/>
  <c r="AJ23" i="19" s="1"/>
  <c r="AK23" i="19" s="1"/>
  <c r="AH66" i="21"/>
  <c r="AG66" i="16"/>
  <c r="AH66" i="22"/>
  <c r="AH3" i="16"/>
  <c r="AI27" i="20"/>
  <c r="AJ27" i="20" s="1"/>
  <c r="AK27" i="20" s="1"/>
  <c r="AH82" i="20"/>
  <c r="AH66" i="24"/>
  <c r="AI11" i="24"/>
  <c r="AJ11" i="24" s="1"/>
  <c r="AK11" i="24" s="1"/>
  <c r="AJ24" i="24"/>
  <c r="AK24" i="24" s="1"/>
  <c r="AI42" i="24"/>
  <c r="AJ42" i="24" s="1"/>
  <c r="AK42" i="24" s="1"/>
  <c r="AJ43" i="24"/>
  <c r="AK43" i="24" s="1"/>
  <c r="AI4" i="24"/>
  <c r="AJ5" i="24"/>
  <c r="AK5" i="24" s="1"/>
  <c r="AI42" i="23"/>
  <c r="AJ42" i="23" s="1"/>
  <c r="AI43" i="23"/>
  <c r="AJ43" i="23" s="1"/>
  <c r="AI5" i="23"/>
  <c r="AJ5" i="23" s="1"/>
  <c r="AI23" i="23"/>
  <c r="AJ23" i="23" s="1"/>
  <c r="AI24" i="23"/>
  <c r="AJ24" i="23" s="1"/>
  <c r="AJ13" i="22"/>
  <c r="AK13" i="22" s="1"/>
  <c r="AI11" i="22"/>
  <c r="AJ11" i="22" s="1"/>
  <c r="AK11" i="22" s="1"/>
  <c r="AI42" i="22"/>
  <c r="AJ42" i="22" s="1"/>
  <c r="AK42" i="22" s="1"/>
  <c r="AJ43" i="22"/>
  <c r="AK43" i="22" s="1"/>
  <c r="AJ24" i="22"/>
  <c r="AK24" i="22" s="1"/>
  <c r="AJ5" i="22"/>
  <c r="AK5" i="22" s="1"/>
  <c r="AI4" i="22"/>
  <c r="AI11" i="21"/>
  <c r="AJ11" i="21" s="1"/>
  <c r="AI5" i="21"/>
  <c r="AJ5" i="21" s="1"/>
  <c r="AI24" i="21"/>
  <c r="AJ24" i="21" s="1"/>
  <c r="AI42" i="21"/>
  <c r="AJ42" i="21" s="1"/>
  <c r="AI43" i="21"/>
  <c r="AJ43" i="21" s="1"/>
  <c r="AI4" i="20"/>
  <c r="AJ5" i="20"/>
  <c r="AK5" i="20" s="1"/>
  <c r="AI58" i="20"/>
  <c r="AJ58" i="20" s="1"/>
  <c r="AK58" i="20" s="1"/>
  <c r="AJ59" i="20"/>
  <c r="AK59" i="20" s="1"/>
  <c r="AJ40" i="20"/>
  <c r="AK40" i="20" s="1"/>
  <c r="AI3" i="19"/>
  <c r="AJ4" i="19"/>
  <c r="AK4" i="19" s="1"/>
  <c r="AH66" i="18"/>
  <c r="AI5" i="18"/>
  <c r="AJ5" i="18" s="1"/>
  <c r="AI42" i="18"/>
  <c r="AJ42" i="18" s="1"/>
  <c r="AI43" i="18"/>
  <c r="AJ43" i="18" s="1"/>
  <c r="AI23" i="18"/>
  <c r="AJ23" i="18" s="1"/>
  <c r="AI24" i="18"/>
  <c r="AJ24" i="18" s="1"/>
  <c r="AH42" i="16"/>
  <c r="AH23" i="16" s="1"/>
  <c r="AI24" i="16"/>
  <c r="AJ26" i="16"/>
  <c r="AI43" i="16"/>
  <c r="AJ44" i="16"/>
  <c r="AI36" i="16"/>
  <c r="AJ36" i="16" s="1"/>
  <c r="AK36" i="16" s="1"/>
  <c r="AJ37" i="16"/>
  <c r="AI48" i="16"/>
  <c r="AJ48" i="16" s="1"/>
  <c r="AK48" i="16" s="1"/>
  <c r="AJ49" i="16"/>
  <c r="AI62" i="16"/>
  <c r="AJ62" i="16" s="1"/>
  <c r="AK62" i="16" s="1"/>
  <c r="AJ63" i="16"/>
  <c r="AJ12" i="16"/>
  <c r="AI13" i="16"/>
  <c r="AJ13" i="16" s="1"/>
  <c r="AK13" i="16" s="1"/>
  <c r="AJ14" i="16"/>
  <c r="AI56" i="16"/>
  <c r="AJ56" i="16" s="1"/>
  <c r="AK56" i="16" s="1"/>
  <c r="AJ57" i="16"/>
  <c r="AI29" i="16"/>
  <c r="AJ29" i="16" s="1"/>
  <c r="AK29" i="16" s="1"/>
  <c r="AJ30" i="16"/>
  <c r="AI5" i="16"/>
  <c r="AJ7" i="16"/>
  <c r="AI5" i="15"/>
  <c r="AJ7" i="15"/>
  <c r="AJ12" i="15"/>
  <c r="AI24" i="15"/>
  <c r="AJ26" i="15"/>
  <c r="AI43" i="15"/>
  <c r="AJ44" i="15"/>
  <c r="AI56" i="15"/>
  <c r="AJ56" i="15" s="1"/>
  <c r="AK56" i="15" s="1"/>
  <c r="AJ57" i="15"/>
  <c r="AI48" i="15"/>
  <c r="AJ48" i="15" s="1"/>
  <c r="AK48" i="15" s="1"/>
  <c r="AJ49" i="15"/>
  <c r="AI62" i="15"/>
  <c r="AJ62" i="15" s="1"/>
  <c r="AK62" i="15" s="1"/>
  <c r="AJ63" i="15"/>
  <c r="AH42" i="15"/>
  <c r="AH23" i="15" s="1"/>
  <c r="AI13" i="15"/>
  <c r="AJ13" i="15" s="1"/>
  <c r="AK13" i="15" s="1"/>
  <c r="AJ14" i="15"/>
  <c r="AI29" i="15"/>
  <c r="AJ29" i="15" s="1"/>
  <c r="AK29" i="15" s="1"/>
  <c r="AJ30" i="15"/>
  <c r="AI36" i="15"/>
  <c r="AJ36" i="15" s="1"/>
  <c r="AK36" i="15" s="1"/>
  <c r="AJ37" i="15"/>
  <c r="AH13" i="14"/>
  <c r="AI13" i="14" s="1"/>
  <c r="AH14" i="14"/>
  <c r="AH26" i="14"/>
  <c r="AH44" i="14"/>
  <c r="AH62" i="14"/>
  <c r="AI62" i="14" s="1"/>
  <c r="AH63" i="14"/>
  <c r="AG66" i="14"/>
  <c r="AH12" i="14"/>
  <c r="AH7" i="14"/>
  <c r="AH36" i="14"/>
  <c r="AI36" i="14" s="1"/>
  <c r="AH37" i="14"/>
  <c r="AH29" i="14"/>
  <c r="AI29" i="14" s="1"/>
  <c r="AH30" i="14"/>
  <c r="AH56" i="14"/>
  <c r="AI56" i="14" s="1"/>
  <c r="AH57" i="14"/>
  <c r="AH48" i="14"/>
  <c r="AI48" i="14" s="1"/>
  <c r="AH49" i="14"/>
  <c r="AI7" i="13"/>
  <c r="AI12" i="13"/>
  <c r="AI26" i="13"/>
  <c r="AI44" i="13"/>
  <c r="AI56" i="13"/>
  <c r="AJ56" i="13" s="1"/>
  <c r="AI57" i="13"/>
  <c r="AG66" i="13"/>
  <c r="AI13" i="13"/>
  <c r="AJ13" i="13" s="1"/>
  <c r="AI14" i="13"/>
  <c r="AH42" i="13"/>
  <c r="AH23" i="13" s="1"/>
  <c r="AI29" i="13"/>
  <c r="AJ29" i="13" s="1"/>
  <c r="AI30" i="13"/>
  <c r="AI62" i="13"/>
  <c r="AJ62" i="13" s="1"/>
  <c r="AI63" i="13"/>
  <c r="AH3" i="13"/>
  <c r="AI36" i="13"/>
  <c r="AJ36" i="13" s="1"/>
  <c r="AI37" i="13"/>
  <c r="AI48" i="13"/>
  <c r="AJ48" i="13" s="1"/>
  <c r="AI49" i="13"/>
  <c r="I5" i="1"/>
  <c r="I4" i="1" s="1"/>
  <c r="G66" i="1"/>
  <c r="J9" i="1"/>
  <c r="J17" i="1"/>
  <c r="J21" i="1"/>
  <c r="J26" i="1"/>
  <c r="J30" i="1"/>
  <c r="J34" i="1"/>
  <c r="J38" i="1"/>
  <c r="J10" i="1"/>
  <c r="J15" i="1"/>
  <c r="J20" i="1"/>
  <c r="J27" i="1"/>
  <c r="J32" i="1"/>
  <c r="J37" i="1"/>
  <c r="J46" i="1"/>
  <c r="J50" i="1"/>
  <c r="J54" i="1"/>
  <c r="J12" i="1"/>
  <c r="J31" i="1"/>
  <c r="J39" i="1"/>
  <c r="J40" i="1"/>
  <c r="J41" i="1"/>
  <c r="J51" i="1"/>
  <c r="J60" i="1"/>
  <c r="J64" i="1"/>
  <c r="J14" i="1"/>
  <c r="J22" i="1"/>
  <c r="J33" i="1"/>
  <c r="J49" i="1"/>
  <c r="J55" i="1"/>
  <c r="J59" i="1"/>
  <c r="J63" i="1"/>
  <c r="J8" i="1"/>
  <c r="J45" i="1"/>
  <c r="J53" i="1"/>
  <c r="J65" i="1"/>
  <c r="J47" i="1"/>
  <c r="J16" i="1"/>
  <c r="J44" i="1"/>
  <c r="J58" i="1"/>
  <c r="J19" i="1"/>
  <c r="J7" i="1"/>
  <c r="J28" i="1"/>
  <c r="J52" i="1"/>
  <c r="J57" i="1"/>
  <c r="J18" i="1"/>
  <c r="J35" i="1"/>
  <c r="J61" i="1"/>
  <c r="I56" i="1"/>
  <c r="I13" i="1"/>
  <c r="I11" i="1" s="1"/>
  <c r="H42" i="1"/>
  <c r="H23" i="1" s="1"/>
  <c r="E66" i="1"/>
  <c r="I29" i="1"/>
  <c r="I48" i="1"/>
  <c r="I36" i="1"/>
  <c r="I43" i="1"/>
  <c r="I62" i="1"/>
  <c r="I24" i="1"/>
  <c r="K2" i="1"/>
  <c r="N11" i="27" l="1"/>
  <c r="N3" i="27" s="1"/>
  <c r="K42" i="27"/>
  <c r="K23" i="27" s="1"/>
  <c r="J66" i="27"/>
  <c r="N42" i="27"/>
  <c r="N23" i="27" s="1"/>
  <c r="O42" i="27"/>
  <c r="O23" i="27" s="1"/>
  <c r="I4" i="27"/>
  <c r="AK37" i="15"/>
  <c r="D37" i="27"/>
  <c r="AK57" i="16"/>
  <c r="H57" i="27"/>
  <c r="H56" i="27" s="1"/>
  <c r="D53" i="27"/>
  <c r="AJ63" i="13"/>
  <c r="G63" i="27"/>
  <c r="G62" i="27" s="1"/>
  <c r="AJ57" i="13"/>
  <c r="G57" i="27"/>
  <c r="G56" i="27" s="1"/>
  <c r="AI57" i="14"/>
  <c r="E57" i="27"/>
  <c r="E56" i="27" s="1"/>
  <c r="AK49" i="15"/>
  <c r="D49" i="27"/>
  <c r="AK37" i="16"/>
  <c r="H37" i="27"/>
  <c r="H36" i="27" s="1"/>
  <c r="AI63" i="14"/>
  <c r="E63" i="27"/>
  <c r="E62" i="27" s="1"/>
  <c r="AK30" i="15"/>
  <c r="D30" i="27"/>
  <c r="M42" i="27"/>
  <c r="M23" i="27" s="1"/>
  <c r="AJ30" i="13"/>
  <c r="G30" i="27"/>
  <c r="G29" i="27" s="1"/>
  <c r="AJ44" i="13"/>
  <c r="G44" i="27"/>
  <c r="G43" i="27" s="1"/>
  <c r="AI30" i="14"/>
  <c r="E30" i="27"/>
  <c r="E29" i="27" s="1"/>
  <c r="AK57" i="15"/>
  <c r="D57" i="27"/>
  <c r="AK44" i="16"/>
  <c r="H44" i="27"/>
  <c r="H43" i="27" s="1"/>
  <c r="L42" i="27"/>
  <c r="L23" i="27" s="1"/>
  <c r="AJ49" i="13"/>
  <c r="G49" i="27"/>
  <c r="G48" i="27" s="1"/>
  <c r="AJ26" i="13"/>
  <c r="G26" i="27"/>
  <c r="G24" i="27" s="1"/>
  <c r="AI44" i="14"/>
  <c r="E44" i="27"/>
  <c r="E43" i="27" s="1"/>
  <c r="I42" i="27"/>
  <c r="I23" i="27" s="1"/>
  <c r="AI37" i="14"/>
  <c r="E37" i="27"/>
  <c r="E36" i="27" s="1"/>
  <c r="AI26" i="14"/>
  <c r="E26" i="27"/>
  <c r="E24" i="27" s="1"/>
  <c r="AK44" i="15"/>
  <c r="D44" i="27"/>
  <c r="AK63" i="16"/>
  <c r="H63" i="27"/>
  <c r="H62" i="27" s="1"/>
  <c r="AK26" i="16"/>
  <c r="H26" i="27"/>
  <c r="H24" i="27" s="1"/>
  <c r="AJ37" i="13"/>
  <c r="G37" i="27"/>
  <c r="G36" i="27" s="1"/>
  <c r="AK30" i="16"/>
  <c r="H30" i="27"/>
  <c r="H29" i="27" s="1"/>
  <c r="AI49" i="14"/>
  <c r="E49" i="27"/>
  <c r="E48" i="27" s="1"/>
  <c r="AK63" i="15"/>
  <c r="D63" i="27"/>
  <c r="AK26" i="15"/>
  <c r="D26" i="27"/>
  <c r="AK49" i="16"/>
  <c r="H49" i="27"/>
  <c r="H48" i="27" s="1"/>
  <c r="M3" i="27"/>
  <c r="O11" i="27"/>
  <c r="O3" i="27" s="1"/>
  <c r="AI12" i="14"/>
  <c r="E12" i="27"/>
  <c r="AK12" i="15"/>
  <c r="D12" i="27"/>
  <c r="K11" i="27"/>
  <c r="K3" i="27" s="1"/>
  <c r="AK7" i="15"/>
  <c r="D7" i="27"/>
  <c r="D5" i="27" s="1"/>
  <c r="D4" i="27" s="1"/>
  <c r="AK14" i="16"/>
  <c r="H14" i="27"/>
  <c r="H13" i="27" s="1"/>
  <c r="I11" i="27"/>
  <c r="AK14" i="15"/>
  <c r="D14" i="27"/>
  <c r="AK7" i="16"/>
  <c r="H7" i="27"/>
  <c r="H5" i="27" s="1"/>
  <c r="H4" i="27" s="1"/>
  <c r="AK12" i="16"/>
  <c r="H12" i="27"/>
  <c r="AJ12" i="13"/>
  <c r="G12" i="27"/>
  <c r="L11" i="27"/>
  <c r="L3" i="27" s="1"/>
  <c r="AJ14" i="13"/>
  <c r="G14" i="27"/>
  <c r="G13" i="27" s="1"/>
  <c r="AJ7" i="13"/>
  <c r="G7" i="27"/>
  <c r="G5" i="27" s="1"/>
  <c r="G4" i="27" s="1"/>
  <c r="AI14" i="14"/>
  <c r="E14" i="27"/>
  <c r="E13" i="27" s="1"/>
  <c r="AI7" i="14"/>
  <c r="E7" i="27"/>
  <c r="AH66" i="15"/>
  <c r="AI23" i="22"/>
  <c r="AJ23" i="22" s="1"/>
  <c r="AK23" i="22" s="1"/>
  <c r="AI39" i="20"/>
  <c r="AJ39" i="20" s="1"/>
  <c r="AK39" i="20" s="1"/>
  <c r="AH66" i="16"/>
  <c r="AI23" i="24"/>
  <c r="AJ23" i="24" s="1"/>
  <c r="AK23" i="24" s="1"/>
  <c r="AI3" i="24"/>
  <c r="AJ4" i="24"/>
  <c r="AK4" i="24" s="1"/>
  <c r="AI4" i="23"/>
  <c r="AJ4" i="23" s="1"/>
  <c r="AI3" i="22"/>
  <c r="AJ4" i="22"/>
  <c r="AK4" i="22" s="1"/>
  <c r="AI23" i="21"/>
  <c r="AJ23" i="21" s="1"/>
  <c r="AI4" i="21"/>
  <c r="AJ4" i="21" s="1"/>
  <c r="AI3" i="20"/>
  <c r="AJ4" i="20"/>
  <c r="AK4" i="20" s="1"/>
  <c r="AI66" i="19"/>
  <c r="AJ66" i="19" s="1"/>
  <c r="AK66" i="19" s="1"/>
  <c r="AJ3" i="19"/>
  <c r="AK3" i="19" s="1"/>
  <c r="AI4" i="18"/>
  <c r="AJ4" i="18" s="1"/>
  <c r="AI4" i="16"/>
  <c r="AJ5" i="16"/>
  <c r="AK5" i="16" s="1"/>
  <c r="AI11" i="16"/>
  <c r="AJ11" i="16" s="1"/>
  <c r="AK11" i="16" s="1"/>
  <c r="AI42" i="16"/>
  <c r="AJ42" i="16" s="1"/>
  <c r="AK42" i="16" s="1"/>
  <c r="AJ43" i="16"/>
  <c r="AK43" i="16" s="1"/>
  <c r="AJ24" i="16"/>
  <c r="AK24" i="16" s="1"/>
  <c r="AJ24" i="15"/>
  <c r="AK24" i="15" s="1"/>
  <c r="AI42" i="15"/>
  <c r="AJ42" i="15" s="1"/>
  <c r="AK42" i="15" s="1"/>
  <c r="AJ43" i="15"/>
  <c r="AK43" i="15" s="1"/>
  <c r="AI11" i="15"/>
  <c r="AJ11" i="15" s="1"/>
  <c r="AK11" i="15" s="1"/>
  <c r="AI4" i="15"/>
  <c r="AJ5" i="15"/>
  <c r="AK5" i="15" s="1"/>
  <c r="AH11" i="14"/>
  <c r="AI11" i="14" s="1"/>
  <c r="AH5" i="14"/>
  <c r="AI5" i="14" s="1"/>
  <c r="AH24" i="14"/>
  <c r="AI24" i="14" s="1"/>
  <c r="AH42" i="14"/>
  <c r="AI42" i="14" s="1"/>
  <c r="AH43" i="14"/>
  <c r="AI43" i="14" s="1"/>
  <c r="AH66" i="13"/>
  <c r="AI42" i="13"/>
  <c r="AJ42" i="13" s="1"/>
  <c r="AI43" i="13"/>
  <c r="AJ43" i="13" s="1"/>
  <c r="AI11" i="13"/>
  <c r="AJ11" i="13" s="1"/>
  <c r="AI23" i="13"/>
  <c r="AJ23" i="13" s="1"/>
  <c r="AI24" i="13"/>
  <c r="AJ24" i="13" s="1"/>
  <c r="AI5" i="13"/>
  <c r="AJ5" i="13" s="1"/>
  <c r="J5" i="1"/>
  <c r="J4" i="1" s="1"/>
  <c r="J56" i="1"/>
  <c r="J24" i="1"/>
  <c r="J48" i="1"/>
  <c r="K9" i="1"/>
  <c r="K17" i="1"/>
  <c r="K21" i="1"/>
  <c r="K26" i="1"/>
  <c r="K30" i="1"/>
  <c r="K34" i="1"/>
  <c r="K38" i="1"/>
  <c r="K10" i="1"/>
  <c r="K15" i="1"/>
  <c r="K20" i="1"/>
  <c r="K27" i="1"/>
  <c r="K32" i="1"/>
  <c r="K37" i="1"/>
  <c r="K46" i="1"/>
  <c r="K50" i="1"/>
  <c r="K44" i="1"/>
  <c r="K54" i="1"/>
  <c r="K12" i="1"/>
  <c r="K31" i="1"/>
  <c r="K39" i="1"/>
  <c r="K40" i="1"/>
  <c r="K41" i="1"/>
  <c r="K51" i="1"/>
  <c r="K60" i="1"/>
  <c r="K64" i="1"/>
  <c r="K14" i="1"/>
  <c r="K18" i="1"/>
  <c r="K58" i="1"/>
  <c r="K16" i="1"/>
  <c r="K33" i="1"/>
  <c r="K61" i="1"/>
  <c r="K7" i="1"/>
  <c r="K49" i="1"/>
  <c r="K8" i="1"/>
  <c r="K45" i="1"/>
  <c r="K53" i="1"/>
  <c r="K55" i="1"/>
  <c r="K65" i="1"/>
  <c r="K35" i="1"/>
  <c r="K22" i="1"/>
  <c r="K47" i="1"/>
  <c r="K59" i="1"/>
  <c r="K63" i="1"/>
  <c r="K28" i="1"/>
  <c r="K52" i="1"/>
  <c r="K57" i="1"/>
  <c r="K19" i="1"/>
  <c r="I3" i="1"/>
  <c r="J13" i="1"/>
  <c r="J11" i="1" s="1"/>
  <c r="I42" i="1"/>
  <c r="I23" i="1" s="1"/>
  <c r="J62" i="1"/>
  <c r="J43" i="1"/>
  <c r="J36" i="1"/>
  <c r="J29" i="1"/>
  <c r="L2" i="1"/>
  <c r="N66" i="27" l="1"/>
  <c r="E42" i="27"/>
  <c r="E23" i="27" s="1"/>
  <c r="L66" i="27"/>
  <c r="I3" i="27"/>
  <c r="I66" i="27" s="1"/>
  <c r="G42" i="27"/>
  <c r="G23" i="27" s="1"/>
  <c r="O66" i="27"/>
  <c r="D62" i="27"/>
  <c r="M66" i="27"/>
  <c r="D56" i="27"/>
  <c r="K66" i="27"/>
  <c r="D43" i="27"/>
  <c r="D48" i="27"/>
  <c r="D24" i="27"/>
  <c r="D36" i="27"/>
  <c r="H42" i="27"/>
  <c r="H23" i="27" s="1"/>
  <c r="D29" i="27"/>
  <c r="G11" i="27"/>
  <c r="G3" i="27" s="1"/>
  <c r="E11" i="27"/>
  <c r="D13" i="27"/>
  <c r="D11" i="27" s="1"/>
  <c r="D3" i="27" s="1"/>
  <c r="H11" i="27"/>
  <c r="H3" i="27" s="1"/>
  <c r="E5" i="27"/>
  <c r="E4" i="27" s="1"/>
  <c r="AI23" i="16"/>
  <c r="AJ23" i="16" s="1"/>
  <c r="AK23" i="16" s="1"/>
  <c r="AI66" i="24"/>
  <c r="AJ66" i="24" s="1"/>
  <c r="AK66" i="24" s="1"/>
  <c r="AJ3" i="24"/>
  <c r="AK3" i="24" s="1"/>
  <c r="AI66" i="23"/>
  <c r="AJ66" i="23" s="1"/>
  <c r="AI3" i="23"/>
  <c r="AJ3" i="23" s="1"/>
  <c r="AJ3" i="22"/>
  <c r="AK3" i="22" s="1"/>
  <c r="AI66" i="22"/>
  <c r="AJ66" i="22" s="1"/>
  <c r="AK66" i="22" s="1"/>
  <c r="AI66" i="21"/>
  <c r="AJ66" i="21" s="1"/>
  <c r="AI3" i="21"/>
  <c r="AJ3" i="21" s="1"/>
  <c r="AI82" i="20"/>
  <c r="AJ82" i="20" s="1"/>
  <c r="AK82" i="20" s="1"/>
  <c r="AJ3" i="20"/>
  <c r="AK3" i="20" s="1"/>
  <c r="AI66" i="18"/>
  <c r="AJ66" i="18" s="1"/>
  <c r="AI3" i="18"/>
  <c r="AJ3" i="18" s="1"/>
  <c r="AI3" i="16"/>
  <c r="AJ4" i="16"/>
  <c r="AK4" i="16" s="1"/>
  <c r="AI3" i="15"/>
  <c r="AJ4" i="15"/>
  <c r="AK4" i="15" s="1"/>
  <c r="AI23" i="15"/>
  <c r="AJ23" i="15" s="1"/>
  <c r="AK23" i="15" s="1"/>
  <c r="AH23" i="14"/>
  <c r="AI23" i="14" s="1"/>
  <c r="AH4" i="14"/>
  <c r="AI4" i="14" s="1"/>
  <c r="AI4" i="13"/>
  <c r="AJ4" i="13" s="1"/>
  <c r="K62" i="1"/>
  <c r="K48" i="1"/>
  <c r="J42" i="1"/>
  <c r="J23" i="1" s="1"/>
  <c r="K24" i="1"/>
  <c r="K13" i="1"/>
  <c r="K11" i="1" s="1"/>
  <c r="J3" i="1"/>
  <c r="I66" i="1"/>
  <c r="K5" i="1"/>
  <c r="K43" i="1"/>
  <c r="L10" i="1"/>
  <c r="L14" i="1"/>
  <c r="L18" i="1"/>
  <c r="L22" i="1"/>
  <c r="L27" i="1"/>
  <c r="L31" i="1"/>
  <c r="L35" i="1"/>
  <c r="L39" i="1"/>
  <c r="L16" i="1"/>
  <c r="L21" i="1"/>
  <c r="L28" i="1"/>
  <c r="L33" i="1"/>
  <c r="L38" i="1"/>
  <c r="L47" i="1"/>
  <c r="L51" i="1"/>
  <c r="L55" i="1"/>
  <c r="L19" i="1"/>
  <c r="L20" i="1"/>
  <c r="L30" i="1"/>
  <c r="L46" i="1"/>
  <c r="L52" i="1"/>
  <c r="L57" i="1"/>
  <c r="L61" i="1"/>
  <c r="L65" i="1"/>
  <c r="L44" i="1"/>
  <c r="L54" i="1"/>
  <c r="L12" i="1"/>
  <c r="L32" i="1"/>
  <c r="L40" i="1"/>
  <c r="L41" i="1"/>
  <c r="L50" i="1"/>
  <c r="L60" i="1"/>
  <c r="L64" i="1"/>
  <c r="L7" i="1"/>
  <c r="L49" i="1"/>
  <c r="L59" i="1"/>
  <c r="L26" i="1"/>
  <c r="L17" i="1"/>
  <c r="L34" i="1"/>
  <c r="L37" i="1"/>
  <c r="L63" i="1"/>
  <c r="L9" i="1"/>
  <c r="L58" i="1"/>
  <c r="L8" i="1"/>
  <c r="L45" i="1"/>
  <c r="L53" i="1"/>
  <c r="L15" i="1"/>
  <c r="K56" i="1"/>
  <c r="K36" i="1"/>
  <c r="K29" i="1"/>
  <c r="M2" i="1"/>
  <c r="G66" i="27" l="1"/>
  <c r="D42" i="27"/>
  <c r="D23" i="27" s="1"/>
  <c r="D66" i="27" s="1"/>
  <c r="H66" i="27"/>
  <c r="E3" i="27"/>
  <c r="E66" i="27" s="1"/>
  <c r="AI66" i="16"/>
  <c r="AJ66" i="16" s="1"/>
  <c r="AK66" i="16" s="1"/>
  <c r="AJ3" i="16"/>
  <c r="AK3" i="16" s="1"/>
  <c r="AI66" i="15"/>
  <c r="AJ66" i="15" s="1"/>
  <c r="AK66" i="15" s="1"/>
  <c r="AJ3" i="15"/>
  <c r="AK3" i="15" s="1"/>
  <c r="AH66" i="14"/>
  <c r="AI66" i="14" s="1"/>
  <c r="AH3" i="14"/>
  <c r="AI3" i="14" s="1"/>
  <c r="AI66" i="13"/>
  <c r="AJ66" i="13" s="1"/>
  <c r="AI3" i="13"/>
  <c r="AJ3" i="13" s="1"/>
  <c r="L24" i="1"/>
  <c r="J66" i="1"/>
  <c r="L5" i="1"/>
  <c r="L4" i="1" s="1"/>
  <c r="L48" i="1"/>
  <c r="L43" i="1"/>
  <c r="L36" i="1"/>
  <c r="L62" i="1"/>
  <c r="K42" i="1"/>
  <c r="K23" i="1" s="1"/>
  <c r="K4" i="1"/>
  <c r="K3" i="1" s="1"/>
  <c r="L56" i="1"/>
  <c r="M10" i="1"/>
  <c r="M14" i="1"/>
  <c r="M18" i="1"/>
  <c r="M22" i="1"/>
  <c r="M27" i="1"/>
  <c r="M31" i="1"/>
  <c r="M35" i="1"/>
  <c r="M39" i="1"/>
  <c r="M45" i="1"/>
  <c r="M16" i="1"/>
  <c r="M21" i="1"/>
  <c r="M28" i="1"/>
  <c r="M33" i="1"/>
  <c r="M38" i="1"/>
  <c r="M47" i="1"/>
  <c r="M51" i="1"/>
  <c r="M53" i="1"/>
  <c r="M19" i="1"/>
  <c r="M20" i="1"/>
  <c r="M30" i="1"/>
  <c r="M46" i="1"/>
  <c r="M52" i="1"/>
  <c r="M57" i="1"/>
  <c r="M61" i="1"/>
  <c r="M65" i="1"/>
  <c r="M44" i="1"/>
  <c r="M54" i="1"/>
  <c r="M9" i="1"/>
  <c r="M50" i="1"/>
  <c r="M64" i="1"/>
  <c r="M7" i="1"/>
  <c r="M40" i="1"/>
  <c r="M49" i="1"/>
  <c r="M59" i="1"/>
  <c r="M12" i="1"/>
  <c r="M15" i="1"/>
  <c r="M32" i="1"/>
  <c r="M63" i="1"/>
  <c r="M26" i="1"/>
  <c r="M58" i="1"/>
  <c r="M17" i="1"/>
  <c r="M34" i="1"/>
  <c r="M37" i="1"/>
  <c r="M55" i="1"/>
  <c r="M8" i="1"/>
  <c r="M41" i="1"/>
  <c r="M60" i="1"/>
  <c r="L29" i="1"/>
  <c r="L13" i="1"/>
  <c r="L11" i="1" s="1"/>
  <c r="N2" i="1"/>
  <c r="L42" i="1" l="1"/>
  <c r="L23" i="1" s="1"/>
  <c r="M5" i="1"/>
  <c r="M4" i="1" s="1"/>
  <c r="M24" i="1"/>
  <c r="M36" i="1"/>
  <c r="M48" i="1"/>
  <c r="M56" i="1"/>
  <c r="M62" i="1"/>
  <c r="M29" i="1"/>
  <c r="K66" i="1"/>
  <c r="N7" i="1"/>
  <c r="N15" i="1"/>
  <c r="N19" i="1"/>
  <c r="N28" i="1"/>
  <c r="N32" i="1"/>
  <c r="N40" i="1"/>
  <c r="N12" i="1"/>
  <c r="N17" i="1"/>
  <c r="N22" i="1"/>
  <c r="N34" i="1"/>
  <c r="N39" i="1"/>
  <c r="N52" i="1"/>
  <c r="N45" i="1"/>
  <c r="N8" i="1"/>
  <c r="N9" i="1"/>
  <c r="N10" i="1"/>
  <c r="N18" i="1"/>
  <c r="N37" i="1"/>
  <c r="N38" i="1"/>
  <c r="N47" i="1"/>
  <c r="N58" i="1"/>
  <c r="N53" i="1"/>
  <c r="N20" i="1"/>
  <c r="N21" i="1"/>
  <c r="N30" i="1"/>
  <c r="N31" i="1"/>
  <c r="N46" i="1"/>
  <c r="N51" i="1"/>
  <c r="N57" i="1"/>
  <c r="N61" i="1"/>
  <c r="N65" i="1"/>
  <c r="N27" i="1"/>
  <c r="N60" i="1"/>
  <c r="N26" i="1"/>
  <c r="N16" i="1"/>
  <c r="N33" i="1"/>
  <c r="N50" i="1"/>
  <c r="N14" i="1"/>
  <c r="N41" i="1"/>
  <c r="N35" i="1"/>
  <c r="N64" i="1"/>
  <c r="N49" i="1"/>
  <c r="N54" i="1"/>
  <c r="N59" i="1"/>
  <c r="N55" i="1"/>
  <c r="N63" i="1"/>
  <c r="N44" i="1"/>
  <c r="L3" i="1"/>
  <c r="M43" i="1"/>
  <c r="M13" i="1"/>
  <c r="M11" i="1" s="1"/>
  <c r="O2" i="1"/>
  <c r="M3" i="1" l="1"/>
  <c r="N13" i="1"/>
  <c r="N11" i="1" s="1"/>
  <c r="M42" i="1"/>
  <c r="M23" i="1" s="1"/>
  <c r="N36" i="1"/>
  <c r="L66" i="1"/>
  <c r="N48" i="1"/>
  <c r="N43" i="1"/>
  <c r="N62" i="1"/>
  <c r="N24" i="1"/>
  <c r="N29" i="1"/>
  <c r="N5" i="1"/>
  <c r="N4" i="1" s="1"/>
  <c r="O7" i="1"/>
  <c r="O15" i="1"/>
  <c r="O19" i="1"/>
  <c r="O28" i="1"/>
  <c r="O32" i="1"/>
  <c r="O40" i="1"/>
  <c r="O44" i="1"/>
  <c r="O12" i="1"/>
  <c r="O17" i="1"/>
  <c r="O22" i="1"/>
  <c r="O34" i="1"/>
  <c r="O39" i="1"/>
  <c r="O52" i="1"/>
  <c r="O8" i="1"/>
  <c r="O9" i="1"/>
  <c r="O10" i="1"/>
  <c r="O18" i="1"/>
  <c r="O37" i="1"/>
  <c r="O38" i="1"/>
  <c r="O47" i="1"/>
  <c r="O58" i="1"/>
  <c r="O53" i="1"/>
  <c r="O16" i="1"/>
  <c r="O30" i="1"/>
  <c r="O33" i="1"/>
  <c r="O50" i="1"/>
  <c r="O64" i="1"/>
  <c r="O26" i="1"/>
  <c r="O46" i="1"/>
  <c r="O20" i="1"/>
  <c r="O27" i="1"/>
  <c r="O54" i="1"/>
  <c r="O55" i="1"/>
  <c r="O57" i="1"/>
  <c r="O41" i="1"/>
  <c r="O51" i="1"/>
  <c r="O60" i="1"/>
  <c r="O35" i="1"/>
  <c r="O61" i="1"/>
  <c r="O14" i="1"/>
  <c r="O31" i="1"/>
  <c r="O65" i="1"/>
  <c r="O21" i="1"/>
  <c r="O45" i="1"/>
  <c r="O49" i="1"/>
  <c r="O59" i="1"/>
  <c r="O63" i="1"/>
  <c r="N56" i="1"/>
  <c r="P2" i="1"/>
  <c r="M66" i="1" l="1"/>
  <c r="N42" i="1"/>
  <c r="N23" i="1" s="1"/>
  <c r="O62" i="1"/>
  <c r="O36" i="1"/>
  <c r="O13" i="1"/>
  <c r="O11" i="1" s="1"/>
  <c r="O56" i="1"/>
  <c r="O5" i="1"/>
  <c r="O4" i="1" s="1"/>
  <c r="O29" i="1"/>
  <c r="O43" i="1"/>
  <c r="N3" i="1"/>
  <c r="P8" i="1"/>
  <c r="P12" i="1"/>
  <c r="P16" i="1"/>
  <c r="P20" i="1"/>
  <c r="P33" i="1"/>
  <c r="P37" i="1"/>
  <c r="P41" i="1"/>
  <c r="P7" i="1"/>
  <c r="P18" i="1"/>
  <c r="P30" i="1"/>
  <c r="P35" i="1"/>
  <c r="P40" i="1"/>
  <c r="P44" i="1"/>
  <c r="P49" i="1"/>
  <c r="P53" i="1"/>
  <c r="P17" i="1"/>
  <c r="P26" i="1"/>
  <c r="P27" i="1"/>
  <c r="P28" i="1"/>
  <c r="P59" i="1"/>
  <c r="P63" i="1"/>
  <c r="P9" i="1"/>
  <c r="P10" i="1"/>
  <c r="P19" i="1"/>
  <c r="P38" i="1"/>
  <c r="P39" i="1"/>
  <c r="P47" i="1"/>
  <c r="P52" i="1"/>
  <c r="P58" i="1"/>
  <c r="P46" i="1"/>
  <c r="P61" i="1"/>
  <c r="P15" i="1"/>
  <c r="P50" i="1"/>
  <c r="P64" i="1"/>
  <c r="P65" i="1"/>
  <c r="P21" i="1"/>
  <c r="P45" i="1"/>
  <c r="P54" i="1"/>
  <c r="P32" i="1"/>
  <c r="P57" i="1"/>
  <c r="P22" i="1"/>
  <c r="P51" i="1"/>
  <c r="P60" i="1"/>
  <c r="P14" i="1"/>
  <c r="P31" i="1"/>
  <c r="P34" i="1"/>
  <c r="P55" i="1"/>
  <c r="O48" i="1"/>
  <c r="O24" i="1"/>
  <c r="Q2" i="1"/>
  <c r="P24" i="1" l="1"/>
  <c r="P56" i="1"/>
  <c r="O3" i="1"/>
  <c r="P29" i="1"/>
  <c r="Q8" i="1"/>
  <c r="Q12" i="1"/>
  <c r="Q16" i="1"/>
  <c r="Q20" i="1"/>
  <c r="Q33" i="1"/>
  <c r="Q37" i="1"/>
  <c r="Q41" i="1"/>
  <c r="Q45" i="1"/>
  <c r="Q7" i="1"/>
  <c r="Q18" i="1"/>
  <c r="Q30" i="1"/>
  <c r="Q35" i="1"/>
  <c r="Q40" i="1"/>
  <c r="Q44" i="1"/>
  <c r="Q49" i="1"/>
  <c r="Q55" i="1"/>
  <c r="Q17" i="1"/>
  <c r="Q26" i="1"/>
  <c r="Q27" i="1"/>
  <c r="Q28" i="1"/>
  <c r="Q59" i="1"/>
  <c r="Q63" i="1"/>
  <c r="Q10" i="1"/>
  <c r="Q58" i="1"/>
  <c r="Q34" i="1"/>
  <c r="Q21" i="1"/>
  <c r="Q38" i="1"/>
  <c r="Q54" i="1"/>
  <c r="Q57" i="1"/>
  <c r="Q19" i="1"/>
  <c r="Q22" i="1"/>
  <c r="Q39" i="1"/>
  <c r="Q51" i="1"/>
  <c r="Q46" i="1"/>
  <c r="Q61" i="1"/>
  <c r="Q14" i="1"/>
  <c r="Q31" i="1"/>
  <c r="Q52" i="1"/>
  <c r="Q65" i="1"/>
  <c r="Q9" i="1"/>
  <c r="Q15" i="1"/>
  <c r="Q60" i="1"/>
  <c r="Q50" i="1"/>
  <c r="Q64" i="1"/>
  <c r="Q53" i="1"/>
  <c r="Q32" i="1"/>
  <c r="Q47" i="1"/>
  <c r="P5" i="1"/>
  <c r="P4" i="1" s="1"/>
  <c r="N66" i="1"/>
  <c r="O42" i="1"/>
  <c r="O23" i="1" s="1"/>
  <c r="P48" i="1"/>
  <c r="P36" i="1"/>
  <c r="P62" i="1"/>
  <c r="P43" i="1"/>
  <c r="P13" i="1"/>
  <c r="P11" i="1" s="1"/>
  <c r="R2" i="1"/>
  <c r="O66" i="1" l="1"/>
  <c r="Q5" i="1"/>
  <c r="Q4" i="1" s="1"/>
  <c r="Q13" i="1"/>
  <c r="Q11" i="1" s="1"/>
  <c r="Q29" i="1"/>
  <c r="Q24" i="1"/>
  <c r="P3" i="1"/>
  <c r="Q48" i="1"/>
  <c r="R9" i="1"/>
  <c r="R17" i="1"/>
  <c r="R21" i="1"/>
  <c r="R26" i="1"/>
  <c r="R30" i="1"/>
  <c r="R34" i="1"/>
  <c r="R38" i="1"/>
  <c r="R8" i="1"/>
  <c r="R14" i="1"/>
  <c r="R19" i="1"/>
  <c r="R31" i="1"/>
  <c r="R41" i="1"/>
  <c r="R46" i="1"/>
  <c r="R50" i="1"/>
  <c r="R54" i="1"/>
  <c r="R7" i="1"/>
  <c r="R15" i="1"/>
  <c r="R16" i="1"/>
  <c r="R35" i="1"/>
  <c r="R45" i="1"/>
  <c r="R49" i="1"/>
  <c r="R60" i="1"/>
  <c r="R64" i="1"/>
  <c r="R55" i="1"/>
  <c r="R18" i="1"/>
  <c r="R27" i="1"/>
  <c r="R28" i="1"/>
  <c r="R37" i="1"/>
  <c r="R59" i="1"/>
  <c r="R63" i="1"/>
  <c r="R22" i="1"/>
  <c r="R39" i="1"/>
  <c r="R51" i="1"/>
  <c r="R12" i="1"/>
  <c r="R65" i="1"/>
  <c r="R32" i="1"/>
  <c r="R44" i="1"/>
  <c r="R47" i="1"/>
  <c r="R10" i="1"/>
  <c r="R33" i="1"/>
  <c r="R58" i="1"/>
  <c r="R53" i="1"/>
  <c r="R52" i="1"/>
  <c r="R57" i="1"/>
  <c r="R20" i="1"/>
  <c r="R40" i="1"/>
  <c r="R61" i="1"/>
  <c r="P42" i="1"/>
  <c r="P23" i="1" s="1"/>
  <c r="Q62" i="1"/>
  <c r="Q43" i="1"/>
  <c r="Q36" i="1"/>
  <c r="Q56" i="1"/>
  <c r="S2" i="1"/>
  <c r="R5" i="1" l="1"/>
  <c r="R4" i="1" s="1"/>
  <c r="Q3" i="1"/>
  <c r="S9" i="1"/>
  <c r="S17" i="1"/>
  <c r="S21" i="1"/>
  <c r="S26" i="1"/>
  <c r="S30" i="1"/>
  <c r="S34" i="1"/>
  <c r="S38" i="1"/>
  <c r="S8" i="1"/>
  <c r="S14" i="1"/>
  <c r="S19" i="1"/>
  <c r="S31" i="1"/>
  <c r="S41" i="1"/>
  <c r="S46" i="1"/>
  <c r="S50" i="1"/>
  <c r="S7" i="1"/>
  <c r="S15" i="1"/>
  <c r="S16" i="1"/>
  <c r="S35" i="1"/>
  <c r="S45" i="1"/>
  <c r="S49" i="1"/>
  <c r="S60" i="1"/>
  <c r="S64" i="1"/>
  <c r="S55" i="1"/>
  <c r="S32" i="1"/>
  <c r="S44" i="1"/>
  <c r="S47" i="1"/>
  <c r="S57" i="1"/>
  <c r="S59" i="1"/>
  <c r="S18" i="1"/>
  <c r="S12" i="1"/>
  <c r="S52" i="1"/>
  <c r="S54" i="1"/>
  <c r="S65" i="1"/>
  <c r="S63" i="1"/>
  <c r="S22" i="1"/>
  <c r="S39" i="1"/>
  <c r="S51" i="1"/>
  <c r="S28" i="1"/>
  <c r="S53" i="1"/>
  <c r="S10" i="1"/>
  <c r="S27" i="1"/>
  <c r="S33" i="1"/>
  <c r="S58" i="1"/>
  <c r="S20" i="1"/>
  <c r="S37" i="1"/>
  <c r="S40" i="1"/>
  <c r="S61" i="1"/>
  <c r="P66" i="1"/>
  <c r="R62" i="1"/>
  <c r="R43" i="1"/>
  <c r="R48" i="1"/>
  <c r="R29" i="1"/>
  <c r="R56" i="1"/>
  <c r="R36" i="1"/>
  <c r="R24" i="1"/>
  <c r="Q42" i="1"/>
  <c r="Q23" i="1" s="1"/>
  <c r="Q66" i="1" s="1"/>
  <c r="R13" i="1"/>
  <c r="R11" i="1" s="1"/>
  <c r="T2" i="1"/>
  <c r="R3" i="1" l="1"/>
  <c r="S5" i="1"/>
  <c r="S4" i="1" s="1"/>
  <c r="S62" i="1"/>
  <c r="S36" i="1"/>
  <c r="S29" i="1"/>
  <c r="S48" i="1"/>
  <c r="S24" i="1"/>
  <c r="S56" i="1"/>
  <c r="R42" i="1"/>
  <c r="R23" i="1" s="1"/>
  <c r="T10" i="1"/>
  <c r="T14" i="1"/>
  <c r="T18" i="1"/>
  <c r="T22" i="1"/>
  <c r="T27" i="1"/>
  <c r="T31" i="1"/>
  <c r="T35" i="1"/>
  <c r="T39" i="1"/>
  <c r="T9" i="1"/>
  <c r="T15" i="1"/>
  <c r="T20" i="1"/>
  <c r="T26" i="1"/>
  <c r="T32" i="1"/>
  <c r="T37" i="1"/>
  <c r="T47" i="1"/>
  <c r="T51" i="1"/>
  <c r="T55" i="1"/>
  <c r="T33" i="1"/>
  <c r="T34" i="1"/>
  <c r="T50" i="1"/>
  <c r="T54" i="1"/>
  <c r="T57" i="1"/>
  <c r="T61" i="1"/>
  <c r="T65" i="1"/>
  <c r="T7" i="1"/>
  <c r="T8" i="1"/>
  <c r="T16" i="1"/>
  <c r="T17" i="1"/>
  <c r="T45" i="1"/>
  <c r="T49" i="1"/>
  <c r="T60" i="1"/>
  <c r="T64" i="1"/>
  <c r="T19" i="1"/>
  <c r="T63" i="1"/>
  <c r="T40" i="1"/>
  <c r="T28" i="1"/>
  <c r="T59" i="1"/>
  <c r="T38" i="1"/>
  <c r="T12" i="1"/>
  <c r="T52" i="1"/>
  <c r="T30" i="1"/>
  <c r="T44" i="1"/>
  <c r="T58" i="1"/>
  <c r="T41" i="1"/>
  <c r="T46" i="1"/>
  <c r="T21" i="1"/>
  <c r="T53" i="1"/>
  <c r="S43" i="1"/>
  <c r="S13" i="1"/>
  <c r="S11" i="1" s="1"/>
  <c r="U2" i="1"/>
  <c r="R66" i="1" l="1"/>
  <c r="S42" i="1"/>
  <c r="S23" i="1" s="1"/>
  <c r="T5" i="1"/>
  <c r="T4" i="1" s="1"/>
  <c r="T29" i="1"/>
  <c r="T43" i="1"/>
  <c r="T48" i="1"/>
  <c r="T56" i="1"/>
  <c r="T36" i="1"/>
  <c r="U10" i="1"/>
  <c r="U14" i="1"/>
  <c r="U18" i="1"/>
  <c r="U22" i="1"/>
  <c r="U27" i="1"/>
  <c r="U31" i="1"/>
  <c r="U35" i="1"/>
  <c r="U39" i="1"/>
  <c r="U9" i="1"/>
  <c r="U15" i="1"/>
  <c r="U20" i="1"/>
  <c r="U26" i="1"/>
  <c r="U32" i="1"/>
  <c r="U37" i="1"/>
  <c r="U47" i="1"/>
  <c r="U51" i="1"/>
  <c r="U33" i="1"/>
  <c r="U34" i="1"/>
  <c r="U50" i="1"/>
  <c r="U54" i="1"/>
  <c r="U57" i="1"/>
  <c r="U61" i="1"/>
  <c r="U65" i="1"/>
  <c r="U12" i="1"/>
  <c r="U52" i="1"/>
  <c r="U60" i="1"/>
  <c r="U58" i="1"/>
  <c r="U40" i="1"/>
  <c r="U45" i="1"/>
  <c r="U28" i="1"/>
  <c r="U21" i="1"/>
  <c r="U38" i="1"/>
  <c r="U41" i="1"/>
  <c r="U53" i="1"/>
  <c r="U16" i="1"/>
  <c r="U19" i="1"/>
  <c r="U63" i="1"/>
  <c r="U8" i="1"/>
  <c r="U49" i="1"/>
  <c r="U55" i="1"/>
  <c r="U7" i="1"/>
  <c r="U30" i="1"/>
  <c r="U44" i="1"/>
  <c r="U17" i="1"/>
  <c r="U46" i="1"/>
  <c r="U64" i="1"/>
  <c r="U59" i="1"/>
  <c r="T24" i="1"/>
  <c r="S3" i="1"/>
  <c r="T62" i="1"/>
  <c r="T13" i="1"/>
  <c r="T11" i="1" s="1"/>
  <c r="T3" i="1" s="1"/>
  <c r="V2" i="1"/>
  <c r="S66" i="1" l="1"/>
  <c r="U5" i="1"/>
  <c r="U4" i="1" s="1"/>
  <c r="T42" i="1"/>
  <c r="T23" i="1" s="1"/>
  <c r="T66" i="1" s="1"/>
  <c r="V7" i="1"/>
  <c r="V15" i="1"/>
  <c r="V19" i="1"/>
  <c r="V28" i="1"/>
  <c r="V32" i="1"/>
  <c r="V40" i="1"/>
  <c r="V10" i="1"/>
  <c r="V16" i="1"/>
  <c r="V21" i="1"/>
  <c r="V27" i="1"/>
  <c r="V33" i="1"/>
  <c r="V38" i="1"/>
  <c r="V45" i="1"/>
  <c r="V52" i="1"/>
  <c r="V12" i="1"/>
  <c r="V14" i="1"/>
  <c r="V22" i="1"/>
  <c r="V41" i="1"/>
  <c r="V44" i="1"/>
  <c r="V46" i="1"/>
  <c r="V51" i="1"/>
  <c r="V53" i="1"/>
  <c r="V58" i="1"/>
  <c r="V26" i="1"/>
  <c r="V34" i="1"/>
  <c r="V35" i="1"/>
  <c r="V50" i="1"/>
  <c r="V54" i="1"/>
  <c r="V57" i="1"/>
  <c r="V61" i="1"/>
  <c r="V65" i="1"/>
  <c r="V37" i="1"/>
  <c r="V8" i="1"/>
  <c r="V31" i="1"/>
  <c r="V18" i="1"/>
  <c r="V9" i="1"/>
  <c r="V55" i="1"/>
  <c r="V47" i="1"/>
  <c r="V60" i="1"/>
  <c r="V17" i="1"/>
  <c r="V20" i="1"/>
  <c r="V64" i="1"/>
  <c r="V49" i="1"/>
  <c r="V59" i="1"/>
  <c r="V39" i="1"/>
  <c r="V63" i="1"/>
  <c r="V30" i="1"/>
  <c r="U43" i="1"/>
  <c r="U29" i="1"/>
  <c r="U13" i="1"/>
  <c r="U11" i="1" s="1"/>
  <c r="U48" i="1"/>
  <c r="U36" i="1"/>
  <c r="U62" i="1"/>
  <c r="U56" i="1"/>
  <c r="U24" i="1"/>
  <c r="W2" i="1"/>
  <c r="U3" i="1" l="1"/>
  <c r="V48" i="1"/>
  <c r="V36" i="1"/>
  <c r="V29" i="1"/>
  <c r="V62" i="1"/>
  <c r="V56" i="1"/>
  <c r="W7" i="1"/>
  <c r="W15" i="1"/>
  <c r="W19" i="1"/>
  <c r="W28" i="1"/>
  <c r="W32" i="1"/>
  <c r="W40" i="1"/>
  <c r="W44" i="1"/>
  <c r="W10" i="1"/>
  <c r="W16" i="1"/>
  <c r="W21" i="1"/>
  <c r="W27" i="1"/>
  <c r="W33" i="1"/>
  <c r="W38" i="1"/>
  <c r="W45" i="1"/>
  <c r="W52" i="1"/>
  <c r="W12" i="1"/>
  <c r="W14" i="1"/>
  <c r="W22" i="1"/>
  <c r="W41" i="1"/>
  <c r="W46" i="1"/>
  <c r="W51" i="1"/>
  <c r="W53" i="1"/>
  <c r="W58" i="1"/>
  <c r="W9" i="1"/>
  <c r="W26" i="1"/>
  <c r="W55" i="1"/>
  <c r="W59" i="1"/>
  <c r="W30" i="1"/>
  <c r="W34" i="1"/>
  <c r="W18" i="1"/>
  <c r="W35" i="1"/>
  <c r="W54" i="1"/>
  <c r="W65" i="1"/>
  <c r="W57" i="1"/>
  <c r="W61" i="1"/>
  <c r="W17" i="1"/>
  <c r="W20" i="1"/>
  <c r="W37" i="1"/>
  <c r="W64" i="1"/>
  <c r="W31" i="1"/>
  <c r="W49" i="1"/>
  <c r="W47" i="1"/>
  <c r="W60" i="1"/>
  <c r="W39" i="1"/>
  <c r="W50" i="1"/>
  <c r="W63" i="1"/>
  <c r="W8" i="1"/>
  <c r="V43" i="1"/>
  <c r="V5" i="1"/>
  <c r="V4" i="1" s="1"/>
  <c r="U42" i="1"/>
  <c r="U23" i="1" s="1"/>
  <c r="V24" i="1"/>
  <c r="V13" i="1"/>
  <c r="V11" i="1" s="1"/>
  <c r="X2" i="1"/>
  <c r="U66" i="1" l="1"/>
  <c r="V42" i="1"/>
  <c r="V23" i="1" s="1"/>
  <c r="W48" i="1"/>
  <c r="W24" i="1"/>
  <c r="V3" i="1"/>
  <c r="W56" i="1"/>
  <c r="W13" i="1"/>
  <c r="W11" i="1" s="1"/>
  <c r="W5" i="1"/>
  <c r="W4" i="1" s="1"/>
  <c r="W43" i="1"/>
  <c r="W62" i="1"/>
  <c r="W36" i="1"/>
  <c r="X8" i="1"/>
  <c r="X12" i="1"/>
  <c r="X16" i="1"/>
  <c r="X20" i="1"/>
  <c r="X33" i="1"/>
  <c r="X37" i="1"/>
  <c r="X41" i="1"/>
  <c r="X17" i="1"/>
  <c r="X22" i="1"/>
  <c r="X28" i="1"/>
  <c r="X34" i="1"/>
  <c r="X39" i="1"/>
  <c r="X49" i="1"/>
  <c r="X53" i="1"/>
  <c r="X21" i="1"/>
  <c r="X30" i="1"/>
  <c r="X31" i="1"/>
  <c r="X32" i="1"/>
  <c r="X40" i="1"/>
  <c r="X47" i="1"/>
  <c r="X52" i="1"/>
  <c r="X59" i="1"/>
  <c r="X63" i="1"/>
  <c r="X44" i="1"/>
  <c r="X14" i="1"/>
  <c r="X15" i="1"/>
  <c r="X46" i="1"/>
  <c r="X51" i="1"/>
  <c r="X58" i="1"/>
  <c r="X18" i="1"/>
  <c r="X35" i="1"/>
  <c r="X38" i="1"/>
  <c r="X54" i="1"/>
  <c r="X65" i="1"/>
  <c r="X50" i="1"/>
  <c r="X9" i="1"/>
  <c r="X26" i="1"/>
  <c r="X55" i="1"/>
  <c r="X60" i="1"/>
  <c r="X61" i="1"/>
  <c r="X19" i="1"/>
  <c r="X57" i="1"/>
  <c r="X7" i="1"/>
  <c r="X10" i="1"/>
  <c r="X27" i="1"/>
  <c r="X45" i="1"/>
  <c r="X64" i="1"/>
  <c r="W29" i="1"/>
  <c r="Y2" i="1"/>
  <c r="X5" i="1" l="1"/>
  <c r="X4" i="1" s="1"/>
  <c r="X56" i="1"/>
  <c r="X62" i="1"/>
  <c r="Y8" i="1"/>
  <c r="Y12" i="1"/>
  <c r="Y16" i="1"/>
  <c r="Y20" i="1"/>
  <c r="Y33" i="1"/>
  <c r="Y37" i="1"/>
  <c r="Y41" i="1"/>
  <c r="Y45" i="1"/>
  <c r="Y44" i="1"/>
  <c r="Y17" i="1"/>
  <c r="Y22" i="1"/>
  <c r="Y28" i="1"/>
  <c r="Y34" i="1"/>
  <c r="Y39" i="1"/>
  <c r="Y49" i="1"/>
  <c r="Y21" i="1"/>
  <c r="Y30" i="1"/>
  <c r="Y31" i="1"/>
  <c r="Y32" i="1"/>
  <c r="Y40" i="1"/>
  <c r="Y47" i="1"/>
  <c r="Y52" i="1"/>
  <c r="Y59" i="1"/>
  <c r="Y63" i="1"/>
  <c r="Y53" i="1"/>
  <c r="Y14" i="1"/>
  <c r="Y50" i="1"/>
  <c r="Y15" i="1"/>
  <c r="Y64" i="1"/>
  <c r="Y18" i="1"/>
  <c r="Y35" i="1"/>
  <c r="Y38" i="1"/>
  <c r="Y54" i="1"/>
  <c r="Y65" i="1"/>
  <c r="Y57" i="1"/>
  <c r="Y7" i="1"/>
  <c r="Y10" i="1"/>
  <c r="Y46" i="1"/>
  <c r="Y60" i="1"/>
  <c r="Y58" i="1"/>
  <c r="Y61" i="1"/>
  <c r="Y9" i="1"/>
  <c r="Y26" i="1"/>
  <c r="Y51" i="1"/>
  <c r="Y55" i="1"/>
  <c r="Y19" i="1"/>
  <c r="X36" i="1"/>
  <c r="W42" i="1"/>
  <c r="W23" i="1" s="1"/>
  <c r="X24" i="1"/>
  <c r="X48" i="1"/>
  <c r="W3" i="1"/>
  <c r="X13" i="1"/>
  <c r="X11" i="1" s="1"/>
  <c r="X43" i="1"/>
  <c r="X29" i="1"/>
  <c r="V66" i="1"/>
  <c r="Z2" i="1"/>
  <c r="X3" i="1" l="1"/>
  <c r="Y5" i="1"/>
  <c r="Y4" i="1" s="1"/>
  <c r="Y13" i="1"/>
  <c r="Y11" i="1" s="1"/>
  <c r="Y36" i="1"/>
  <c r="Y56" i="1"/>
  <c r="Z9" i="1"/>
  <c r="Z17" i="1"/>
  <c r="Z21" i="1"/>
  <c r="Z26" i="1"/>
  <c r="Z30" i="1"/>
  <c r="Z34" i="1"/>
  <c r="Z38" i="1"/>
  <c r="Z7" i="1"/>
  <c r="Z12" i="1"/>
  <c r="Z18" i="1"/>
  <c r="Z35" i="1"/>
  <c r="Z40" i="1"/>
  <c r="Z46" i="1"/>
  <c r="Z50" i="1"/>
  <c r="Z54" i="1"/>
  <c r="Z44" i="1"/>
  <c r="Z10" i="1"/>
  <c r="Z19" i="1"/>
  <c r="Z20" i="1"/>
  <c r="Z39" i="1"/>
  <c r="Z55" i="1"/>
  <c r="Z60" i="1"/>
  <c r="Z64" i="1"/>
  <c r="Z22" i="1"/>
  <c r="Z31" i="1"/>
  <c r="Z32" i="1"/>
  <c r="Z33" i="1"/>
  <c r="Z41" i="1"/>
  <c r="Z47" i="1"/>
  <c r="Z52" i="1"/>
  <c r="Z59" i="1"/>
  <c r="Z63" i="1"/>
  <c r="Z15" i="1"/>
  <c r="Z53" i="1"/>
  <c r="Z57" i="1"/>
  <c r="Z58" i="1"/>
  <c r="Z8" i="1"/>
  <c r="Z28" i="1"/>
  <c r="Z45" i="1"/>
  <c r="Z27" i="1"/>
  <c r="Z37" i="1"/>
  <c r="Z49" i="1"/>
  <c r="Z61" i="1"/>
  <c r="Z16" i="1"/>
  <c r="Z65" i="1"/>
  <c r="Z51" i="1"/>
  <c r="Z14" i="1"/>
  <c r="W66" i="1"/>
  <c r="Y29" i="1"/>
  <c r="Y43" i="1"/>
  <c r="Y62" i="1"/>
  <c r="X42" i="1"/>
  <c r="X23" i="1" s="1"/>
  <c r="Y48" i="1"/>
  <c r="AA2" i="1"/>
  <c r="X66" i="1" l="1"/>
  <c r="Y3" i="1"/>
  <c r="Z48" i="1"/>
  <c r="Z36" i="1"/>
  <c r="Z24" i="1"/>
  <c r="AA9" i="1"/>
  <c r="AA17" i="1"/>
  <c r="AA21" i="1"/>
  <c r="AA26" i="1"/>
  <c r="AA30" i="1"/>
  <c r="AA34" i="1"/>
  <c r="AA38" i="1"/>
  <c r="AA7" i="1"/>
  <c r="AA12" i="1"/>
  <c r="AA18" i="1"/>
  <c r="AA35" i="1"/>
  <c r="AA40" i="1"/>
  <c r="AA46" i="1"/>
  <c r="AA50" i="1"/>
  <c r="AA10" i="1"/>
  <c r="AA19" i="1"/>
  <c r="AA20" i="1"/>
  <c r="AA39" i="1"/>
  <c r="AA55" i="1"/>
  <c r="AA60" i="1"/>
  <c r="AA64" i="1"/>
  <c r="AA44" i="1"/>
  <c r="AA8" i="1"/>
  <c r="AA28" i="1"/>
  <c r="AA41" i="1"/>
  <c r="AA45" i="1"/>
  <c r="AA49" i="1"/>
  <c r="AA61" i="1"/>
  <c r="AA14" i="1"/>
  <c r="AA31" i="1"/>
  <c r="AA37" i="1"/>
  <c r="AA58" i="1"/>
  <c r="AA15" i="1"/>
  <c r="AA32" i="1"/>
  <c r="AA52" i="1"/>
  <c r="AA53" i="1"/>
  <c r="AA59" i="1"/>
  <c r="AA16" i="1"/>
  <c r="AA51" i="1"/>
  <c r="AA63" i="1"/>
  <c r="AA27" i="1"/>
  <c r="AA22" i="1"/>
  <c r="AA54" i="1"/>
  <c r="AA33" i="1"/>
  <c r="AA47" i="1"/>
  <c r="AA65" i="1"/>
  <c r="AA57" i="1"/>
  <c r="Y42" i="1"/>
  <c r="Z56" i="1"/>
  <c r="Z62" i="1"/>
  <c r="Z43" i="1"/>
  <c r="Z5" i="1"/>
  <c r="Z4" i="1" s="1"/>
  <c r="Z13" i="1"/>
  <c r="Z11" i="1" s="1"/>
  <c r="Z29" i="1"/>
  <c r="AB2" i="1"/>
  <c r="AA62" i="1" l="1"/>
  <c r="AA36" i="1"/>
  <c r="AA13" i="1"/>
  <c r="AA11" i="1" s="1"/>
  <c r="AA29" i="1"/>
  <c r="AB10" i="1"/>
  <c r="AB14" i="1"/>
  <c r="AB18" i="1"/>
  <c r="AB22" i="1"/>
  <c r="AB27" i="1"/>
  <c r="AB31" i="1"/>
  <c r="AB35" i="1"/>
  <c r="AB39" i="1"/>
  <c r="AB8" i="1"/>
  <c r="AB19" i="1"/>
  <c r="AB30" i="1"/>
  <c r="AB41" i="1"/>
  <c r="AB47" i="1"/>
  <c r="AB51" i="1"/>
  <c r="AB55" i="1"/>
  <c r="AB9" i="1"/>
  <c r="AB28" i="1"/>
  <c r="AB37" i="1"/>
  <c r="AB38" i="1"/>
  <c r="AB49" i="1"/>
  <c r="AB57" i="1"/>
  <c r="AB61" i="1"/>
  <c r="AB65" i="1"/>
  <c r="AB12" i="1"/>
  <c r="AB20" i="1"/>
  <c r="AB21" i="1"/>
  <c r="AB40" i="1"/>
  <c r="AB60" i="1"/>
  <c r="AB64" i="1"/>
  <c r="AB58" i="1"/>
  <c r="AB7" i="1"/>
  <c r="AB46" i="1"/>
  <c r="AB63" i="1"/>
  <c r="AB45" i="1"/>
  <c r="AB16" i="1"/>
  <c r="AB33" i="1"/>
  <c r="AB17" i="1"/>
  <c r="AB15" i="1"/>
  <c r="AB32" i="1"/>
  <c r="AB52" i="1"/>
  <c r="AB53" i="1"/>
  <c r="AB59" i="1"/>
  <c r="AB26" i="1"/>
  <c r="AB44" i="1"/>
  <c r="AB54" i="1"/>
  <c r="AB34" i="1"/>
  <c r="AB50" i="1"/>
  <c r="Z3" i="1"/>
  <c r="Z42" i="1"/>
  <c r="Z23" i="1" s="1"/>
  <c r="AA24" i="1"/>
  <c r="AA56" i="1"/>
  <c r="AA48" i="1"/>
  <c r="AA5" i="1"/>
  <c r="AA4" i="1" s="1"/>
  <c r="AA43" i="1"/>
  <c r="AC2" i="1"/>
  <c r="AB62" i="1" l="1"/>
  <c r="AB36" i="1"/>
  <c r="AC10" i="1"/>
  <c r="AC14" i="1"/>
  <c r="AC18" i="1"/>
  <c r="AC22" i="1"/>
  <c r="AC27" i="1"/>
  <c r="AC31" i="1"/>
  <c r="AC35" i="1"/>
  <c r="AC39" i="1"/>
  <c r="AC8" i="1"/>
  <c r="AC19" i="1"/>
  <c r="AC30" i="1"/>
  <c r="AC41" i="1"/>
  <c r="AC47" i="1"/>
  <c r="AC51" i="1"/>
  <c r="AC45" i="1"/>
  <c r="AC54" i="1"/>
  <c r="AC9" i="1"/>
  <c r="AC28" i="1"/>
  <c r="AC37" i="1"/>
  <c r="AC38" i="1"/>
  <c r="AC49" i="1"/>
  <c r="AC57" i="1"/>
  <c r="AC61" i="1"/>
  <c r="AC65" i="1"/>
  <c r="AC55" i="1"/>
  <c r="AC21" i="1"/>
  <c r="AC64" i="1"/>
  <c r="AC60" i="1"/>
  <c r="AC7" i="1"/>
  <c r="AC20" i="1"/>
  <c r="AC40" i="1"/>
  <c r="AC17" i="1"/>
  <c r="AC34" i="1"/>
  <c r="AC50" i="1"/>
  <c r="AC12" i="1"/>
  <c r="AC58" i="1"/>
  <c r="AC59" i="1"/>
  <c r="AC26" i="1"/>
  <c r="AC44" i="1"/>
  <c r="AC16" i="1"/>
  <c r="AC33" i="1"/>
  <c r="AC46" i="1"/>
  <c r="AC63" i="1"/>
  <c r="AC15" i="1"/>
  <c r="AC32" i="1"/>
  <c r="AC52" i="1"/>
  <c r="AC53" i="1"/>
  <c r="AA3" i="1"/>
  <c r="AB56" i="1"/>
  <c r="AB43" i="1"/>
  <c r="AB48" i="1"/>
  <c r="AB24" i="1"/>
  <c r="AB29" i="1"/>
  <c r="AB13" i="1"/>
  <c r="AB11" i="1" s="1"/>
  <c r="AA42" i="1"/>
  <c r="AA23" i="1" s="1"/>
  <c r="Z66" i="1"/>
  <c r="AB5" i="1"/>
  <c r="AB4" i="1" s="1"/>
  <c r="AD2" i="1"/>
  <c r="AB3" i="1" l="1"/>
  <c r="AC5" i="1"/>
  <c r="AC4" i="1" s="1"/>
  <c r="AC62" i="1"/>
  <c r="AC36" i="1"/>
  <c r="AA66" i="1"/>
  <c r="AC43" i="1"/>
  <c r="AC24" i="1"/>
  <c r="AC56" i="1"/>
  <c r="AC48" i="1"/>
  <c r="AD7" i="1"/>
  <c r="AD15" i="1"/>
  <c r="AD19" i="1"/>
  <c r="AD28" i="1"/>
  <c r="AD32" i="1"/>
  <c r="AD40" i="1"/>
  <c r="AD9" i="1"/>
  <c r="AD14" i="1"/>
  <c r="AD20" i="1"/>
  <c r="AD26" i="1"/>
  <c r="AD31" i="1"/>
  <c r="AD37" i="1"/>
  <c r="AD52" i="1"/>
  <c r="AD8" i="1"/>
  <c r="AD16" i="1"/>
  <c r="AD17" i="1"/>
  <c r="AD18" i="1"/>
  <c r="AD27" i="1"/>
  <c r="AD50" i="1"/>
  <c r="AD58" i="1"/>
  <c r="AD45" i="1"/>
  <c r="AD54" i="1"/>
  <c r="AD10" i="1"/>
  <c r="AD30" i="1"/>
  <c r="AD38" i="1"/>
  <c r="AD39" i="1"/>
  <c r="AD49" i="1"/>
  <c r="AD57" i="1"/>
  <c r="AD61" i="1"/>
  <c r="AD65" i="1"/>
  <c r="AD34" i="1"/>
  <c r="AD53" i="1"/>
  <c r="AD46" i="1"/>
  <c r="AD21" i="1"/>
  <c r="AD41" i="1"/>
  <c r="AD64" i="1"/>
  <c r="AD55" i="1"/>
  <c r="AD47" i="1"/>
  <c r="AD59" i="1"/>
  <c r="AD44" i="1"/>
  <c r="AD33" i="1"/>
  <c r="AD63" i="1"/>
  <c r="AD12" i="1"/>
  <c r="AD35" i="1"/>
  <c r="AD22" i="1"/>
  <c r="AD51" i="1"/>
  <c r="AD60" i="1"/>
  <c r="AC29" i="1"/>
  <c r="AC13" i="1"/>
  <c r="AC11" i="1" s="1"/>
  <c r="AB42" i="1"/>
  <c r="AB23" i="1" s="1"/>
  <c r="AE2" i="1"/>
  <c r="AB66" i="1" l="1"/>
  <c r="AD62" i="1"/>
  <c r="AD24" i="1"/>
  <c r="AD5" i="1"/>
  <c r="AD4" i="1" s="1"/>
  <c r="AD43" i="1"/>
  <c r="AD29" i="1"/>
  <c r="AD13" i="1"/>
  <c r="AD11" i="1" s="1"/>
  <c r="AC3" i="1"/>
  <c r="AE7" i="1"/>
  <c r="AE15" i="1"/>
  <c r="AE19" i="1"/>
  <c r="AE28" i="1"/>
  <c r="AE32" i="1"/>
  <c r="AE40" i="1"/>
  <c r="AE44" i="1"/>
  <c r="AE45" i="1"/>
  <c r="AE9" i="1"/>
  <c r="AE14" i="1"/>
  <c r="AE20" i="1"/>
  <c r="AE26" i="1"/>
  <c r="AE31" i="1"/>
  <c r="AE37" i="1"/>
  <c r="AE52" i="1"/>
  <c r="AE53" i="1"/>
  <c r="AE8" i="1"/>
  <c r="AE16" i="1"/>
  <c r="AE17" i="1"/>
  <c r="AE18" i="1"/>
  <c r="AE27" i="1"/>
  <c r="AE50" i="1"/>
  <c r="AE58" i="1"/>
  <c r="AE54" i="1"/>
  <c r="AE46" i="1"/>
  <c r="AE63" i="1"/>
  <c r="AE55" i="1"/>
  <c r="AE65" i="1"/>
  <c r="AE10" i="1"/>
  <c r="AE47" i="1"/>
  <c r="AE33" i="1"/>
  <c r="AE60" i="1"/>
  <c r="AE34" i="1"/>
  <c r="AE49" i="1"/>
  <c r="AE61" i="1"/>
  <c r="AE22" i="1"/>
  <c r="AE39" i="1"/>
  <c r="AE30" i="1"/>
  <c r="AE21" i="1"/>
  <c r="AE38" i="1"/>
  <c r="AE41" i="1"/>
  <c r="AE64" i="1"/>
  <c r="AE12" i="1"/>
  <c r="AE35" i="1"/>
  <c r="AE59" i="1"/>
  <c r="AE51" i="1"/>
  <c r="AE57" i="1"/>
  <c r="AD56" i="1"/>
  <c r="AD36" i="1"/>
  <c r="AC42" i="1"/>
  <c r="AC23" i="1" s="1"/>
  <c r="AD48" i="1"/>
  <c r="AF2" i="1"/>
  <c r="AE48" i="1" l="1"/>
  <c r="AE24" i="1"/>
  <c r="AE5" i="1"/>
  <c r="AE4" i="1" s="1"/>
  <c r="AE56" i="1"/>
  <c r="AE43" i="1"/>
  <c r="AC66" i="1"/>
  <c r="AE29" i="1"/>
  <c r="AE36" i="1"/>
  <c r="AF8" i="1"/>
  <c r="AF12" i="1"/>
  <c r="AF16" i="1"/>
  <c r="AF20" i="1"/>
  <c r="AF33" i="1"/>
  <c r="AF37" i="1"/>
  <c r="AF41" i="1"/>
  <c r="AF10" i="1"/>
  <c r="AF15" i="1"/>
  <c r="AF21" i="1"/>
  <c r="AF27" i="1"/>
  <c r="AF32" i="1"/>
  <c r="AF38" i="1"/>
  <c r="AF49" i="1"/>
  <c r="AF53" i="1"/>
  <c r="AF45" i="1"/>
  <c r="AF7" i="1"/>
  <c r="AF26" i="1"/>
  <c r="AF34" i="1"/>
  <c r="AF35" i="1"/>
  <c r="AF46" i="1"/>
  <c r="AF51" i="1"/>
  <c r="AF59" i="1"/>
  <c r="AF63" i="1"/>
  <c r="AF9" i="1"/>
  <c r="AF17" i="1"/>
  <c r="AF18" i="1"/>
  <c r="AF19" i="1"/>
  <c r="AF28" i="1"/>
  <c r="AF50" i="1"/>
  <c r="AF58" i="1"/>
  <c r="AF14" i="1"/>
  <c r="AF31" i="1"/>
  <c r="AF60" i="1"/>
  <c r="AF52" i="1"/>
  <c r="AF54" i="1"/>
  <c r="AF22" i="1"/>
  <c r="AF30" i="1"/>
  <c r="AF40" i="1"/>
  <c r="AF57" i="1"/>
  <c r="AF64" i="1"/>
  <c r="AF39" i="1"/>
  <c r="AF55" i="1"/>
  <c r="AF44" i="1"/>
  <c r="AF47" i="1"/>
  <c r="AF61" i="1"/>
  <c r="AF65" i="1"/>
  <c r="AD42" i="1"/>
  <c r="AD23" i="1" s="1"/>
  <c r="AD3" i="1"/>
  <c r="AE62" i="1"/>
  <c r="AE13" i="1"/>
  <c r="AE11" i="1" s="1"/>
  <c r="AG2" i="1"/>
  <c r="AF5" i="1" l="1"/>
  <c r="AF4" i="1" s="1"/>
  <c r="AF24" i="1"/>
  <c r="AF13" i="1"/>
  <c r="AF11" i="1" s="1"/>
  <c r="AF62" i="1"/>
  <c r="AF56" i="1"/>
  <c r="AG8" i="1"/>
  <c r="AG12" i="1"/>
  <c r="AG16" i="1"/>
  <c r="AG20" i="1"/>
  <c r="AG33" i="1"/>
  <c r="AG37" i="1"/>
  <c r="AG41" i="1"/>
  <c r="AG45" i="1"/>
  <c r="AG10" i="1"/>
  <c r="AG15" i="1"/>
  <c r="AG21" i="1"/>
  <c r="AG27" i="1"/>
  <c r="AG32" i="1"/>
  <c r="AG38" i="1"/>
  <c r="AG49" i="1"/>
  <c r="AG7" i="1"/>
  <c r="AG26" i="1"/>
  <c r="AG34" i="1"/>
  <c r="AG35" i="1"/>
  <c r="AG46" i="1"/>
  <c r="AG51" i="1"/>
  <c r="AG53" i="1"/>
  <c r="AG59" i="1"/>
  <c r="AG63" i="1"/>
  <c r="AG17" i="1"/>
  <c r="AG40" i="1"/>
  <c r="AG50" i="1"/>
  <c r="AG57" i="1"/>
  <c r="AG64" i="1"/>
  <c r="AG52" i="1"/>
  <c r="AG22" i="1"/>
  <c r="AG55" i="1"/>
  <c r="AG30" i="1"/>
  <c r="AG44" i="1"/>
  <c r="AG47" i="1"/>
  <c r="AG14" i="1"/>
  <c r="AG28" i="1"/>
  <c r="AG31" i="1"/>
  <c r="AG60" i="1"/>
  <c r="AG61" i="1"/>
  <c r="AG19" i="1"/>
  <c r="AG54" i="1"/>
  <c r="AG39" i="1"/>
  <c r="AG18" i="1"/>
  <c r="AG58" i="1"/>
  <c r="AG9" i="1"/>
  <c r="AG65" i="1"/>
  <c r="AD66" i="1"/>
  <c r="AF29" i="1"/>
  <c r="AF48" i="1"/>
  <c r="AF36" i="1"/>
  <c r="AE42" i="1"/>
  <c r="AE23" i="1" s="1"/>
  <c r="AF43" i="1"/>
  <c r="AE3" i="1"/>
  <c r="AH2" i="1"/>
  <c r="AG29" i="1" l="1"/>
  <c r="AG24" i="1"/>
  <c r="AG43" i="1"/>
  <c r="AF3" i="1"/>
  <c r="AE66" i="1"/>
  <c r="AG62" i="1"/>
  <c r="AG5" i="1"/>
  <c r="AG4" i="1" s="1"/>
  <c r="AH9" i="1"/>
  <c r="AH17" i="1"/>
  <c r="AH21" i="1"/>
  <c r="AH26" i="1"/>
  <c r="AH30" i="1"/>
  <c r="AH34" i="1"/>
  <c r="AH38" i="1"/>
  <c r="AH16" i="1"/>
  <c r="AH22" i="1"/>
  <c r="AH28" i="1"/>
  <c r="AH33" i="1"/>
  <c r="AH39" i="1"/>
  <c r="AH44" i="1"/>
  <c r="AH46" i="1"/>
  <c r="AH50" i="1"/>
  <c r="AH54" i="1"/>
  <c r="AH14" i="1"/>
  <c r="AH15" i="1"/>
  <c r="AH47" i="1"/>
  <c r="AH52" i="1"/>
  <c r="AH60" i="1"/>
  <c r="AH64" i="1"/>
  <c r="AH7" i="1"/>
  <c r="AH8" i="1"/>
  <c r="AH27" i="1"/>
  <c r="AH35" i="1"/>
  <c r="AH37" i="1"/>
  <c r="AH45" i="1"/>
  <c r="AH51" i="1"/>
  <c r="AH53" i="1"/>
  <c r="AH59" i="1"/>
  <c r="AH63" i="1"/>
  <c r="AH61" i="1"/>
  <c r="AH19" i="1"/>
  <c r="AH20" i="1"/>
  <c r="AH55" i="1"/>
  <c r="AH40" i="1"/>
  <c r="AH57" i="1"/>
  <c r="AH58" i="1"/>
  <c r="AH12" i="1"/>
  <c r="AH32" i="1"/>
  <c r="AH65" i="1"/>
  <c r="AH31" i="1"/>
  <c r="AH49" i="1"/>
  <c r="AH18" i="1"/>
  <c r="AH41" i="1"/>
  <c r="AH10" i="1"/>
  <c r="AG48" i="1"/>
  <c r="AG36" i="1"/>
  <c r="AF42" i="1"/>
  <c r="AF23" i="1" s="1"/>
  <c r="AG13" i="1"/>
  <c r="AG11" i="1" s="1"/>
  <c r="AG56" i="1"/>
  <c r="AI2" i="1"/>
  <c r="AF66" i="1" l="1"/>
  <c r="AH48" i="1"/>
  <c r="AG42" i="1"/>
  <c r="AG23" i="1" s="1"/>
  <c r="AH36" i="1"/>
  <c r="AH13" i="1"/>
  <c r="AH11" i="1" s="1"/>
  <c r="AG3" i="1"/>
  <c r="AH5" i="1"/>
  <c r="AH4" i="1" s="1"/>
  <c r="AH56" i="1"/>
  <c r="AH43" i="1"/>
  <c r="AH29" i="1"/>
  <c r="AH62" i="1"/>
  <c r="AI9" i="1"/>
  <c r="AI17" i="1"/>
  <c r="AJ17" i="1" s="1"/>
  <c r="AI21" i="1"/>
  <c r="AJ21" i="1" s="1"/>
  <c r="AI26" i="1"/>
  <c r="AI30" i="1"/>
  <c r="AI34" i="1"/>
  <c r="AJ34" i="1" s="1"/>
  <c r="AI38" i="1"/>
  <c r="AJ38" i="1" s="1"/>
  <c r="AI16" i="1"/>
  <c r="AJ16" i="1" s="1"/>
  <c r="AI22" i="1"/>
  <c r="AJ22" i="1" s="1"/>
  <c r="AI28" i="1"/>
  <c r="AJ28" i="1" s="1"/>
  <c r="AI33" i="1"/>
  <c r="AJ33" i="1" s="1"/>
  <c r="AI39" i="1"/>
  <c r="AJ39" i="1" s="1"/>
  <c r="AI44" i="1"/>
  <c r="AI46" i="1"/>
  <c r="AJ46" i="1" s="1"/>
  <c r="AI50" i="1"/>
  <c r="AJ50" i="1" s="1"/>
  <c r="AI55" i="1"/>
  <c r="AJ55" i="1" s="1"/>
  <c r="AI14" i="1"/>
  <c r="AI15" i="1"/>
  <c r="AJ15" i="1" s="1"/>
  <c r="AI47" i="1"/>
  <c r="AJ47" i="1" s="1"/>
  <c r="AI52" i="1"/>
  <c r="AJ52" i="1" s="1"/>
  <c r="AI60" i="1"/>
  <c r="AJ60" i="1" s="1"/>
  <c r="AI64" i="1"/>
  <c r="AJ64" i="1" s="1"/>
  <c r="AI20" i="1"/>
  <c r="AJ20" i="1" s="1"/>
  <c r="AI37" i="1"/>
  <c r="AI65" i="1"/>
  <c r="AJ65" i="1" s="1"/>
  <c r="AI12" i="1"/>
  <c r="AI32" i="1"/>
  <c r="AJ32" i="1" s="1"/>
  <c r="AI59" i="1"/>
  <c r="AJ59" i="1" s="1"/>
  <c r="AI7" i="1"/>
  <c r="AI10" i="1"/>
  <c r="AJ10" i="1" s="1"/>
  <c r="AI27" i="1"/>
  <c r="AI51" i="1"/>
  <c r="AJ51" i="1" s="1"/>
  <c r="AI8" i="1"/>
  <c r="AJ8" i="1" s="1"/>
  <c r="AI63" i="1"/>
  <c r="AI49" i="1"/>
  <c r="AI18" i="1"/>
  <c r="AJ18" i="1" s="1"/>
  <c r="AI35" i="1"/>
  <c r="AJ35" i="1" s="1"/>
  <c r="AI41" i="1"/>
  <c r="AJ41" i="1" s="1"/>
  <c r="AI58" i="1"/>
  <c r="AJ58" i="1" s="1"/>
  <c r="AI19" i="1"/>
  <c r="AJ19" i="1" s="1"/>
  <c r="AI40" i="1"/>
  <c r="AJ40" i="1" s="1"/>
  <c r="AI45" i="1"/>
  <c r="AJ45" i="1" s="1"/>
  <c r="AI57" i="1"/>
  <c r="AI31" i="1"/>
  <c r="AJ31" i="1" s="1"/>
  <c r="AI53" i="1"/>
  <c r="AJ53" i="1" s="1"/>
  <c r="AK53" i="1" s="1"/>
  <c r="AI61" i="1"/>
  <c r="AJ61" i="1" s="1"/>
  <c r="AI54" i="1"/>
  <c r="AJ54" i="1" s="1"/>
  <c r="AH24" i="1"/>
  <c r="AK54" i="1" l="1"/>
  <c r="F54" i="27"/>
  <c r="P54" i="27" s="1"/>
  <c r="AK35" i="1"/>
  <c r="F35" i="27"/>
  <c r="P35" i="27" s="1"/>
  <c r="AK60" i="1"/>
  <c r="F60" i="27"/>
  <c r="P60" i="27" s="1"/>
  <c r="AK39" i="1"/>
  <c r="F39" i="27"/>
  <c r="P39" i="27" s="1"/>
  <c r="AK32" i="1"/>
  <c r="F32" i="27"/>
  <c r="P32" i="27" s="1"/>
  <c r="AK47" i="1"/>
  <c r="F47" i="27"/>
  <c r="P47" i="27" s="1"/>
  <c r="AK33" i="1"/>
  <c r="F33" i="27"/>
  <c r="P33" i="27" s="1"/>
  <c r="AK59" i="1"/>
  <c r="F59" i="27"/>
  <c r="P59" i="27" s="1"/>
  <c r="AK52" i="1"/>
  <c r="F52" i="27"/>
  <c r="P52" i="27" s="1"/>
  <c r="AK45" i="1"/>
  <c r="F45" i="27"/>
  <c r="P45" i="27" s="1"/>
  <c r="AK28" i="1"/>
  <c r="F28" i="27"/>
  <c r="P28" i="27" s="1"/>
  <c r="AK31" i="1"/>
  <c r="F31" i="27"/>
  <c r="P31" i="27" s="1"/>
  <c r="AK40" i="1"/>
  <c r="F40" i="27"/>
  <c r="P40" i="27" s="1"/>
  <c r="AK65" i="1"/>
  <c r="F65" i="27"/>
  <c r="P65" i="27" s="1"/>
  <c r="AK50" i="1"/>
  <c r="F50" i="27"/>
  <c r="P50" i="27" s="1"/>
  <c r="AK51" i="1"/>
  <c r="F51" i="27"/>
  <c r="P51" i="27" s="1"/>
  <c r="AK55" i="1"/>
  <c r="F55" i="27"/>
  <c r="P55" i="27" s="1"/>
  <c r="AK38" i="1"/>
  <c r="F38" i="27"/>
  <c r="P38" i="27" s="1"/>
  <c r="AK58" i="1"/>
  <c r="F58" i="27"/>
  <c r="P58" i="27" s="1"/>
  <c r="AK61" i="1"/>
  <c r="F61" i="27"/>
  <c r="P61" i="27" s="1"/>
  <c r="AK41" i="1"/>
  <c r="F41" i="27"/>
  <c r="P41" i="27" s="1"/>
  <c r="AK64" i="1"/>
  <c r="F64" i="27"/>
  <c r="P64" i="27" s="1"/>
  <c r="AK46" i="1"/>
  <c r="F46" i="27"/>
  <c r="P46" i="27" s="1"/>
  <c r="AK34" i="1"/>
  <c r="F34" i="27"/>
  <c r="P34" i="27" s="1"/>
  <c r="AK18" i="1"/>
  <c r="F18" i="27"/>
  <c r="P18" i="27" s="1"/>
  <c r="AK21" i="1"/>
  <c r="F21" i="27"/>
  <c r="P21" i="27" s="1"/>
  <c r="AK15" i="1"/>
  <c r="F15" i="27"/>
  <c r="P15" i="27" s="1"/>
  <c r="AK17" i="1"/>
  <c r="F17" i="27"/>
  <c r="P17" i="27" s="1"/>
  <c r="AK8" i="1"/>
  <c r="F8" i="27"/>
  <c r="P8" i="27" s="1"/>
  <c r="AK22" i="1"/>
  <c r="F22" i="27"/>
  <c r="P22" i="27" s="1"/>
  <c r="AK16" i="1"/>
  <c r="F16" i="27"/>
  <c r="P16" i="27" s="1"/>
  <c r="AK19" i="1"/>
  <c r="F19" i="27"/>
  <c r="P19" i="27" s="1"/>
  <c r="AK20" i="1"/>
  <c r="F20" i="27"/>
  <c r="P20" i="27" s="1"/>
  <c r="AK10" i="1"/>
  <c r="F10" i="27"/>
  <c r="P10" i="27" s="1"/>
  <c r="AG66" i="1"/>
  <c r="AH42" i="1"/>
  <c r="AH23" i="1" s="1"/>
  <c r="AH3" i="1"/>
  <c r="AI36" i="1"/>
  <c r="AJ36" i="1" s="1"/>
  <c r="AK36" i="1" s="1"/>
  <c r="AJ37" i="1"/>
  <c r="AI62" i="1"/>
  <c r="AJ62" i="1" s="1"/>
  <c r="AK62" i="1" s="1"/>
  <c r="AJ63" i="1"/>
  <c r="AI5" i="1"/>
  <c r="AJ7" i="1"/>
  <c r="AI43" i="1"/>
  <c r="AJ44" i="1"/>
  <c r="AI29" i="1"/>
  <c r="AJ29" i="1" s="1"/>
  <c r="AK29" i="1" s="1"/>
  <c r="AJ30" i="1"/>
  <c r="AI24" i="1"/>
  <c r="AJ26" i="1"/>
  <c r="AI56" i="1"/>
  <c r="AJ56" i="1" s="1"/>
  <c r="AK56" i="1" s="1"/>
  <c r="AJ57" i="1"/>
  <c r="AI48" i="1"/>
  <c r="AJ48" i="1" s="1"/>
  <c r="AK48" i="1" s="1"/>
  <c r="AJ49" i="1"/>
  <c r="AJ12" i="1"/>
  <c r="AI13" i="1"/>
  <c r="AJ13" i="1" s="1"/>
  <c r="AK13" i="1" s="1"/>
  <c r="AJ14" i="1"/>
  <c r="AK44" i="1" l="1"/>
  <c r="F44" i="27"/>
  <c r="AK49" i="1"/>
  <c r="F49" i="27"/>
  <c r="AK57" i="1"/>
  <c r="F57" i="27"/>
  <c r="AK26" i="1"/>
  <c r="F26" i="27"/>
  <c r="AK63" i="1"/>
  <c r="F63" i="27"/>
  <c r="AK30" i="1"/>
  <c r="F30" i="27"/>
  <c r="AK37" i="1"/>
  <c r="F37" i="27"/>
  <c r="AK7" i="1"/>
  <c r="F7" i="27"/>
  <c r="AK12" i="1"/>
  <c r="F12" i="27"/>
  <c r="P12" i="27" s="1"/>
  <c r="AK14" i="1"/>
  <c r="F14" i="27"/>
  <c r="AH66" i="1"/>
  <c r="AI42" i="1"/>
  <c r="AJ42" i="1" s="1"/>
  <c r="AK42" i="1" s="1"/>
  <c r="AJ43" i="1"/>
  <c r="AK43" i="1" s="1"/>
  <c r="AI4" i="1"/>
  <c r="AJ5" i="1"/>
  <c r="AK5" i="1" s="1"/>
  <c r="AI11" i="1"/>
  <c r="AJ11" i="1" s="1"/>
  <c r="AK11" i="1" s="1"/>
  <c r="P26" i="27" l="1"/>
  <c r="F36" i="27"/>
  <c r="P37" i="27"/>
  <c r="P36" i="27" s="1"/>
  <c r="F56" i="27"/>
  <c r="P57" i="27"/>
  <c r="P56" i="27" s="1"/>
  <c r="F29" i="27"/>
  <c r="P30" i="27"/>
  <c r="P29" i="27" s="1"/>
  <c r="F48" i="27"/>
  <c r="P49" i="27"/>
  <c r="P48" i="27" s="1"/>
  <c r="F62" i="27"/>
  <c r="P63" i="27"/>
  <c r="P62" i="27" s="1"/>
  <c r="F43" i="27"/>
  <c r="P44" i="27"/>
  <c r="P43" i="27" s="1"/>
  <c r="F13" i="27"/>
  <c r="F11" i="27" s="1"/>
  <c r="P14" i="27"/>
  <c r="P13" i="27" s="1"/>
  <c r="P11" i="27" s="1"/>
  <c r="F5" i="27"/>
  <c r="P7" i="27"/>
  <c r="P5" i="27" s="1"/>
  <c r="AI3" i="1"/>
  <c r="AI23" i="1"/>
  <c r="F42" i="27" l="1"/>
  <c r="P42" i="27"/>
  <c r="AI66" i="1"/>
  <c r="H9" i="1"/>
  <c r="H4" i="1" s="1"/>
  <c r="N355" i="2"/>
  <c r="AJ4" i="1" l="1"/>
  <c r="AK4" i="1" s="1"/>
  <c r="H3" i="1"/>
  <c r="AJ9" i="1"/>
  <c r="AK9" i="1" l="1"/>
  <c r="F9" i="27"/>
  <c r="AJ3" i="1"/>
  <c r="AK3" i="1" s="1"/>
  <c r="H66" i="1"/>
  <c r="Y27" i="1"/>
  <c r="AJ27" i="1" s="1"/>
  <c r="AK27" i="1" l="1"/>
  <c r="F27" i="27"/>
  <c r="P9" i="27"/>
  <c r="P4" i="27" s="1"/>
  <c r="P3" i="27" s="1"/>
  <c r="F4" i="27"/>
  <c r="F3" i="27" s="1"/>
  <c r="Y24" i="1"/>
  <c r="P27" i="27" l="1"/>
  <c r="P24" i="27" s="1"/>
  <c r="P23" i="27" s="1"/>
  <c r="P66" i="27" s="1"/>
  <c r="F24" i="27"/>
  <c r="F23" i="27" s="1"/>
  <c r="F66" i="27" s="1"/>
  <c r="Y23" i="1"/>
  <c r="AJ24" i="1"/>
  <c r="AK24" i="1" s="1"/>
  <c r="AJ23" i="1" l="1"/>
  <c r="AK23" i="1" s="1"/>
  <c r="Y66" i="1"/>
  <c r="AJ66" i="1" s="1"/>
  <c r="AK66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<sst xmlns="http://schemas.openxmlformats.org/spreadsheetml/2006/main" count="9083" uniqueCount="1799">
  <si>
    <t>общо</t>
  </si>
  <si>
    <t>заплати</t>
  </si>
  <si>
    <t>данъци</t>
  </si>
  <si>
    <t>наем</t>
  </si>
  <si>
    <t>комунални</t>
  </si>
  <si>
    <t>счетоводни услуги</t>
  </si>
  <si>
    <t>правни услуги</t>
  </si>
  <si>
    <t>консултантски услуги</t>
  </si>
  <si>
    <t>борсови такси</t>
  </si>
  <si>
    <t>банкови такси</t>
  </si>
  <si>
    <t>депозити и банкови гаранции</t>
  </si>
  <si>
    <t>общо разходи България</t>
  </si>
  <si>
    <t>общо разходи Гърция</t>
  </si>
  <si>
    <t>общо разходи Сърбия</t>
  </si>
  <si>
    <t>общо разходи Унгария</t>
  </si>
  <si>
    <t>общо разходи Румъния</t>
  </si>
  <si>
    <t>Клиент</t>
  </si>
  <si>
    <t>фактура №</t>
  </si>
  <si>
    <t>дата</t>
  </si>
  <si>
    <t>период на доставка</t>
  </si>
  <si>
    <t>артикул/услуга</t>
  </si>
  <si>
    <t>забележка</t>
  </si>
  <si>
    <t>мярка</t>
  </si>
  <si>
    <t>количество</t>
  </si>
  <si>
    <t>единична цена</t>
  </si>
  <si>
    <t>стойност</t>
  </si>
  <si>
    <t>стойност с ДДС</t>
  </si>
  <si>
    <t>плащане</t>
  </si>
  <si>
    <t>дата плащане</t>
  </si>
  <si>
    <t>остатък</t>
  </si>
  <si>
    <t>падеж</t>
  </si>
  <si>
    <t xml:space="preserve">Ваптех </t>
  </si>
  <si>
    <t>01.01-31.01.2024</t>
  </si>
  <si>
    <t>Доставка на природен газ на други клиенти</t>
  </si>
  <si>
    <t>МЕТАМОДУЛ ТРЕЙД</t>
  </si>
  <si>
    <t>07.01-08.01.2024</t>
  </si>
  <si>
    <t>Доставка на природен газ на ВТТ</t>
  </si>
  <si>
    <t>АКТАЕЛ</t>
  </si>
  <si>
    <t>доставка на природен газ на ВТТ</t>
  </si>
  <si>
    <t>WIEE ROMANIA</t>
  </si>
  <si>
    <t>13.01-14.01.2024</t>
  </si>
  <si>
    <t>ЕНЕМОНА ЕКОГАЗ</t>
  </si>
  <si>
    <t>15.01-16.01.2024</t>
  </si>
  <si>
    <t>СИГМА ИНВЕСТ</t>
  </si>
  <si>
    <t>16.01-17.01.2024</t>
  </si>
  <si>
    <t>ГЛОБЪЛ КОММЕРС 1</t>
  </si>
  <si>
    <t>18.01-19.01.2024</t>
  </si>
  <si>
    <t>24.01-25.01.2024</t>
  </si>
  <si>
    <t>ЕКОГАЗ ИНЖЕНЕРИНГ</t>
  </si>
  <si>
    <t>Бултекс 1</t>
  </si>
  <si>
    <t>ТФ Бургас</t>
  </si>
  <si>
    <t xml:space="preserve">3000002628
</t>
  </si>
  <si>
    <t>21.01-31.01.2024</t>
  </si>
  <si>
    <t>Доставка на природен газ на топлофикационни дружества</t>
  </si>
  <si>
    <t xml:space="preserve">Съхранение на природен газ </t>
  </si>
  <si>
    <t>Капацитет в рамките на деня</t>
  </si>
  <si>
    <t>Превишен капацитет</t>
  </si>
  <si>
    <t>Капацитет дневен</t>
  </si>
  <si>
    <t>Пренос на природен газ</t>
  </si>
  <si>
    <t>Акциз за стопански нужди</t>
  </si>
  <si>
    <t>Освободени количества от акциз</t>
  </si>
  <si>
    <t>Еми</t>
  </si>
  <si>
    <t>ТФ Плевен</t>
  </si>
  <si>
    <t>Капацитет месечен</t>
  </si>
  <si>
    <t>ТФ Враца</t>
  </si>
  <si>
    <t xml:space="preserve">3000002621
</t>
  </si>
  <si>
    <t>01.01-20.01.2024</t>
  </si>
  <si>
    <t>ТФ Перник</t>
  </si>
  <si>
    <t xml:space="preserve">3000002629
</t>
  </si>
  <si>
    <t>Труд</t>
  </si>
  <si>
    <t xml:space="preserve">Берус </t>
  </si>
  <si>
    <t>Капацитет тримесечен</t>
  </si>
  <si>
    <t>Доминекс про</t>
  </si>
  <si>
    <t xml:space="preserve">Капацитет годишен </t>
  </si>
  <si>
    <t>Приходи от неустойки по договор</t>
  </si>
  <si>
    <t>Тенекс С</t>
  </si>
  <si>
    <t>Капацитет годишен</t>
  </si>
  <si>
    <t>ТФ Русе</t>
  </si>
  <si>
    <t xml:space="preserve">Декотекс </t>
  </si>
  <si>
    <t>01.01-31.12.2024</t>
  </si>
  <si>
    <t>Нова Пауър</t>
  </si>
  <si>
    <t>01.01.-31.01.2024</t>
  </si>
  <si>
    <t>РВД</t>
  </si>
  <si>
    <t>ТФ Велико Търново</t>
  </si>
  <si>
    <t>кредитно известие</t>
  </si>
  <si>
    <t>КИ</t>
  </si>
  <si>
    <t>приспаднат аванс</t>
  </si>
  <si>
    <t>229,290,76</t>
  </si>
  <si>
    <t xml:space="preserve">Алуком </t>
  </si>
  <si>
    <t>Илинден</t>
  </si>
  <si>
    <t>01.02-29.02.2024</t>
  </si>
  <si>
    <t>Русе Кемикълс</t>
  </si>
  <si>
    <t>Алуком</t>
  </si>
  <si>
    <t xml:space="preserve">3000002650
</t>
  </si>
  <si>
    <t>Берус</t>
  </si>
  <si>
    <t xml:space="preserve">3000002649
</t>
  </si>
  <si>
    <t xml:space="preserve">3000002676
</t>
  </si>
  <si>
    <t>01.02-20.02.2024</t>
  </si>
  <si>
    <t>Декотекс</t>
  </si>
  <si>
    <t>БУЛГАРТРАНСГАЗ</t>
  </si>
  <si>
    <t>природен газ за балансиране</t>
  </si>
  <si>
    <t>ЕНЕРГИКО</t>
  </si>
  <si>
    <t>02.02-03.02.2024</t>
  </si>
  <si>
    <t>03.02-04.02.2024</t>
  </si>
  <si>
    <t>04.02-05.02.2024</t>
  </si>
  <si>
    <t>СИ ЕН ДЖИ СИСТЕМС</t>
  </si>
  <si>
    <t>25.02-26.02.2024</t>
  </si>
  <si>
    <t>07.02-08.02.2024</t>
  </si>
  <si>
    <t>Неустойки</t>
  </si>
  <si>
    <t>авансово плащане</t>
  </si>
  <si>
    <t>акциз за стопански нужди</t>
  </si>
  <si>
    <t>Акциз за моторно гориво</t>
  </si>
  <si>
    <t>08.02-09.02.2024</t>
  </si>
  <si>
    <t>24.02-25.02.2024</t>
  </si>
  <si>
    <t>Gruppo Societa Gas Rimini</t>
  </si>
  <si>
    <t>първо ав</t>
  </si>
  <si>
    <t>второ ав</t>
  </si>
  <si>
    <t>Bursa Romana de Marruri</t>
  </si>
  <si>
    <t>СЪСТЕЙНАБЪЛ ЕНЕРДЖИ СЪПЛАЙ</t>
  </si>
  <si>
    <t xml:space="preserve">Доставка на природeн газ за балансиране по НГПМ </t>
  </si>
  <si>
    <t>Капацитет дневен в рамките на деня</t>
  </si>
  <si>
    <t>Дневен капацитет</t>
  </si>
  <si>
    <t>ТФ ВТ</t>
  </si>
  <si>
    <t>Aлуком</t>
  </si>
  <si>
    <t>Доставчик</t>
  </si>
  <si>
    <t>фактура</t>
  </si>
  <si>
    <t>Артикул/услуга</t>
  </si>
  <si>
    <t>Количество</t>
  </si>
  <si>
    <t>направено плащане</t>
  </si>
  <si>
    <t>0000001980</t>
  </si>
  <si>
    <t>01.01-02.01.2024</t>
  </si>
  <si>
    <t>Природен газ от ВТТ</t>
  </si>
  <si>
    <t>146186</t>
  </si>
  <si>
    <t>МВтч</t>
  </si>
  <si>
    <t>0000001983</t>
  </si>
  <si>
    <t>02.01-03.01.2024</t>
  </si>
  <si>
    <t>0000002650</t>
  </si>
  <si>
    <t>06.01-07.01.2024</t>
  </si>
  <si>
    <t>0000002646</t>
  </si>
  <si>
    <t xml:space="preserve"> 05.01.2024</t>
  </si>
  <si>
    <t>05.01-06.01.2024</t>
  </si>
  <si>
    <t>МЕТ ЕНЕРДЖИ ТРЕЙДИНГ</t>
  </si>
  <si>
    <t>2000000607</t>
  </si>
  <si>
    <t xml:space="preserve"> 04.01.2024</t>
  </si>
  <si>
    <t>8000000769</t>
  </si>
  <si>
    <t>2000000599</t>
  </si>
  <si>
    <t xml:space="preserve"> 03.01.2024</t>
  </si>
  <si>
    <t>04.01-05.01.2024</t>
  </si>
  <si>
    <t>2000000593</t>
  </si>
  <si>
    <t xml:space="preserve"> 02.01.2024</t>
  </si>
  <si>
    <t>03.01-04.01.2024</t>
  </si>
  <si>
    <t>2000000589</t>
  </si>
  <si>
    <t xml:space="preserve"> 01.01.2024</t>
  </si>
  <si>
    <t xml:space="preserve">СПЕКТРО ЕНЕРДЖИ </t>
  </si>
  <si>
    <t xml:space="preserve">0000000131 </t>
  </si>
  <si>
    <t>0000002656</t>
  </si>
  <si>
    <t>08.01-09.01.2024</t>
  </si>
  <si>
    <t xml:space="preserve">ГЛОБЪЛ КОММЕРС 1 </t>
  </si>
  <si>
    <t>0000012220</t>
  </si>
  <si>
    <t>OZBOR ENTERPRISES</t>
  </si>
  <si>
    <t>TBL-001-JAN-2024</t>
  </si>
  <si>
    <t>09.01-10.01.2024</t>
  </si>
  <si>
    <t>0000002000</t>
  </si>
  <si>
    <t xml:space="preserve"> 09.01.2024</t>
  </si>
  <si>
    <t>0000002664</t>
  </si>
  <si>
    <t>8000000778</t>
  </si>
  <si>
    <t>0000005192</t>
  </si>
  <si>
    <t>0000002678</t>
  </si>
  <si>
    <t>11.01-12.01.2024</t>
  </si>
  <si>
    <t>2000000618</t>
  </si>
  <si>
    <t>0000002670</t>
  </si>
  <si>
    <t>10.01-11.01.2024</t>
  </si>
  <si>
    <t>DEPA COMMERCIAL S.A.</t>
  </si>
  <si>
    <t>3100016159</t>
  </si>
  <si>
    <t>3100016160</t>
  </si>
  <si>
    <t>8000000807</t>
  </si>
  <si>
    <t>TBL-002-JAN-2024</t>
  </si>
  <si>
    <t>15.01-.16.01.2024</t>
  </si>
  <si>
    <t xml:space="preserve">8000000791 </t>
  </si>
  <si>
    <t>0020001120</t>
  </si>
  <si>
    <t>11.01-14.01.2024</t>
  </si>
  <si>
    <t>0000012249</t>
  </si>
  <si>
    <t>0000002007</t>
  </si>
  <si>
    <t>12.01-13.01.2024</t>
  </si>
  <si>
    <t xml:space="preserve">MYTILINEOS </t>
  </si>
  <si>
    <t>0000001460</t>
  </si>
  <si>
    <t>0000002683</t>
  </si>
  <si>
    <t>13.1-14.01.2024</t>
  </si>
  <si>
    <t>0000002691</t>
  </si>
  <si>
    <t>0000002698</t>
  </si>
  <si>
    <t>14.01-15.01.2024</t>
  </si>
  <si>
    <t>0000002703</t>
  </si>
  <si>
    <t>8000000819</t>
  </si>
  <si>
    <t>17.01.-18.01.2024</t>
  </si>
  <si>
    <t>DXT INTERNATIONAL</t>
  </si>
  <si>
    <t>130368</t>
  </si>
  <si>
    <t>04.01.-05.01.2024</t>
  </si>
  <si>
    <t>0000002708</t>
  </si>
  <si>
    <t>0020001127</t>
  </si>
  <si>
    <t>15.01-17.01.2024</t>
  </si>
  <si>
    <t>0000012263</t>
  </si>
  <si>
    <t>17.01-18.01.2024</t>
  </si>
  <si>
    <t>0000002716</t>
  </si>
  <si>
    <t>0000002722</t>
  </si>
  <si>
    <t>0000000153</t>
  </si>
  <si>
    <t>22.01-23.01.2024</t>
  </si>
  <si>
    <t>2000001134</t>
  </si>
  <si>
    <t>18.01-21.01.2024</t>
  </si>
  <si>
    <t>0000005201</t>
  </si>
  <si>
    <t>20.01-21.01.2024</t>
  </si>
  <si>
    <t>0000002736</t>
  </si>
  <si>
    <t>21.01-22.01.2024</t>
  </si>
  <si>
    <t>0000002732</t>
  </si>
  <si>
    <t>8000000828</t>
  </si>
  <si>
    <t>19.01-20.01.2024</t>
  </si>
  <si>
    <t>0000012288</t>
  </si>
  <si>
    <t>0000002019</t>
  </si>
  <si>
    <t>8000000839</t>
  </si>
  <si>
    <t>0000002740</t>
  </si>
  <si>
    <t>0000012269</t>
  </si>
  <si>
    <t>0000002749</t>
  </si>
  <si>
    <t>23.01-24.01.2024</t>
  </si>
  <si>
    <t>8000000844</t>
  </si>
  <si>
    <t>8000000853</t>
  </si>
  <si>
    <t>8000000886</t>
  </si>
  <si>
    <t>30.01-31.01.2024</t>
  </si>
  <si>
    <t>М-ГАЗ ЕООД</t>
  </si>
  <si>
    <t>1100018165</t>
  </si>
  <si>
    <t>29.01-30.01.2024</t>
  </si>
  <si>
    <t>8000000882</t>
  </si>
  <si>
    <t>0000012303</t>
  </si>
  <si>
    <t>ЕКОС 17</t>
  </si>
  <si>
    <t>0000000482</t>
  </si>
  <si>
    <t>0000002030</t>
  </si>
  <si>
    <t>26.01-27.01.2024</t>
  </si>
  <si>
    <t>SOCAR TRADING GAS</t>
  </si>
  <si>
    <t>0009600826</t>
  </si>
  <si>
    <t>01.01.-02.01.2024</t>
  </si>
  <si>
    <t>03.01.-04.01.2024</t>
  </si>
  <si>
    <t>0000000155</t>
  </si>
  <si>
    <t>08.01-29.01.2024</t>
  </si>
  <si>
    <t>0200000157</t>
  </si>
  <si>
    <t>0000002764</t>
  </si>
  <si>
    <t>0000002776</t>
  </si>
  <si>
    <t>0000002780</t>
  </si>
  <si>
    <t>0000001989</t>
  </si>
  <si>
    <t>0000002761</t>
  </si>
  <si>
    <t>25.01-26.01.2024</t>
  </si>
  <si>
    <t>2000001142</t>
  </si>
  <si>
    <t>2000001151</t>
  </si>
  <si>
    <t>01.02-02.02.2024</t>
  </si>
  <si>
    <t>145198</t>
  </si>
  <si>
    <t>145212</t>
  </si>
  <si>
    <t>МОСТ ЕНЕРДЖИ ГАЗ</t>
  </si>
  <si>
    <t>0000000121</t>
  </si>
  <si>
    <t>28.01-29.01.2024</t>
  </si>
  <si>
    <t>Бълериан газ къмпани</t>
  </si>
  <si>
    <t>0000000421</t>
  </si>
  <si>
    <t>0000000422</t>
  </si>
  <si>
    <t>3000002626</t>
  </si>
  <si>
    <t>Природeн газ за балансиране НГПМ</t>
  </si>
  <si>
    <t>131182</t>
  </si>
  <si>
    <t>01.02-01.03.2024,</t>
  </si>
  <si>
    <t>Доставчици по договор</t>
  </si>
  <si>
    <t>4984937</t>
  </si>
  <si>
    <t>131179</t>
  </si>
  <si>
    <t>01.02-01.03.2024</t>
  </si>
  <si>
    <t>131185</t>
  </si>
  <si>
    <t xml:space="preserve">МЕТ ЕНЕРДЖИ ТРЕЙДИНГ </t>
  </si>
  <si>
    <t>2000000660</t>
  </si>
  <si>
    <t>15.02-01.03.2024</t>
  </si>
  <si>
    <t>сделка 10</t>
  </si>
  <si>
    <t>2000000656</t>
  </si>
  <si>
    <t>2000000657</t>
  </si>
  <si>
    <t>2000000658</t>
  </si>
  <si>
    <t>сделка 1</t>
  </si>
  <si>
    <t>2000000659</t>
  </si>
  <si>
    <t>0000012338</t>
  </si>
  <si>
    <t>05.02-06.02.2024</t>
  </si>
  <si>
    <t>27112100</t>
  </si>
  <si>
    <t>TBL-001-FEB-2024</t>
  </si>
  <si>
    <t>TBL-002-FEB-2024</t>
  </si>
  <si>
    <t>03.02-05.02.2024</t>
  </si>
  <si>
    <t>2000001159</t>
  </si>
  <si>
    <t>145765</t>
  </si>
  <si>
    <t>145870</t>
  </si>
  <si>
    <t>145871</t>
  </si>
  <si>
    <t>2000000703</t>
  </si>
  <si>
    <t>2000000704</t>
  </si>
  <si>
    <t>2000000706</t>
  </si>
  <si>
    <t>2000000705</t>
  </si>
  <si>
    <t>TBL-003-FEB-2024</t>
  </si>
  <si>
    <t>09.02-10.02.2024</t>
  </si>
  <si>
    <t>145873</t>
  </si>
  <si>
    <t>MYTILINEOS</t>
  </si>
  <si>
    <t>проформа фактура</t>
  </si>
  <si>
    <t>0000002804</t>
  </si>
  <si>
    <t>145425</t>
  </si>
  <si>
    <t>145459</t>
  </si>
  <si>
    <t>0000002805</t>
  </si>
  <si>
    <t>145647</t>
  </si>
  <si>
    <t>145648</t>
  </si>
  <si>
    <t>145650</t>
  </si>
  <si>
    <t>145653</t>
  </si>
  <si>
    <t>0000002806</t>
  </si>
  <si>
    <t>145679</t>
  </si>
  <si>
    <t>145683</t>
  </si>
  <si>
    <t>0000002817</t>
  </si>
  <si>
    <t>145746</t>
  </si>
  <si>
    <t>0000002844</t>
  </si>
  <si>
    <t>145856</t>
  </si>
  <si>
    <t>0000002859</t>
  </si>
  <si>
    <t>145878</t>
  </si>
  <si>
    <t>145899</t>
  </si>
  <si>
    <t>145904</t>
  </si>
  <si>
    <t>0000002863</t>
  </si>
  <si>
    <t>145954</t>
  </si>
  <si>
    <t>145968</t>
  </si>
  <si>
    <t>0000012369</t>
  </si>
  <si>
    <t>12.02-13.02.2024</t>
  </si>
  <si>
    <t>0000012365</t>
  </si>
  <si>
    <t>0000012370</t>
  </si>
  <si>
    <t>14.02-15.02.2024</t>
  </si>
  <si>
    <t>2000001167</t>
  </si>
  <si>
    <t>15.02-16.02.2024</t>
  </si>
  <si>
    <t>146047</t>
  </si>
  <si>
    <t>146100</t>
  </si>
  <si>
    <t>146101</t>
  </si>
  <si>
    <t>Природен газ за балансиране</t>
  </si>
  <si>
    <t>0000002883</t>
  </si>
  <si>
    <t>13.02-14.02.2024</t>
  </si>
  <si>
    <t>146091</t>
  </si>
  <si>
    <t>146102</t>
  </si>
  <si>
    <t>0000002868</t>
  </si>
  <si>
    <t>146017</t>
  </si>
  <si>
    <t>146031</t>
  </si>
  <si>
    <t>0000002887</t>
  </si>
  <si>
    <t>146125</t>
  </si>
  <si>
    <t>146146</t>
  </si>
  <si>
    <t>146149</t>
  </si>
  <si>
    <t>0000012376</t>
  </si>
  <si>
    <t>Газов хъб Балкан</t>
  </si>
  <si>
    <t>0100001902</t>
  </si>
  <si>
    <t>Борсови такси България</t>
  </si>
  <si>
    <t>февруари 2024</t>
  </si>
  <si>
    <t>2000001173</t>
  </si>
  <si>
    <t>19.02-20.02.2024</t>
  </si>
  <si>
    <t>0000012380</t>
  </si>
  <si>
    <t>8000000980</t>
  </si>
  <si>
    <t>16.02-17.02.2024</t>
  </si>
  <si>
    <t>8000000983</t>
  </si>
  <si>
    <t>146200</t>
  </si>
  <si>
    <t>ГРЕЙ СТОУН БЪЛГАРИЯ</t>
  </si>
  <si>
    <t>0000000116</t>
  </si>
  <si>
    <t>17.02-18.02.2024</t>
  </si>
  <si>
    <t>146253</t>
  </si>
  <si>
    <t>8000000991</t>
  </si>
  <si>
    <t>146225</t>
  </si>
  <si>
    <t>0000002896</t>
  </si>
  <si>
    <t>18.02-19.02.2024</t>
  </si>
  <si>
    <t>011289-24</t>
  </si>
  <si>
    <t>0000002894</t>
  </si>
  <si>
    <t>011289-23</t>
  </si>
  <si>
    <t>0000012386</t>
  </si>
  <si>
    <t>0000002906</t>
  </si>
  <si>
    <t>20.02-21.02.2024</t>
  </si>
  <si>
    <t>011289-25</t>
  </si>
  <si>
    <t>0000002085</t>
  </si>
  <si>
    <t>146382</t>
  </si>
  <si>
    <t>146398</t>
  </si>
  <si>
    <t>0000012404</t>
  </si>
  <si>
    <t>21.02-22.02.2024</t>
  </si>
  <si>
    <t>2000001175</t>
  </si>
  <si>
    <t>22.02-23.02.2024</t>
  </si>
  <si>
    <t>146378</t>
  </si>
  <si>
    <t>0000000125</t>
  </si>
  <si>
    <t>146490</t>
  </si>
  <si>
    <t>0000000122</t>
  </si>
  <si>
    <t>146371</t>
  </si>
  <si>
    <t>TBL-004-FEB-2024</t>
  </si>
  <si>
    <t>146484</t>
  </si>
  <si>
    <t>25-UEV</t>
  </si>
  <si>
    <t>8000001031</t>
  </si>
  <si>
    <t>146488</t>
  </si>
  <si>
    <t>0000012414</t>
  </si>
  <si>
    <t>26.02-27.02.2024</t>
  </si>
  <si>
    <t>0000000135</t>
  </si>
  <si>
    <t>146476</t>
  </si>
  <si>
    <t>0000000129</t>
  </si>
  <si>
    <t>146133</t>
  </si>
  <si>
    <t>0000000130</t>
  </si>
  <si>
    <t>146199</t>
  </si>
  <si>
    <t>0000000023</t>
  </si>
  <si>
    <t>146433</t>
  </si>
  <si>
    <t>0000000139</t>
  </si>
  <si>
    <t>147149</t>
  </si>
  <si>
    <t>8000001072</t>
  </si>
  <si>
    <t>28.02-29.02.2024</t>
  </si>
  <si>
    <t>146743</t>
  </si>
  <si>
    <t>146744</t>
  </si>
  <si>
    <t>0000002095</t>
  </si>
  <si>
    <t>27.02-28.02.2024</t>
  </si>
  <si>
    <t>146704</t>
  </si>
  <si>
    <t>146708</t>
  </si>
  <si>
    <t>146774</t>
  </si>
  <si>
    <t>4000000544</t>
  </si>
  <si>
    <t>брой</t>
  </si>
  <si>
    <t>0000002453</t>
  </si>
  <si>
    <t>ACER</t>
  </si>
  <si>
    <t>API 03.2024</t>
  </si>
  <si>
    <t>0000002452</t>
  </si>
  <si>
    <t>0100001971</t>
  </si>
  <si>
    <t>март 2024</t>
  </si>
  <si>
    <t>Regional Business Center Greece</t>
  </si>
  <si>
    <t xml:space="preserve">5025-2023-1029 </t>
  </si>
  <si>
    <t>Наеми Гърция</t>
  </si>
  <si>
    <t>0800004059</t>
  </si>
  <si>
    <t>предоставяне на твърд дългосрочен продукт по НГПМ</t>
  </si>
  <si>
    <t>предоставяне на твърд месечен продукт по НГПМ</t>
  </si>
  <si>
    <t>предоставяне на твърд тримесечен продукт по НГПМ</t>
  </si>
  <si>
    <t>А1</t>
  </si>
  <si>
    <t>0481197195</t>
  </si>
  <si>
    <t>Месечни такси България</t>
  </si>
  <si>
    <t>Травъл Ес Експрес ЕООД</t>
  </si>
  <si>
    <t>0000016970</t>
  </si>
  <si>
    <t>2000000792</t>
  </si>
  <si>
    <t>0000000146</t>
  </si>
  <si>
    <t>146783</t>
  </si>
  <si>
    <t>0000000150</t>
  </si>
  <si>
    <t>146839</t>
  </si>
  <si>
    <t>0000002930</t>
  </si>
  <si>
    <t>011289-26</t>
  </si>
  <si>
    <t>011289-27</t>
  </si>
  <si>
    <t>0000002948</t>
  </si>
  <si>
    <t>146963</t>
  </si>
  <si>
    <t>0000002952</t>
  </si>
  <si>
    <t>147117</t>
  </si>
  <si>
    <t>147133</t>
  </si>
  <si>
    <t>0000002970</t>
  </si>
  <si>
    <t>147268</t>
  </si>
  <si>
    <t>147270</t>
  </si>
  <si>
    <t>0000002975</t>
  </si>
  <si>
    <t>147290</t>
  </si>
  <si>
    <t>5025-2024-77</t>
  </si>
  <si>
    <t>Неохим АД</t>
  </si>
  <si>
    <t>5100113546</t>
  </si>
  <si>
    <t>146835</t>
  </si>
  <si>
    <t>31-UEV</t>
  </si>
  <si>
    <t>Bursa Romania de Marfuri</t>
  </si>
  <si>
    <t>43888</t>
  </si>
  <si>
    <t>Борсови такси Румъния</t>
  </si>
  <si>
    <t>0000012433</t>
  </si>
  <si>
    <t>TBL-001-MAR-2024</t>
  </si>
  <si>
    <t>0040000561</t>
  </si>
  <si>
    <t>Годишен интегриран капацитет</t>
  </si>
  <si>
    <t xml:space="preserve">план </t>
  </si>
  <si>
    <t>5100113587</t>
  </si>
  <si>
    <t>147165</t>
  </si>
  <si>
    <t>Годишен капацитет</t>
  </si>
  <si>
    <t>Тримесечен капацитет</t>
  </si>
  <si>
    <t>Месечен капацитет</t>
  </si>
  <si>
    <t>В рамките на деня</t>
  </si>
  <si>
    <t>Пренос по НГПМ</t>
  </si>
  <si>
    <t>Технологията на пренос по НГПМ</t>
  </si>
  <si>
    <t>Наложени задължения към обществото по НГПМ</t>
  </si>
  <si>
    <t>Такса за неутралност при балансиране по НГПМ</t>
  </si>
  <si>
    <t>Превишен капацитет по НГПМ</t>
  </si>
  <si>
    <t>0001495</t>
  </si>
  <si>
    <t>8000001109</t>
  </si>
  <si>
    <t>147168</t>
  </si>
  <si>
    <t>147235</t>
  </si>
  <si>
    <t>0000002994</t>
  </si>
  <si>
    <t>147414</t>
  </si>
  <si>
    <t>147415</t>
  </si>
  <si>
    <t>147424</t>
  </si>
  <si>
    <t>147428</t>
  </si>
  <si>
    <t>0000002998</t>
  </si>
  <si>
    <t>147396</t>
  </si>
  <si>
    <t>0000003001</t>
  </si>
  <si>
    <t>147452</t>
  </si>
  <si>
    <t>0000002954</t>
  </si>
  <si>
    <t>147157</t>
  </si>
  <si>
    <t>2020</t>
  </si>
  <si>
    <t>0000012474</t>
  </si>
  <si>
    <t>0000000188</t>
  </si>
  <si>
    <t>147426</t>
  </si>
  <si>
    <t>TBL-002-MAR-2024</t>
  </si>
  <si>
    <t>0000002111</t>
  </si>
  <si>
    <t>147322</t>
  </si>
  <si>
    <t>147377</t>
  </si>
  <si>
    <t>0000002983</t>
  </si>
  <si>
    <t>147338</t>
  </si>
  <si>
    <t>147378</t>
  </si>
  <si>
    <t>0020001177</t>
  </si>
  <si>
    <t>147108</t>
  </si>
  <si>
    <t>147115</t>
  </si>
  <si>
    <t>2000000805</t>
  </si>
  <si>
    <t>41-UEV</t>
  </si>
  <si>
    <t>0000003029</t>
  </si>
  <si>
    <t>147709</t>
  </si>
  <si>
    <t>147731</t>
  </si>
  <si>
    <t>147732</t>
  </si>
  <si>
    <t>0000003023</t>
  </si>
  <si>
    <t>147666</t>
  </si>
  <si>
    <t>0000003015</t>
  </si>
  <si>
    <t>147629</t>
  </si>
  <si>
    <t>2000000807</t>
  </si>
  <si>
    <t>0000000181</t>
  </si>
  <si>
    <t>147625</t>
  </si>
  <si>
    <t>30-UEV</t>
  </si>
  <si>
    <t>38-UEV</t>
  </si>
  <si>
    <t>26-UEV</t>
  </si>
  <si>
    <t>TBL-003-MAR-2024</t>
  </si>
  <si>
    <t>147670</t>
  </si>
  <si>
    <t>0000012507</t>
  </si>
  <si>
    <t>8000001168</t>
  </si>
  <si>
    <t>147607</t>
  </si>
  <si>
    <t>5100113724</t>
  </si>
  <si>
    <t>5100113665</t>
  </si>
  <si>
    <t>147379</t>
  </si>
  <si>
    <t>147574</t>
  </si>
  <si>
    <t>0000003035</t>
  </si>
  <si>
    <t>147785</t>
  </si>
  <si>
    <t>0000003037</t>
  </si>
  <si>
    <t>147747</t>
  </si>
  <si>
    <t>0000003044</t>
  </si>
  <si>
    <t>147850</t>
  </si>
  <si>
    <t>Almaj Iordache</t>
  </si>
  <si>
    <t>EUR-372</t>
  </si>
  <si>
    <t>08.2022</t>
  </si>
  <si>
    <t>EUR-515</t>
  </si>
  <si>
    <t>09.2023</t>
  </si>
  <si>
    <t>0000012518</t>
  </si>
  <si>
    <t>0000000423</t>
  </si>
  <si>
    <t>Чирен</t>
  </si>
  <si>
    <t>5025-2024-161</t>
  </si>
  <si>
    <t>април 2024</t>
  </si>
  <si>
    <t>000012526</t>
  </si>
  <si>
    <t>2000000823</t>
  </si>
  <si>
    <t>сделка 22</t>
  </si>
  <si>
    <t>2000000822</t>
  </si>
  <si>
    <t>сделка 21</t>
  </si>
  <si>
    <t>482692582</t>
  </si>
  <si>
    <t>Борика</t>
  </si>
  <si>
    <t>2000060676</t>
  </si>
  <si>
    <t>2000052740</t>
  </si>
  <si>
    <t>0000012542</t>
  </si>
  <si>
    <t>0000002131</t>
  </si>
  <si>
    <t>147948</t>
  </si>
  <si>
    <t>0000000171</t>
  </si>
  <si>
    <t>147449</t>
  </si>
  <si>
    <t>8000001236</t>
  </si>
  <si>
    <t>148041</t>
  </si>
  <si>
    <t>148045</t>
  </si>
  <si>
    <t>0000005301</t>
  </si>
  <si>
    <t>148126</t>
  </si>
  <si>
    <t>0482692582</t>
  </si>
  <si>
    <t>0000003051</t>
  </si>
  <si>
    <t>147986</t>
  </si>
  <si>
    <t>147993</t>
  </si>
  <si>
    <t>0000000199</t>
  </si>
  <si>
    <t>147990</t>
  </si>
  <si>
    <t>TBL-004-MAR-2024</t>
  </si>
  <si>
    <t>2000000813</t>
  </si>
  <si>
    <t>0000000206</t>
  </si>
  <si>
    <t>148197</t>
  </si>
  <si>
    <t>45-UEV</t>
  </si>
  <si>
    <t>2000000821</t>
  </si>
  <si>
    <t>2000000832</t>
  </si>
  <si>
    <t>TBL-005-MAR-2024</t>
  </si>
  <si>
    <t>TBL-006-MAR-2024</t>
  </si>
  <si>
    <t>8000001256</t>
  </si>
  <si>
    <t>148145</t>
  </si>
  <si>
    <t>0020001180</t>
  </si>
  <si>
    <t>148163</t>
  </si>
  <si>
    <t>0000012558</t>
  </si>
  <si>
    <t>8000001257</t>
  </si>
  <si>
    <t>148177</t>
  </si>
  <si>
    <t>2000000824</t>
  </si>
  <si>
    <t>TRANSGAZ</t>
  </si>
  <si>
    <t>202415595</t>
  </si>
  <si>
    <t>8000001268</t>
  </si>
  <si>
    <t>148265</t>
  </si>
  <si>
    <t>148269</t>
  </si>
  <si>
    <t>0000003095</t>
  </si>
  <si>
    <t>148274</t>
  </si>
  <si>
    <t>0000003089</t>
  </si>
  <si>
    <t>148257</t>
  </si>
  <si>
    <t>148258</t>
  </si>
  <si>
    <t>148271</t>
  </si>
  <si>
    <t>148289</t>
  </si>
  <si>
    <t>148319</t>
  </si>
  <si>
    <t>0000003084</t>
  </si>
  <si>
    <t>148241</t>
  </si>
  <si>
    <t>2000000827</t>
  </si>
  <si>
    <t>0000012571</t>
  </si>
  <si>
    <t>0000003100</t>
  </si>
  <si>
    <t>148402</t>
  </si>
  <si>
    <t>148428</t>
  </si>
  <si>
    <t>0000000215</t>
  </si>
  <si>
    <t>148427</t>
  </si>
  <si>
    <t>8000001299</t>
  </si>
  <si>
    <t>148439</t>
  </si>
  <si>
    <t>8000001296</t>
  </si>
  <si>
    <t>148433</t>
  </si>
  <si>
    <t>TBL-007-MAR-2024</t>
  </si>
  <si>
    <t>Hellenic Energy Exchange</t>
  </si>
  <si>
    <t>0002220</t>
  </si>
  <si>
    <t>28.032024</t>
  </si>
  <si>
    <t>Борсови такси Гърция</t>
  </si>
  <si>
    <t>0020001182</t>
  </si>
  <si>
    <t>148383</t>
  </si>
  <si>
    <t>148384</t>
  </si>
  <si>
    <t>148387</t>
  </si>
  <si>
    <t>148389</t>
  </si>
  <si>
    <t>0000002149</t>
  </si>
  <si>
    <t>148464</t>
  </si>
  <si>
    <t>0000012586</t>
  </si>
  <si>
    <t>0000003105</t>
  </si>
  <si>
    <t>148480</t>
  </si>
  <si>
    <t>148495</t>
  </si>
  <si>
    <t>ENEX сертиф.</t>
  </si>
  <si>
    <t>Месечни такси Гърция</t>
  </si>
  <si>
    <t>Работни заплати Гърция</t>
  </si>
  <si>
    <t>0000000220</t>
  </si>
  <si>
    <t>148579</t>
  </si>
  <si>
    <t>148602</t>
  </si>
  <si>
    <t>8000001319</t>
  </si>
  <si>
    <t>0000000047</t>
  </si>
  <si>
    <t>148519</t>
  </si>
  <si>
    <t>148520</t>
  </si>
  <si>
    <t>0000012597</t>
  </si>
  <si>
    <t>46 UEV</t>
  </si>
  <si>
    <t>0000003112</t>
  </si>
  <si>
    <t>148542</t>
  </si>
  <si>
    <t>0000000143</t>
  </si>
  <si>
    <t>148571</t>
  </si>
  <si>
    <t>000000225</t>
  </si>
  <si>
    <t>148670</t>
  </si>
  <si>
    <t>8000001344</t>
  </si>
  <si>
    <t>148337</t>
  </si>
  <si>
    <t>2000000840</t>
  </si>
  <si>
    <t>сделка</t>
  </si>
  <si>
    <t>2000000839</t>
  </si>
  <si>
    <t>0000000225</t>
  </si>
  <si>
    <t>8000001350</t>
  </si>
  <si>
    <t>148685</t>
  </si>
  <si>
    <t>2400001260</t>
  </si>
  <si>
    <t>2400001259</t>
  </si>
  <si>
    <t>0000000230</t>
  </si>
  <si>
    <t>148835</t>
  </si>
  <si>
    <t>2000000835</t>
  </si>
  <si>
    <t>0000002159</t>
  </si>
  <si>
    <t>0000012601</t>
  </si>
  <si>
    <t>9601000</t>
  </si>
  <si>
    <t>Еконт</t>
  </si>
  <si>
    <t>1758809678</t>
  </si>
  <si>
    <t>0000003127</t>
  </si>
  <si>
    <t>148719</t>
  </si>
  <si>
    <t>0000003120</t>
  </si>
  <si>
    <t>148594</t>
  </si>
  <si>
    <t>148611</t>
  </si>
  <si>
    <t>0040000578</t>
  </si>
  <si>
    <t>0000003146</t>
  </si>
  <si>
    <t>148960</t>
  </si>
  <si>
    <t>TBL-001-APR-2024</t>
  </si>
  <si>
    <t>148950</t>
  </si>
  <si>
    <t>8000001244</t>
  </si>
  <si>
    <t>0000000218</t>
  </si>
  <si>
    <t>148487</t>
  </si>
  <si>
    <t>0020001183</t>
  </si>
  <si>
    <t>148653</t>
  </si>
  <si>
    <t>0100002040</t>
  </si>
  <si>
    <t>0000002599</t>
  </si>
  <si>
    <t>0000002550</t>
  </si>
  <si>
    <t>31.03.20204</t>
  </si>
  <si>
    <t>0100002085</t>
  </si>
  <si>
    <t>API април 2024</t>
  </si>
  <si>
    <t>KELER</t>
  </si>
  <si>
    <t>275-2024</t>
  </si>
  <si>
    <t>0000002168</t>
  </si>
  <si>
    <t>148983</t>
  </si>
  <si>
    <t>148990</t>
  </si>
  <si>
    <t>TBL-002-APR-2024</t>
  </si>
  <si>
    <t>149018</t>
  </si>
  <si>
    <t>0020001186</t>
  </si>
  <si>
    <t>148916</t>
  </si>
  <si>
    <t>8000001147</t>
  </si>
  <si>
    <t>147471</t>
  </si>
  <si>
    <t>8000001383</t>
  </si>
  <si>
    <t>149006</t>
  </si>
  <si>
    <t>8000001390</t>
  </si>
  <si>
    <t>149026</t>
  </si>
  <si>
    <t>0000000149</t>
  </si>
  <si>
    <t>149073</t>
  </si>
  <si>
    <t>0000000240</t>
  </si>
  <si>
    <t>149066</t>
  </si>
  <si>
    <t>149165</t>
  </si>
  <si>
    <t>8000001418</t>
  </si>
  <si>
    <t>149138</t>
  </si>
  <si>
    <t>0000000152</t>
  </si>
  <si>
    <t>149213</t>
  </si>
  <si>
    <t>2000000855</t>
  </si>
  <si>
    <t>TBL-003-APR-2024</t>
  </si>
  <si>
    <t>149116</t>
  </si>
  <si>
    <t>149117</t>
  </si>
  <si>
    <t>0800004294</t>
  </si>
  <si>
    <t>0800004293</t>
  </si>
  <si>
    <t>0800004292</t>
  </si>
  <si>
    <t>0000003158</t>
  </si>
  <si>
    <t>149140</t>
  </si>
  <si>
    <t>0000002172</t>
  </si>
  <si>
    <t>149075</t>
  </si>
  <si>
    <t>ANRE</t>
  </si>
  <si>
    <t>030359</t>
  </si>
  <si>
    <t>0001523</t>
  </si>
  <si>
    <t>0000003179</t>
  </si>
  <si>
    <t>149430</t>
  </si>
  <si>
    <t>TBL-005-APR-2024</t>
  </si>
  <si>
    <t>8000001427</t>
  </si>
  <si>
    <t>149295</t>
  </si>
  <si>
    <t>8000001432</t>
  </si>
  <si>
    <t>149395</t>
  </si>
  <si>
    <t>0000000256</t>
  </si>
  <si>
    <t>149279</t>
  </si>
  <si>
    <t>0000000264</t>
  </si>
  <si>
    <t>149346</t>
  </si>
  <si>
    <t>2000000858</t>
  </si>
  <si>
    <t>TBL-004-APR-2024</t>
  </si>
  <si>
    <t>149259</t>
  </si>
  <si>
    <t>149278</t>
  </si>
  <si>
    <t>149303</t>
  </si>
  <si>
    <t>0000000235</t>
  </si>
  <si>
    <t>149301</t>
  </si>
  <si>
    <t>0000012627</t>
  </si>
  <si>
    <t>Futures techs</t>
  </si>
  <si>
    <t>TIB 004</t>
  </si>
  <si>
    <t>годишна</t>
  </si>
  <si>
    <t>Adecco</t>
  </si>
  <si>
    <t>1000008518</t>
  </si>
  <si>
    <t>подбор персонал</t>
  </si>
  <si>
    <t>56-UEV</t>
  </si>
  <si>
    <t>59 UEV</t>
  </si>
  <si>
    <t>8000001438</t>
  </si>
  <si>
    <t>149412</t>
  </si>
  <si>
    <t>8000001454</t>
  </si>
  <si>
    <t>149454</t>
  </si>
  <si>
    <t>149458</t>
  </si>
  <si>
    <t>149470</t>
  </si>
  <si>
    <t>0000003184</t>
  </si>
  <si>
    <t>149515</t>
  </si>
  <si>
    <t>0000003166</t>
  </si>
  <si>
    <t>149285</t>
  </si>
  <si>
    <t>0000003162</t>
  </si>
  <si>
    <t>149181</t>
  </si>
  <si>
    <t>149203</t>
  </si>
  <si>
    <t>0000003138</t>
  </si>
  <si>
    <t>148728</t>
  </si>
  <si>
    <t>148821</t>
  </si>
  <si>
    <t>148824</t>
  </si>
  <si>
    <t>200000871</t>
  </si>
  <si>
    <t>сделка 25</t>
  </si>
  <si>
    <t>2000000872</t>
  </si>
  <si>
    <t>сделка 26</t>
  </si>
  <si>
    <t>8000001465</t>
  </si>
  <si>
    <t>149534</t>
  </si>
  <si>
    <t>149541</t>
  </si>
  <si>
    <t>0000003186</t>
  </si>
  <si>
    <t>149561</t>
  </si>
  <si>
    <t>2125</t>
  </si>
  <si>
    <t>12192</t>
  </si>
  <si>
    <t>GEKE S.A.</t>
  </si>
  <si>
    <t>prof</t>
  </si>
  <si>
    <t>Vodafone</t>
  </si>
  <si>
    <t>1128557330</t>
  </si>
  <si>
    <t>8000001478</t>
  </si>
  <si>
    <t>149610</t>
  </si>
  <si>
    <t>149622</t>
  </si>
  <si>
    <t>0000003194</t>
  </si>
  <si>
    <t>149617</t>
  </si>
  <si>
    <t>Голдън Уотър</t>
  </si>
  <si>
    <t>0000017924</t>
  </si>
  <si>
    <t>TBL-006-APR-2024</t>
  </si>
  <si>
    <t>Техномаркет</t>
  </si>
  <si>
    <t>0091817077</t>
  </si>
  <si>
    <t>EUR-555</t>
  </si>
  <si>
    <t>Счетоводни и правни услуги Румъния</t>
  </si>
  <si>
    <t>EUR-560</t>
  </si>
  <si>
    <t>0000012650</t>
  </si>
  <si>
    <t>8000001487</t>
  </si>
  <si>
    <t>149725</t>
  </si>
  <si>
    <t>9601055</t>
  </si>
  <si>
    <t>20241962</t>
  </si>
  <si>
    <t>8000001507</t>
  </si>
  <si>
    <t>149853</t>
  </si>
  <si>
    <t>TBL-007-APR-2024</t>
  </si>
  <si>
    <t>149944</t>
  </si>
  <si>
    <t>5025-2024-232</t>
  </si>
  <si>
    <t>май 2024</t>
  </si>
  <si>
    <t>0000012671</t>
  </si>
  <si>
    <t>16.04.20204</t>
  </si>
  <si>
    <t>8000001526</t>
  </si>
  <si>
    <t>150012</t>
  </si>
  <si>
    <t>0000012675</t>
  </si>
  <si>
    <t>2000000880</t>
  </si>
  <si>
    <t>TBL-008-APR-2024</t>
  </si>
  <si>
    <t>8000001552</t>
  </si>
  <si>
    <t>150233</t>
  </si>
  <si>
    <t>0000003222</t>
  </si>
  <si>
    <t>150279</t>
  </si>
  <si>
    <t>0000005382</t>
  </si>
  <si>
    <t>150268</t>
  </si>
  <si>
    <t>0484178655</t>
  </si>
  <si>
    <t>0000012712</t>
  </si>
  <si>
    <t>Актаел</t>
  </si>
  <si>
    <t>8000001567</t>
  </si>
  <si>
    <t>150296</t>
  </si>
  <si>
    <t>0000000265</t>
  </si>
  <si>
    <t>150418</t>
  </si>
  <si>
    <t>2000000883</t>
  </si>
  <si>
    <t>TBL-009-APR-2024</t>
  </si>
  <si>
    <t>150419</t>
  </si>
  <si>
    <t>0000002219</t>
  </si>
  <si>
    <t>0000000861</t>
  </si>
  <si>
    <t>25.04.202</t>
  </si>
  <si>
    <t>150673</t>
  </si>
  <si>
    <t>2000000886</t>
  </si>
  <si>
    <t>TBL-010-APR-2024</t>
  </si>
  <si>
    <t>150482</t>
  </si>
  <si>
    <t>150552</t>
  </si>
  <si>
    <t>150558</t>
  </si>
  <si>
    <t>150678</t>
  </si>
  <si>
    <t>151028</t>
  </si>
  <si>
    <t>TBL-013-APR-2026</t>
  </si>
  <si>
    <t>0000001613</t>
  </si>
  <si>
    <t>150794</t>
  </si>
  <si>
    <t>0000001615</t>
  </si>
  <si>
    <t>1508414</t>
  </si>
  <si>
    <t>Йетел</t>
  </si>
  <si>
    <t>7364748053</t>
  </si>
  <si>
    <t>0000003245</t>
  </si>
  <si>
    <t>151036</t>
  </si>
  <si>
    <t>Наименование</t>
  </si>
  <si>
    <t>Бюджет, лева</t>
  </si>
  <si>
    <t>Общо, лева</t>
  </si>
  <si>
    <t>Остатък по Бюджет, лева</t>
  </si>
  <si>
    <t>А</t>
  </si>
  <si>
    <t>Постъпления</t>
  </si>
  <si>
    <t>І</t>
  </si>
  <si>
    <t>Постъпления от продажби на газ</t>
  </si>
  <si>
    <t>Доставка на природен газ</t>
  </si>
  <si>
    <t xml:space="preserve">Булгаргаз </t>
  </si>
  <si>
    <t>ІІ</t>
  </si>
  <si>
    <t>Постъпления от услуги</t>
  </si>
  <si>
    <t>Капацитет</t>
  </si>
  <si>
    <t>Прехвърлен капацитет в ПГХ Чирен</t>
  </si>
  <si>
    <t>Б</t>
  </si>
  <si>
    <t>Плащания</t>
  </si>
  <si>
    <t>Доставки на природен газ</t>
  </si>
  <si>
    <t>Закупуване на природен газ от Булгаргаз за Топлофикации</t>
  </si>
  <si>
    <t xml:space="preserve">Разходи за закупуване на капацитет </t>
  </si>
  <si>
    <t>Разходи за пренос</t>
  </si>
  <si>
    <t>Борсови, месечни такси и др. административни разходи</t>
  </si>
  <si>
    <t>Месечни такси</t>
  </si>
  <si>
    <t>Месечни такси Румъния</t>
  </si>
  <si>
    <t>Месечни такси Сърбия</t>
  </si>
  <si>
    <t>Борсови такси</t>
  </si>
  <si>
    <t>Борсови такси Сърбия</t>
  </si>
  <si>
    <t>Наеми</t>
  </si>
  <si>
    <t>Наеми България</t>
  </si>
  <si>
    <t xml:space="preserve">Счетоводни и правни услуги </t>
  </si>
  <si>
    <t>Счетоводни и правни услуги България</t>
  </si>
  <si>
    <t>Счетоводни и правни услуги Гърция</t>
  </si>
  <si>
    <t xml:space="preserve">Счетоводни и правни услуги Сърбия </t>
  </si>
  <si>
    <t>Счетоводни и правни услуги Унгария</t>
  </si>
  <si>
    <t>Работни заплати</t>
  </si>
  <si>
    <t>Работни заплати България</t>
  </si>
  <si>
    <t>Работни заплати Сърбия</t>
  </si>
  <si>
    <t>В</t>
  </si>
  <si>
    <t>Нетен паричен поток</t>
  </si>
  <si>
    <t>контрагент</t>
  </si>
  <si>
    <t>цел на обезпечението</t>
  </si>
  <si>
    <t>тип на обезпечението (банкова гаранция / кеш депозит)</t>
  </si>
  <si>
    <t>размер на обезпечението</t>
  </si>
  <si>
    <t>срок на валидност</t>
  </si>
  <si>
    <t>допълнителна информация</t>
  </si>
  <si>
    <t>Desfa (Гърция)</t>
  </si>
  <si>
    <t>гаранция за достъп и пренос до гръцката преносна система</t>
  </si>
  <si>
    <t>банков депозит</t>
  </si>
  <si>
    <t>до 28.2.2025</t>
  </si>
  <si>
    <t>размера на гаранцията се формира спрямо цената на газа от предходния ценообразуващ период, в този случай се очаква гаранцяита за следващата година да бъде по-малка</t>
  </si>
  <si>
    <t>банкова гаранция</t>
  </si>
  <si>
    <t>188 269,51 евро за капацитет и 1 415 150,96 евро забалансиране -51 309,02 евро</t>
  </si>
  <si>
    <t>Gastrade S.A.</t>
  </si>
  <si>
    <t>достъп до системата на LNG терминал</t>
  </si>
  <si>
    <t>до 31.01.2025</t>
  </si>
  <si>
    <t>ICGB</t>
  </si>
  <si>
    <t>VTP</t>
  </si>
  <si>
    <t>депозит</t>
  </si>
  <si>
    <t>Булгартрансгаз</t>
  </si>
  <si>
    <t xml:space="preserve">достъп, пренос и балансиране </t>
  </si>
  <si>
    <t>2 000 000 лева е цялата гаранция от Инвестбанк</t>
  </si>
  <si>
    <t>Transgaz Romania</t>
  </si>
  <si>
    <t>51 964,62 lei</t>
  </si>
  <si>
    <t>неофициални данни от 06.02.2024</t>
  </si>
  <si>
    <t>Сокар</t>
  </si>
  <si>
    <t>за търговия</t>
  </si>
  <si>
    <t>N/A</t>
  </si>
  <si>
    <t>необходимо е поддържането на кеш депозит по сметка на Сокар за да търгуват с дружеството</t>
  </si>
  <si>
    <t>Договор за Достъп и Пренос №6301/01.10.2023г.</t>
  </si>
  <si>
    <t>Договор за Балансиране №6302/01.10.2023г.</t>
  </si>
  <si>
    <t>Договор за съхранение №6604/15.03.2024г.</t>
  </si>
  <si>
    <t>№6303/01.10.2023г.</t>
  </si>
  <si>
    <t>2400001809</t>
  </si>
  <si>
    <t>БУЛГАРГАЗ ЕАД</t>
  </si>
  <si>
    <t>2400001810</t>
  </si>
  <si>
    <t>0000002651</t>
  </si>
  <si>
    <t>0000002705</t>
  </si>
  <si>
    <t>0100002114</t>
  </si>
  <si>
    <t>0100002158</t>
  </si>
  <si>
    <t>API май 2024</t>
  </si>
  <si>
    <t>0000000178</t>
  </si>
  <si>
    <t>151204</t>
  </si>
  <si>
    <t>0020001202</t>
  </si>
  <si>
    <t>151123</t>
  </si>
  <si>
    <t>151124</t>
  </si>
  <si>
    <t>151125</t>
  </si>
  <si>
    <t>0000003248</t>
  </si>
  <si>
    <t>151133</t>
  </si>
  <si>
    <t>TBL-014-APR-2024</t>
  </si>
  <si>
    <t>TBL-011-APR-2024</t>
  </si>
  <si>
    <t>TBL-012-APR-2024</t>
  </si>
  <si>
    <t>150929</t>
  </si>
  <si>
    <t>8000001615</t>
  </si>
  <si>
    <t>150841</t>
  </si>
  <si>
    <t>150758</t>
  </si>
  <si>
    <t>150857</t>
  </si>
  <si>
    <t>8000001613</t>
  </si>
  <si>
    <t>0000003240</t>
  </si>
  <si>
    <t>0041000008</t>
  </si>
  <si>
    <t>0040000589</t>
  </si>
  <si>
    <t>0040000598</t>
  </si>
  <si>
    <t>5025-2024-318</t>
  </si>
  <si>
    <t>TBL-001-MAY-2024</t>
  </si>
  <si>
    <t>TBL-002-MAY-2024</t>
  </si>
  <si>
    <t>TBL-003-MAY-2024</t>
  </si>
  <si>
    <t>151087</t>
  </si>
  <si>
    <t>151152</t>
  </si>
  <si>
    <t>151194</t>
  </si>
  <si>
    <t>151295</t>
  </si>
  <si>
    <t>151380</t>
  </si>
  <si>
    <t>151396</t>
  </si>
  <si>
    <t>151403</t>
  </si>
  <si>
    <t>15404</t>
  </si>
  <si>
    <t>151411</t>
  </si>
  <si>
    <t>151434</t>
  </si>
  <si>
    <t>346/2024</t>
  </si>
  <si>
    <t>0000003259</t>
  </si>
  <si>
    <t>151306</t>
  </si>
  <si>
    <t>0000003260</t>
  </si>
  <si>
    <t>151401</t>
  </si>
  <si>
    <t>0000003261</t>
  </si>
  <si>
    <t>15142</t>
  </si>
  <si>
    <t>151421</t>
  </si>
  <si>
    <t>151437</t>
  </si>
  <si>
    <t>2000000908</t>
  </si>
  <si>
    <t>0000005420</t>
  </si>
  <si>
    <t>151408</t>
  </si>
  <si>
    <t>TBL-004-MAY-2024</t>
  </si>
  <si>
    <t>151449</t>
  </si>
  <si>
    <t>151457</t>
  </si>
  <si>
    <t>151474</t>
  </si>
  <si>
    <t>151487</t>
  </si>
  <si>
    <t>151520</t>
  </si>
  <si>
    <t>151537</t>
  </si>
  <si>
    <t>1000000100</t>
  </si>
  <si>
    <t>151409</t>
  </si>
  <si>
    <t>151430</t>
  </si>
  <si>
    <t>0800004415</t>
  </si>
  <si>
    <t>0800004416</t>
  </si>
  <si>
    <t>0800004417</t>
  </si>
  <si>
    <t>12446</t>
  </si>
  <si>
    <t>2230</t>
  </si>
  <si>
    <t>0000003265</t>
  </si>
  <si>
    <t>0000003279</t>
  </si>
  <si>
    <t>TBL-005-MAY-2024</t>
  </si>
  <si>
    <t>34790</t>
  </si>
  <si>
    <t>90508979</t>
  </si>
  <si>
    <t>EUR-589</t>
  </si>
  <si>
    <t>EUR-590</t>
  </si>
  <si>
    <t>514092</t>
  </si>
  <si>
    <t>514095</t>
  </si>
  <si>
    <t>514104</t>
  </si>
  <si>
    <t>TBL-006-MAY-2024</t>
  </si>
  <si>
    <t>TBL-007-MAY-2025</t>
  </si>
  <si>
    <t>151525</t>
  </si>
  <si>
    <t>151541</t>
  </si>
  <si>
    <t>151623</t>
  </si>
  <si>
    <t>151626</t>
  </si>
  <si>
    <t>151651</t>
  </si>
  <si>
    <t>151679</t>
  </si>
  <si>
    <t>151686</t>
  </si>
  <si>
    <t>151724</t>
  </si>
  <si>
    <t>151759</t>
  </si>
  <si>
    <t>151761</t>
  </si>
  <si>
    <t>151808</t>
  </si>
  <si>
    <t>151821</t>
  </si>
  <si>
    <t>0000012769</t>
  </si>
  <si>
    <t>8000001681</t>
  </si>
  <si>
    <t>151714</t>
  </si>
  <si>
    <t>0000000891</t>
  </si>
  <si>
    <t>151744</t>
  </si>
  <si>
    <t>0000003286</t>
  </si>
  <si>
    <t>151117</t>
  </si>
  <si>
    <t>TBL-008-MAY-2025</t>
  </si>
  <si>
    <t>проформа</t>
  </si>
  <si>
    <t>0000018066</t>
  </si>
  <si>
    <t>Газ Енерджи Файненс ЕООД</t>
  </si>
  <si>
    <t>0000000900</t>
  </si>
  <si>
    <t>152136</t>
  </si>
  <si>
    <t>2400002308</t>
  </si>
  <si>
    <t>030000508</t>
  </si>
  <si>
    <t>TBL-009-MAY-2024</t>
  </si>
  <si>
    <t>0000000893</t>
  </si>
  <si>
    <t>151825</t>
  </si>
  <si>
    <t>0000000307</t>
  </si>
  <si>
    <t>151902</t>
  </si>
  <si>
    <t>8000001691</t>
  </si>
  <si>
    <t>151834</t>
  </si>
  <si>
    <t>0000012776</t>
  </si>
  <si>
    <t>2000000917</t>
  </si>
  <si>
    <t>14.05.2024</t>
  </si>
  <si>
    <t>0000000310</t>
  </si>
  <si>
    <t>152043</t>
  </si>
  <si>
    <t>0000002257</t>
  </si>
  <si>
    <t>151988</t>
  </si>
  <si>
    <t>0000003293</t>
  </si>
  <si>
    <t>152121</t>
  </si>
  <si>
    <t>0000000894</t>
  </si>
  <si>
    <t>38.84</t>
  </si>
  <si>
    <t>TBL-016-MAY-2024</t>
  </si>
  <si>
    <t>151921;151922;151923</t>
  </si>
  <si>
    <t>13-14 Май</t>
  </si>
  <si>
    <t>18-25 Май</t>
  </si>
  <si>
    <t>частично</t>
  </si>
  <si>
    <t>TBL-007/1-MAY-2025</t>
  </si>
  <si>
    <t>сделка 28</t>
  </si>
  <si>
    <t>сделка 29</t>
  </si>
  <si>
    <t>сделка 36</t>
  </si>
  <si>
    <t>сделка 33</t>
  </si>
  <si>
    <t>сделка 32</t>
  </si>
  <si>
    <t>152154</t>
  </si>
  <si>
    <t>7366004622</t>
  </si>
  <si>
    <t>TBL-014-MAY-2024</t>
  </si>
  <si>
    <t>16-30 Май</t>
  </si>
  <si>
    <t>5100114526</t>
  </si>
  <si>
    <t>151947</t>
  </si>
  <si>
    <t>0000012812</t>
  </si>
  <si>
    <t>0000003304</t>
  </si>
  <si>
    <t>24.05.202</t>
  </si>
  <si>
    <t>152411</t>
  </si>
  <si>
    <t>0000000905</t>
  </si>
  <si>
    <t>152301</t>
  </si>
  <si>
    <t>0000003278</t>
  </si>
  <si>
    <t>151655</t>
  </si>
  <si>
    <t>152202</t>
  </si>
  <si>
    <t>152155</t>
  </si>
  <si>
    <t>TBL-010-MAY-2024</t>
  </si>
  <si>
    <t>152086;152091</t>
  </si>
  <si>
    <t>152101</t>
  </si>
  <si>
    <t>22.5-01.6</t>
  </si>
  <si>
    <t>000000315</t>
  </si>
  <si>
    <t>0000003309</t>
  </si>
  <si>
    <t>152221</t>
  </si>
  <si>
    <t>152226</t>
  </si>
  <si>
    <t>152237</t>
  </si>
  <si>
    <t>152312</t>
  </si>
  <si>
    <t>152356</t>
  </si>
  <si>
    <t>0000000908</t>
  </si>
  <si>
    <t>0000005439</t>
  </si>
  <si>
    <t>152397</t>
  </si>
  <si>
    <t>152518</t>
  </si>
  <si>
    <t>1000012238</t>
  </si>
  <si>
    <t>0485665674</t>
  </si>
  <si>
    <t>0000017182</t>
  </si>
  <si>
    <t>алуком</t>
  </si>
  <si>
    <t>0000017278</t>
  </si>
  <si>
    <t>0000017275</t>
  </si>
  <si>
    <t>TI-2024-MAY-001</t>
  </si>
  <si>
    <t>0000003319</t>
  </si>
  <si>
    <t>TBL-017-MAY-2025</t>
  </si>
  <si>
    <t>8000001736</t>
  </si>
  <si>
    <t>152574</t>
  </si>
  <si>
    <t>152692</t>
  </si>
  <si>
    <t>152638</t>
  </si>
  <si>
    <t>0000000332</t>
  </si>
  <si>
    <t>152591</t>
  </si>
  <si>
    <t>0000000193</t>
  </si>
  <si>
    <t>15275</t>
  </si>
  <si>
    <t>0000012841</t>
  </si>
  <si>
    <t>9601175</t>
  </si>
  <si>
    <t>9601176</t>
  </si>
  <si>
    <t>9601178</t>
  </si>
  <si>
    <t>9601177</t>
  </si>
  <si>
    <t>TBL-018-MAY-2025</t>
  </si>
  <si>
    <t>152708</t>
  </si>
  <si>
    <t>152715</t>
  </si>
  <si>
    <t>0000002280</t>
  </si>
  <si>
    <t>153104</t>
  </si>
  <si>
    <t>153125</t>
  </si>
  <si>
    <t>153126</t>
  </si>
  <si>
    <t>TI-2024-MAY-004</t>
  </si>
  <si>
    <t>0000003343</t>
  </si>
  <si>
    <t>153147</t>
  </si>
  <si>
    <t>153188</t>
  </si>
  <si>
    <t>0000012858</t>
  </si>
  <si>
    <t>TI-2024-MAY-002</t>
  </si>
  <si>
    <t>0000003341</t>
  </si>
  <si>
    <t>Sustainable Energy Supply North</t>
  </si>
  <si>
    <t>Romenergy Trading</t>
  </si>
  <si>
    <t>0000003335</t>
  </si>
  <si>
    <t>0000003332</t>
  </si>
  <si>
    <t>0000003325</t>
  </si>
  <si>
    <t>TI-2024-MAY-003</t>
  </si>
  <si>
    <t>0000003306</t>
  </si>
  <si>
    <t>осиг май 2024</t>
  </si>
  <si>
    <t>01;12.2023</t>
  </si>
  <si>
    <t>0000012876</t>
  </si>
  <si>
    <t>E-2024-48</t>
  </si>
  <si>
    <t>1000000107</t>
  </si>
  <si>
    <t>153183</t>
  </si>
  <si>
    <t>155589</t>
  </si>
  <si>
    <t>152578</t>
  </si>
  <si>
    <t>152604</t>
  </si>
  <si>
    <t>0000003355</t>
  </si>
  <si>
    <t>153395</t>
  </si>
  <si>
    <t>2400002310</t>
  </si>
  <si>
    <t>2400002309</t>
  </si>
  <si>
    <t>TBL-001-JUN-2024</t>
  </si>
  <si>
    <t>TBL-021-MAY-2024</t>
  </si>
  <si>
    <t>TBL-022-MAY-2024</t>
  </si>
  <si>
    <t>TBL-019-MAY-2024</t>
  </si>
  <si>
    <t>TBL-020-MAY-2024</t>
  </si>
  <si>
    <t>0000003365</t>
  </si>
  <si>
    <t>0000003364</t>
  </si>
  <si>
    <t>0000003362</t>
  </si>
  <si>
    <t>9601199</t>
  </si>
  <si>
    <t>TBL-024-MAY-2024</t>
  </si>
  <si>
    <t>направено авансово плащане</t>
  </si>
  <si>
    <t>TBL-023-MAY-2024</t>
  </si>
  <si>
    <t>TBL-025-MAY-2024</t>
  </si>
  <si>
    <t>0040000609</t>
  </si>
  <si>
    <t>0040000615</t>
  </si>
  <si>
    <t>8001897640</t>
  </si>
  <si>
    <t>0100002188</t>
  </si>
  <si>
    <t>юни 2024</t>
  </si>
  <si>
    <t>екран</t>
  </si>
  <si>
    <t>0100002232</t>
  </si>
  <si>
    <t>API юни 2024</t>
  </si>
  <si>
    <t>0000002759</t>
  </si>
  <si>
    <t xml:space="preserve">данни </t>
  </si>
  <si>
    <t>0000002807</t>
  </si>
  <si>
    <t>краткосроен сегмент</t>
  </si>
  <si>
    <t>брокерски сегмент</t>
  </si>
  <si>
    <t>дългосрочен сегмент</t>
  </si>
  <si>
    <t>2000004138</t>
  </si>
  <si>
    <t>151814</t>
  </si>
  <si>
    <t>2000004170</t>
  </si>
  <si>
    <t>152747</t>
  </si>
  <si>
    <t>152746</t>
  </si>
  <si>
    <t>0000003376</t>
  </si>
  <si>
    <t>0000012915</t>
  </si>
  <si>
    <t>153577</t>
  </si>
  <si>
    <t>TBL-012-MAY-2024</t>
  </si>
  <si>
    <t>TBL-011-MAY-2024</t>
  </si>
  <si>
    <t>TBL-015-MAY-2024</t>
  </si>
  <si>
    <t>TBL-013-MAY-2024</t>
  </si>
  <si>
    <t>2335</t>
  </si>
  <si>
    <t>TBL-002-JUN-2024</t>
  </si>
  <si>
    <t>154126, 154127</t>
  </si>
  <si>
    <t>154159, 154160</t>
  </si>
  <si>
    <t>0800004539</t>
  </si>
  <si>
    <t>ELPEDISON POWER GENERATINNG</t>
  </si>
  <si>
    <t>БЕРУС</t>
  </si>
  <si>
    <t>ТРУД</t>
  </si>
  <si>
    <t>Газов Хъб Балкан</t>
  </si>
  <si>
    <t>0000004540</t>
  </si>
  <si>
    <t>0800004538</t>
  </si>
  <si>
    <t>0000012959</t>
  </si>
  <si>
    <t>0000000946</t>
  </si>
  <si>
    <t>154192</t>
  </si>
  <si>
    <t>БЮДЖЕТ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</si>
  <si>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</si>
  <si>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</si>
  <si>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</si>
  <si>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</si>
  <si>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</si>
  <si>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</si>
  <si>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</si>
  <si>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</si>
  <si>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</si>
  <si>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</si>
  <si>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</si>
  <si>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</si>
  <si>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общо 2024</t>
  </si>
  <si>
    <t>Тф Плевен</t>
  </si>
  <si>
    <t>Метамодул Трейд</t>
  </si>
  <si>
    <t>0000003389</t>
  </si>
  <si>
    <t>154203</t>
  </si>
  <si>
    <t>0000003396</t>
  </si>
  <si>
    <t>154285</t>
  </si>
  <si>
    <t>154298</t>
  </si>
  <si>
    <t>0000003408</t>
  </si>
  <si>
    <t>154376</t>
  </si>
  <si>
    <t>154387</t>
  </si>
  <si>
    <t>0000000394</t>
  </si>
  <si>
    <t>154435</t>
  </si>
  <si>
    <t>TBL-003-JUN-2024</t>
  </si>
  <si>
    <t>154432</t>
  </si>
  <si>
    <t>7367262090</t>
  </si>
  <si>
    <t>TBL-004-JUN-2024</t>
  </si>
  <si>
    <t>154609</t>
  </si>
  <si>
    <t>154539</t>
  </si>
  <si>
    <t>8000001866</t>
  </si>
  <si>
    <t>0000000221</t>
  </si>
  <si>
    <t>154562</t>
  </si>
  <si>
    <t>154515</t>
  </si>
  <si>
    <t>0000000223</t>
  </si>
  <si>
    <t>154594</t>
  </si>
  <si>
    <t>0000003418</t>
  </si>
  <si>
    <t>154541</t>
  </si>
  <si>
    <t>0000012994</t>
  </si>
  <si>
    <t>20243108</t>
  </si>
  <si>
    <t>0020001242</t>
  </si>
  <si>
    <t>154496</t>
  </si>
  <si>
    <t>0000000963</t>
  </si>
  <si>
    <t>0000000955</t>
  </si>
  <si>
    <t>154667</t>
  </si>
  <si>
    <t>154718</t>
  </si>
  <si>
    <t>2000000954</t>
  </si>
  <si>
    <t>2000000973</t>
  </si>
  <si>
    <t>2000000959</t>
  </si>
  <si>
    <t>2000000960</t>
  </si>
  <si>
    <t>2000000961</t>
  </si>
  <si>
    <t>2000000962</t>
  </si>
  <si>
    <t>2000000963</t>
  </si>
  <si>
    <t>2000000964</t>
  </si>
  <si>
    <t>2000000965</t>
  </si>
  <si>
    <t>2000000966</t>
  </si>
  <si>
    <t>2000000967</t>
  </si>
  <si>
    <t>2000000968</t>
  </si>
  <si>
    <t>2000000969</t>
  </si>
  <si>
    <t>2000000970</t>
  </si>
  <si>
    <t>2000000971</t>
  </si>
  <si>
    <t>2000000972</t>
  </si>
  <si>
    <t>0000003440</t>
  </si>
  <si>
    <t>0487230443</t>
  </si>
  <si>
    <t>490,,62</t>
  </si>
  <si>
    <t>Metlen</t>
  </si>
  <si>
    <t>proforma 1</t>
  </si>
  <si>
    <t>proforma 2</t>
  </si>
  <si>
    <t>proforma 3</t>
  </si>
  <si>
    <t>proforma 4</t>
  </si>
  <si>
    <t>proforma 5</t>
  </si>
  <si>
    <t>154921</t>
  </si>
  <si>
    <t>154959</t>
  </si>
  <si>
    <t>154971</t>
  </si>
  <si>
    <t>2000000958</t>
  </si>
  <si>
    <t>0000003433</t>
  </si>
  <si>
    <t>TBL-007-JUN-2024</t>
  </si>
  <si>
    <t>TBL-006-JUN-2024</t>
  </si>
  <si>
    <t>0000002351</t>
  </si>
  <si>
    <t>0000000966</t>
  </si>
  <si>
    <t>0000003451</t>
  </si>
  <si>
    <t>0000003448</t>
  </si>
  <si>
    <t>9601257</t>
  </si>
  <si>
    <t>9601258</t>
  </si>
  <si>
    <t>TBL-005-JUN-2024</t>
  </si>
  <si>
    <t>0000013009</t>
  </si>
  <si>
    <t>0000013035</t>
  </si>
  <si>
    <t>0000000981</t>
  </si>
  <si>
    <t>1110008643</t>
  </si>
  <si>
    <t>TBL-008-JUN-2024</t>
  </si>
  <si>
    <t>0000018381</t>
  </si>
  <si>
    <t>0020001275</t>
  </si>
  <si>
    <t>155449</t>
  </si>
  <si>
    <t>155450</t>
  </si>
  <si>
    <t>155289</t>
  </si>
  <si>
    <t>0000000987</t>
  </si>
  <si>
    <t>155483</t>
  </si>
  <si>
    <t>155481</t>
  </si>
  <si>
    <t>0000000992</t>
  </si>
  <si>
    <t>155539</t>
  </si>
  <si>
    <t>TBL-009-JUN-2024</t>
  </si>
  <si>
    <t>155581</t>
  </si>
  <si>
    <t>00000130053</t>
  </si>
  <si>
    <t>155518</t>
  </si>
  <si>
    <t>TBL-010-JUN-2024</t>
  </si>
  <si>
    <t>155593</t>
  </si>
  <si>
    <t>155613</t>
  </si>
  <si>
    <t>155631</t>
  </si>
  <si>
    <t>155717</t>
  </si>
  <si>
    <t>155736</t>
  </si>
  <si>
    <t>155749</t>
  </si>
  <si>
    <t>VITOL</t>
  </si>
  <si>
    <t>S2400550</t>
  </si>
  <si>
    <t>ROMENERGY TRADING S.R.L.</t>
  </si>
  <si>
    <t>294</t>
  </si>
  <si>
    <t>155716</t>
  </si>
  <si>
    <t>155718</t>
  </si>
  <si>
    <t>2000000984</t>
  </si>
  <si>
    <t>0000003477</t>
  </si>
  <si>
    <t>155698</t>
  </si>
  <si>
    <t>0000003483</t>
  </si>
  <si>
    <t>155762</t>
  </si>
  <si>
    <t>Борсови такси Унгария</t>
  </si>
  <si>
    <t>9601303</t>
  </si>
  <si>
    <t>TBL-001-JUL-2024</t>
  </si>
  <si>
    <t>0000013056</t>
  </si>
  <si>
    <t>155786</t>
  </si>
  <si>
    <t>155784</t>
  </si>
  <si>
    <t>155758</t>
  </si>
  <si>
    <t>155724</t>
  </si>
  <si>
    <t>155723</t>
  </si>
  <si>
    <t>0000002372</t>
  </si>
  <si>
    <t>155806</t>
  </si>
  <si>
    <t>0000003489</t>
  </si>
  <si>
    <t>156049</t>
  </si>
  <si>
    <t>2400002813</t>
  </si>
  <si>
    <t>2400002812</t>
  </si>
  <si>
    <t>0000003492</t>
  </si>
  <si>
    <t>156065</t>
  </si>
  <si>
    <t>0000003466</t>
  </si>
  <si>
    <t>156086</t>
  </si>
  <si>
    <t>155536</t>
  </si>
  <si>
    <t>155542</t>
  </si>
  <si>
    <t>155546</t>
  </si>
  <si>
    <t>155582</t>
  </si>
  <si>
    <t>0040000626</t>
  </si>
  <si>
    <t>0040000634</t>
  </si>
  <si>
    <t>0040000645</t>
  </si>
  <si>
    <t>207/2024</t>
  </si>
  <si>
    <t>401/2024</t>
  </si>
  <si>
    <t>510/2024</t>
  </si>
  <si>
    <t>0000013082</t>
  </si>
  <si>
    <t>156036</t>
  </si>
  <si>
    <t>155990</t>
  </si>
  <si>
    <t>TBL-002-JUL-2024</t>
  </si>
  <si>
    <t>156204</t>
  </si>
  <si>
    <t>156284</t>
  </si>
  <si>
    <t>0000013106</t>
  </si>
  <si>
    <t>156261</t>
  </si>
  <si>
    <t>0000003504</t>
  </si>
  <si>
    <t>156248</t>
  </si>
  <si>
    <t>156252</t>
  </si>
  <si>
    <t>0020001286</t>
  </si>
  <si>
    <t>155836</t>
  </si>
  <si>
    <t>155874</t>
  </si>
  <si>
    <t>155882</t>
  </si>
  <si>
    <t>156025</t>
  </si>
  <si>
    <t>156081</t>
  </si>
  <si>
    <t>156082</t>
  </si>
  <si>
    <t>156095</t>
  </si>
  <si>
    <t>TBL-004-JUL-2024</t>
  </si>
  <si>
    <t>156174</t>
  </si>
  <si>
    <t>156341</t>
  </si>
  <si>
    <t>TBL-003-JUL-2024</t>
  </si>
  <si>
    <t>156299</t>
  </si>
  <si>
    <t>156344</t>
  </si>
  <si>
    <t>0000003507</t>
  </si>
  <si>
    <t>156320</t>
  </si>
  <si>
    <t>156346</t>
  </si>
  <si>
    <t>2000000992</t>
  </si>
  <si>
    <t>1008</t>
  </si>
  <si>
    <t>MONTEL</t>
  </si>
  <si>
    <t>159</t>
  </si>
  <si>
    <t>13315682</t>
  </si>
  <si>
    <t>0000001010</t>
  </si>
  <si>
    <t>156451</t>
  </si>
  <si>
    <t>0000003518</t>
  </si>
  <si>
    <t>156521</t>
  </si>
  <si>
    <t>0000003515</t>
  </si>
  <si>
    <t>156455</t>
  </si>
  <si>
    <t>0000003520</t>
  </si>
  <si>
    <t>156544</t>
  </si>
  <si>
    <t>156546</t>
  </si>
  <si>
    <t>156553</t>
  </si>
  <si>
    <t>TBL-005-JUL-2024</t>
  </si>
  <si>
    <t>156438</t>
  </si>
  <si>
    <t>156568</t>
  </si>
  <si>
    <t>0800004663</t>
  </si>
  <si>
    <t>0800004664</t>
  </si>
  <si>
    <t>Wetranslate Complete Solut</t>
  </si>
  <si>
    <t>MCEC</t>
  </si>
  <si>
    <t>Get Energy</t>
  </si>
  <si>
    <t>Kovach Bertalan</t>
  </si>
  <si>
    <t>СПИДИ АД</t>
  </si>
  <si>
    <t>Газ Трейдинг 2002</t>
  </si>
  <si>
    <t>0000003524</t>
  </si>
  <si>
    <t>156629</t>
  </si>
  <si>
    <t>156640</t>
  </si>
  <si>
    <t>156650</t>
  </si>
  <si>
    <t>СУПЕРХОСТИНГ</t>
  </si>
  <si>
    <t>1001532340</t>
  </si>
  <si>
    <t>5100115121</t>
  </si>
  <si>
    <t>155757</t>
  </si>
  <si>
    <t>5100115209</t>
  </si>
  <si>
    <t>156419</t>
  </si>
  <si>
    <t>2440</t>
  </si>
  <si>
    <t>13022</t>
  </si>
  <si>
    <t>0000003547</t>
  </si>
  <si>
    <t>TBL-006-JUL-2024</t>
  </si>
  <si>
    <t>156721</t>
  </si>
  <si>
    <t>156776</t>
  </si>
  <si>
    <t>0000000234</t>
  </si>
  <si>
    <t>156782</t>
  </si>
  <si>
    <t>0000003552</t>
  </si>
  <si>
    <t>TBL-007-JUL-2024</t>
  </si>
  <si>
    <t>0000000237</t>
  </si>
  <si>
    <t>157008</t>
  </si>
  <si>
    <t>0000001023</t>
  </si>
  <si>
    <t>156994</t>
  </si>
  <si>
    <t>TBL-008-JUL-2024</t>
  </si>
  <si>
    <t>156918</t>
  </si>
  <si>
    <t>0000002408</t>
  </si>
  <si>
    <t>156949</t>
  </si>
  <si>
    <t>0000001021</t>
  </si>
  <si>
    <t>156902</t>
  </si>
  <si>
    <t>0488702503</t>
  </si>
  <si>
    <t>TBL-014-JUL-2024</t>
  </si>
  <si>
    <t>157490</t>
  </si>
  <si>
    <t>2000001020</t>
  </si>
  <si>
    <t>2000001015</t>
  </si>
  <si>
    <t>0000101235</t>
  </si>
  <si>
    <t>Райс ЕООД</t>
  </si>
  <si>
    <t>8000002021</t>
  </si>
  <si>
    <t>0000003582</t>
  </si>
  <si>
    <t>TBL-013-JUL-2024</t>
  </si>
  <si>
    <t>0000003577</t>
  </si>
  <si>
    <t>TBL-012-JUL-2024</t>
  </si>
  <si>
    <t>TBL-011-JUL-2024</t>
  </si>
  <si>
    <t>0000002424</t>
  </si>
  <si>
    <t>157265</t>
  </si>
  <si>
    <t>2000001009</t>
  </si>
  <si>
    <t>TBL-010-JUL-2024</t>
  </si>
  <si>
    <t>157217</t>
  </si>
  <si>
    <t>0000013181</t>
  </si>
  <si>
    <t>157153</t>
  </si>
  <si>
    <t>0000013167</t>
  </si>
  <si>
    <t>157115</t>
  </si>
  <si>
    <t>157017</t>
  </si>
  <si>
    <t>0000001025</t>
  </si>
  <si>
    <t>157087</t>
  </si>
  <si>
    <t>0000003571</t>
  </si>
  <si>
    <t>157010</t>
  </si>
  <si>
    <t>TBL-009-JUL-2024</t>
  </si>
  <si>
    <t>157076</t>
  </si>
  <si>
    <t>0000002414</t>
  </si>
  <si>
    <t>157048</t>
  </si>
  <si>
    <t>157053</t>
  </si>
  <si>
    <t>480</t>
  </si>
  <si>
    <t>KOLMAR</t>
  </si>
  <si>
    <t>MBC Finance</t>
  </si>
  <si>
    <t>0800004665</t>
  </si>
  <si>
    <t>20000001024</t>
  </si>
  <si>
    <t>20000001026</t>
  </si>
  <si>
    <t>20000001027</t>
  </si>
  <si>
    <t>20000001028</t>
  </si>
  <si>
    <t>20000001029</t>
  </si>
  <si>
    <t>20000001030</t>
  </si>
  <si>
    <t>20000001031</t>
  </si>
  <si>
    <t>20000001032</t>
  </si>
  <si>
    <t>20000001033</t>
  </si>
  <si>
    <t>20000001034</t>
  </si>
  <si>
    <t>20000001035</t>
  </si>
  <si>
    <t>20000001036</t>
  </si>
  <si>
    <t>20000001037</t>
  </si>
  <si>
    <t>20000001038</t>
  </si>
  <si>
    <t>20000001039</t>
  </si>
  <si>
    <t>TBL-016-JUL-2024</t>
  </si>
  <si>
    <t>0000001034</t>
  </si>
  <si>
    <t>0000013217</t>
  </si>
  <si>
    <t>TBL-015-JUL-2024</t>
  </si>
  <si>
    <t>0000003595</t>
  </si>
  <si>
    <t>0000003590</t>
  </si>
  <si>
    <t>2624TSO000059</t>
  </si>
  <si>
    <t>Nova Power &amp; Gas</t>
  </si>
  <si>
    <t>0000018569</t>
  </si>
  <si>
    <t>0020001299</t>
  </si>
  <si>
    <t>157801</t>
  </si>
  <si>
    <t>157808</t>
  </si>
  <si>
    <t>157820</t>
  </si>
  <si>
    <t>157754</t>
  </si>
  <si>
    <t>157763</t>
  </si>
  <si>
    <t>157784</t>
  </si>
  <si>
    <t>2000001043</t>
  </si>
  <si>
    <t>9601406</t>
  </si>
  <si>
    <t>9601407</t>
  </si>
  <si>
    <t>9601408</t>
  </si>
  <si>
    <t>9601409</t>
  </si>
  <si>
    <t>110001823</t>
  </si>
  <si>
    <t>158113</t>
  </si>
  <si>
    <t>КиС ЕООД</t>
  </si>
  <si>
    <t>0300038853</t>
  </si>
  <si>
    <t>0000001926</t>
  </si>
  <si>
    <t>141547</t>
  </si>
  <si>
    <t>141550</t>
  </si>
  <si>
    <t>0000002669</t>
  </si>
  <si>
    <t>0000002917</t>
  </si>
  <si>
    <t>0100002261</t>
  </si>
  <si>
    <t>юли 2024</t>
  </si>
  <si>
    <t>0100002308</t>
  </si>
  <si>
    <t>API юли 2024</t>
  </si>
  <si>
    <t>83 UEV</t>
  </si>
  <si>
    <t>0000013252</t>
  </si>
  <si>
    <t>157946</t>
  </si>
  <si>
    <t>TBL-019-JUL-2024</t>
  </si>
  <si>
    <t>157997</t>
  </si>
  <si>
    <t>2624TSO000228</t>
  </si>
  <si>
    <t>2000001025</t>
  </si>
  <si>
    <t>TBL-017-JUL-2024</t>
  </si>
  <si>
    <t>157862</t>
  </si>
  <si>
    <t>0000002448</t>
  </si>
  <si>
    <t>158017</t>
  </si>
  <si>
    <t>TBL-020-JUL-2024</t>
  </si>
  <si>
    <t>158181</t>
  </si>
  <si>
    <t>158203</t>
  </si>
  <si>
    <t>158089</t>
  </si>
  <si>
    <t>0000013261</t>
  </si>
  <si>
    <t>158018</t>
  </si>
  <si>
    <t>TBL-018-JUL-2024</t>
  </si>
  <si>
    <t>157937</t>
  </si>
  <si>
    <t>01.07.224</t>
  </si>
  <si>
    <t>ОТСТЪПКА ПРИРОДЕН ГАЗ</t>
  </si>
  <si>
    <t>TBL-021-JUL-2024</t>
  </si>
  <si>
    <t>158259</t>
  </si>
  <si>
    <t>TBL-001-AUG-2025</t>
  </si>
  <si>
    <t>2000001052</t>
  </si>
  <si>
    <t>2000001056</t>
  </si>
  <si>
    <t>0000003611</t>
  </si>
  <si>
    <t>158336</t>
  </si>
  <si>
    <t>0000013264</t>
  </si>
  <si>
    <t>158217</t>
  </si>
  <si>
    <t>158165</t>
  </si>
  <si>
    <t>8000002090</t>
  </si>
  <si>
    <t>158125</t>
  </si>
  <si>
    <t>158126</t>
  </si>
  <si>
    <t>Екогаз Инженеринг</t>
  </si>
  <si>
    <t>0000000364</t>
  </si>
  <si>
    <t>156410</t>
  </si>
  <si>
    <t>2000001059</t>
  </si>
  <si>
    <t>TBL-022-JUL-2024</t>
  </si>
  <si>
    <t>158438</t>
  </si>
  <si>
    <t>29.07.2024</t>
  </si>
  <si>
    <t>0000013276</t>
  </si>
  <si>
    <t>158319</t>
  </si>
  <si>
    <t>158315</t>
  </si>
  <si>
    <t>158279</t>
  </si>
  <si>
    <t>1100018271</t>
  </si>
  <si>
    <t>158491</t>
  </si>
  <si>
    <t>0000002455</t>
  </si>
  <si>
    <t>158547</t>
  </si>
  <si>
    <t>0000013292</t>
  </si>
  <si>
    <t>158403</t>
  </si>
  <si>
    <t>158386</t>
  </si>
  <si>
    <t>5025-2024-560</t>
  </si>
  <si>
    <t>0040000659</t>
  </si>
  <si>
    <t>0040000651</t>
  </si>
  <si>
    <t>9601462</t>
  </si>
  <si>
    <t>8001944114</t>
  </si>
  <si>
    <t>110008263</t>
  </si>
  <si>
    <t>TBL-002-AUG-2024</t>
  </si>
  <si>
    <t>0100002384</t>
  </si>
  <si>
    <t>0100002338</t>
  </si>
  <si>
    <t>август 2024</t>
  </si>
  <si>
    <t>доп. Екран</t>
  </si>
  <si>
    <t>2400003298</t>
  </si>
  <si>
    <t>2400003299</t>
  </si>
  <si>
    <t>0000005553</t>
  </si>
  <si>
    <t>2624000239</t>
  </si>
  <si>
    <t>1100018283</t>
  </si>
  <si>
    <t>0000013340</t>
  </si>
  <si>
    <t>0000013325</t>
  </si>
  <si>
    <t>13333</t>
  </si>
  <si>
    <t>2572</t>
  </si>
  <si>
    <t>0001670</t>
  </si>
  <si>
    <t>eurobank</t>
  </si>
  <si>
    <t>400006634504901</t>
  </si>
  <si>
    <t>0800004786</t>
  </si>
  <si>
    <t>0800004785</t>
  </si>
  <si>
    <t>0800004784</t>
  </si>
  <si>
    <t>1100018290</t>
  </si>
  <si>
    <t>TBL-023-JUL-2024</t>
  </si>
  <si>
    <t>85/UEV</t>
  </si>
  <si>
    <t>000013355</t>
  </si>
  <si>
    <t>0243645</t>
  </si>
  <si>
    <t>0000000481</t>
  </si>
  <si>
    <t>TI-2024-AUG-001</t>
  </si>
  <si>
    <t>TI-2024-JUL-001</t>
  </si>
  <si>
    <t>ТЕЦ Марица 3</t>
  </si>
  <si>
    <t>0000013374</t>
  </si>
  <si>
    <t>Енемона Екогаз ООД</t>
  </si>
  <si>
    <t>Газ трейдинг 2002</t>
  </si>
  <si>
    <t>NOMAGAS JSC</t>
  </si>
  <si>
    <t>Ozbor Enterprises Limited</t>
  </si>
  <si>
    <t>Мет Енерджи Трейдинг България</t>
  </si>
  <si>
    <t>Сигма Инвест</t>
  </si>
  <si>
    <t>SNTGN TRANSGAZ</t>
  </si>
  <si>
    <t>Societa Gas Rimini</t>
  </si>
  <si>
    <t>75 UEV</t>
  </si>
  <si>
    <t>deal 1</t>
  </si>
  <si>
    <t>deal 2</t>
  </si>
  <si>
    <t>deal 3</t>
  </si>
  <si>
    <t>deal 4</t>
  </si>
  <si>
    <t>deal 5</t>
  </si>
  <si>
    <t>0000013361</t>
  </si>
  <si>
    <t>NOVA POWER &amp; GAS</t>
  </si>
  <si>
    <t>12.08.2024</t>
  </si>
  <si>
    <t>3100000528</t>
  </si>
  <si>
    <t>3100000529</t>
  </si>
  <si>
    <t>3100000527</t>
  </si>
  <si>
    <t>TBL-003-AUG-2024</t>
  </si>
  <si>
    <t>05.08.024</t>
  </si>
  <si>
    <t>SPECTRO ENERGY</t>
  </si>
  <si>
    <t>осигуровки</t>
  </si>
  <si>
    <t>газ енерджи файненс</t>
  </si>
  <si>
    <t>Jar Computers</t>
  </si>
  <si>
    <t>0030427553</t>
  </si>
  <si>
    <t>0490172302</t>
  </si>
  <si>
    <t>21.08.224</t>
  </si>
  <si>
    <t>20000001106</t>
  </si>
  <si>
    <t>КИ към 0822</t>
  </si>
  <si>
    <t>20000001107</t>
  </si>
  <si>
    <t>КИ към 0823</t>
  </si>
  <si>
    <t>20000001108</t>
  </si>
  <si>
    <t>КИ към 0839</t>
  </si>
  <si>
    <t>20000001109</t>
  </si>
  <si>
    <t>КИ към 0840</t>
  </si>
  <si>
    <t>20000001110</t>
  </si>
  <si>
    <t>КИ към 0871</t>
  </si>
  <si>
    <t>20000001111</t>
  </si>
  <si>
    <t>КИ към 0872</t>
  </si>
  <si>
    <t>20000001099</t>
  </si>
  <si>
    <t>20000001097</t>
  </si>
  <si>
    <t>20000001112</t>
  </si>
  <si>
    <t>20000001113</t>
  </si>
  <si>
    <t>20000001114</t>
  </si>
  <si>
    <t>20000001115</t>
  </si>
  <si>
    <t>20000001116</t>
  </si>
  <si>
    <t>20000001117</t>
  </si>
  <si>
    <t>20000001096</t>
  </si>
  <si>
    <t>20000001098</t>
  </si>
  <si>
    <t>20000001100</t>
  </si>
  <si>
    <t>20000001101</t>
  </si>
  <si>
    <t>Болкан Газ Лоджистикс</t>
  </si>
  <si>
    <t>00000003744</t>
  </si>
  <si>
    <t>00000002504</t>
  </si>
  <si>
    <t>00000003763</t>
  </si>
  <si>
    <t>2400003790</t>
  </si>
  <si>
    <t>2400003789</t>
  </si>
  <si>
    <t>636</t>
  </si>
  <si>
    <t>20244364</t>
  </si>
  <si>
    <t>000013484</t>
  </si>
  <si>
    <t>EUR-597</t>
  </si>
  <si>
    <t>EUR-604</t>
  </si>
  <si>
    <t>EUR-605</t>
  </si>
  <si>
    <t>EUR-619</t>
  </si>
  <si>
    <t xml:space="preserve">Травъл Ес Експрес </t>
  </si>
  <si>
    <t>000001538</t>
  </si>
  <si>
    <t>000001537</t>
  </si>
  <si>
    <t>1000012535</t>
  </si>
  <si>
    <t>1000012536</t>
  </si>
  <si>
    <t>0000018836</t>
  </si>
  <si>
    <t>000002523</t>
  </si>
  <si>
    <t>8000002218</t>
  </si>
  <si>
    <t>0000003789</t>
  </si>
  <si>
    <t>TBL-004-AUG-2024</t>
  </si>
  <si>
    <t>КЕП</t>
  </si>
  <si>
    <t>TBL-001-SEPT-2024</t>
  </si>
  <si>
    <t>161449</t>
  </si>
  <si>
    <t>161531</t>
  </si>
  <si>
    <t>161595</t>
  </si>
  <si>
    <t>161549</t>
  </si>
  <si>
    <t>161552</t>
  </si>
  <si>
    <t>2000001133</t>
  </si>
  <si>
    <t>2000001140</t>
  </si>
  <si>
    <t>2000001137</t>
  </si>
  <si>
    <t>API август 2024</t>
  </si>
  <si>
    <t>3000002922</t>
  </si>
  <si>
    <t>3000002941</t>
  </si>
  <si>
    <t>3000002942</t>
  </si>
  <si>
    <t>3000002943</t>
  </si>
  <si>
    <t>3000002944</t>
  </si>
  <si>
    <t>3000002945</t>
  </si>
  <si>
    <t>3000002946</t>
  </si>
  <si>
    <t>3000002947</t>
  </si>
  <si>
    <t>3000002948</t>
  </si>
  <si>
    <t>3000002949</t>
  </si>
  <si>
    <t>3000002950</t>
  </si>
  <si>
    <t>3000002951</t>
  </si>
  <si>
    <t>3000002952</t>
  </si>
  <si>
    <t>3000002953</t>
  </si>
  <si>
    <t>3000002954</t>
  </si>
  <si>
    <t>3000002955</t>
  </si>
  <si>
    <t>3000002956</t>
  </si>
  <si>
    <t>3000002957</t>
  </si>
  <si>
    <t>Hotel Coco-mat</t>
  </si>
  <si>
    <t>командировка</t>
  </si>
  <si>
    <t>TI-2024-SEP-001</t>
  </si>
  <si>
    <t>TBL-003-SEPT-2024</t>
  </si>
  <si>
    <t>3000002963</t>
  </si>
  <si>
    <t>3000002964</t>
  </si>
  <si>
    <t>3000002965</t>
  </si>
  <si>
    <t>3000002966</t>
  </si>
  <si>
    <t>3000002967</t>
  </si>
  <si>
    <t>3000002958</t>
  </si>
  <si>
    <t>3000002959</t>
  </si>
  <si>
    <t>3000002960</t>
  </si>
  <si>
    <t>3000002961</t>
  </si>
  <si>
    <t>3000002962</t>
  </si>
  <si>
    <t>Райгаз</t>
  </si>
  <si>
    <t>TI-2024-SEP-002</t>
  </si>
  <si>
    <t>TI-2024-SEP-003</t>
  </si>
  <si>
    <t>Gaz Trading</t>
  </si>
  <si>
    <t>162020</t>
  </si>
  <si>
    <t>162028</t>
  </si>
  <si>
    <t>162156</t>
  </si>
  <si>
    <t>162233</t>
  </si>
  <si>
    <t>162167</t>
  </si>
  <si>
    <t>162180</t>
  </si>
  <si>
    <t>162188</t>
  </si>
  <si>
    <t>162109</t>
  </si>
  <si>
    <t>162115</t>
  </si>
  <si>
    <t>162157</t>
  </si>
  <si>
    <t>162158</t>
  </si>
  <si>
    <t>162171</t>
  </si>
  <si>
    <t>162213</t>
  </si>
  <si>
    <t>3100000569</t>
  </si>
  <si>
    <t>162190</t>
  </si>
  <si>
    <t>162185</t>
  </si>
  <si>
    <t>162186</t>
  </si>
  <si>
    <t>162187</t>
  </si>
  <si>
    <t>162236</t>
  </si>
  <si>
    <t>162284</t>
  </si>
  <si>
    <t>162305</t>
  </si>
  <si>
    <t>162307</t>
  </si>
  <si>
    <t>TBL-007-SEPT-2025</t>
  </si>
  <si>
    <t>162297</t>
  </si>
  <si>
    <t>62216</t>
  </si>
  <si>
    <t>3100000568</t>
  </si>
  <si>
    <t>162413</t>
  </si>
  <si>
    <t>162380</t>
  </si>
  <si>
    <t>162444</t>
  </si>
  <si>
    <t>TBL-006-SEPT-2024</t>
  </si>
  <si>
    <t>TBL-008-SEPT-2024</t>
  </si>
  <si>
    <t>TBL-005-SEPT-2024</t>
  </si>
  <si>
    <t>TBL-004-SEPT-2024</t>
  </si>
  <si>
    <t>TBL-002-SEPT-2024</t>
  </si>
  <si>
    <t xml:space="preserve"> </t>
  </si>
  <si>
    <t>TBL-009-SEPT-2025</t>
  </si>
  <si>
    <t>162823</t>
  </si>
  <si>
    <t>162668</t>
  </si>
  <si>
    <t>162789</t>
  </si>
  <si>
    <t>162792</t>
  </si>
  <si>
    <t>152819</t>
  </si>
  <si>
    <t>162831</t>
  </si>
  <si>
    <t>162877</t>
  </si>
  <si>
    <t>TBL-010-SEPT-2025</t>
  </si>
  <si>
    <t>22.09.204</t>
  </si>
  <si>
    <t>162643</t>
  </si>
  <si>
    <t>162794</t>
  </si>
  <si>
    <t>162685</t>
  </si>
  <si>
    <t>162895</t>
  </si>
  <si>
    <t>TBL-011-SEPT-2025</t>
  </si>
  <si>
    <t>162938</t>
  </si>
  <si>
    <t>163002</t>
  </si>
  <si>
    <t>162953</t>
  </si>
  <si>
    <t>162950</t>
  </si>
  <si>
    <t>TBL-012-SEPT-2025</t>
  </si>
  <si>
    <t>163053</t>
  </si>
  <si>
    <t>163077</t>
  </si>
  <si>
    <t>163160</t>
  </si>
  <si>
    <t>162723</t>
  </si>
  <si>
    <t>3100000570</t>
  </si>
  <si>
    <t>163203</t>
  </si>
  <si>
    <t>TBL-013-SEPT-2025</t>
  </si>
  <si>
    <t>163207</t>
  </si>
  <si>
    <t>163382</t>
  </si>
  <si>
    <t>163453</t>
  </si>
  <si>
    <t>163419</t>
  </si>
  <si>
    <t>163420</t>
  </si>
  <si>
    <t>163429</t>
  </si>
  <si>
    <t>163430</t>
  </si>
  <si>
    <t>163296</t>
  </si>
  <si>
    <t>163308</t>
  </si>
  <si>
    <t>TBL-014-SEPT-2025</t>
  </si>
  <si>
    <t>163349</t>
  </si>
  <si>
    <t>163465</t>
  </si>
  <si>
    <t>163560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</si>
</sst>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\.m\.yyyy\ &quot;г.&quot;;@"/>
    <numFmt numFmtId="165" formatCode="#,##0.000"/>
    <numFmt numFmtId="166" formatCode="#,##0.0000"/>
    <numFmt numFmtId="167" formatCode="0.000"/>
    <numFmt numFmtId="168" formatCode="#,##0.00\ _л_в_."/>
    <numFmt numFmtId="169" formatCode="#,##0.00\ [$€-1]"/>
    <numFmt numFmtId="170" formatCode="#,##0.00\ &quot;лв.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4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i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7030A0"/>
      <name val="Times New Roman"/>
      <family val="1"/>
    </font>
    <font>
      <b/>
      <sz val="12"/>
      <color rgb="FF7030A0"/>
      <name val="Times New Roman"/>
      <family val="1"/>
    </font>
    <font>
      <sz val="14"/>
      <color rgb="FF7030A0"/>
      <name val="Times New Roman"/>
      <family val="1"/>
    </font>
    <font>
      <b/>
      <sz val="14"/>
      <color rgb="FF7030A0"/>
      <name val="Times New Roman"/>
      <family val="1"/>
    </font>
    <font>
      <i/>
      <sz val="14"/>
      <color rgb="FF7030A0"/>
      <name val="Times New Roman"/>
      <family val="1"/>
    </font>
    <font>
      <b/>
      <i/>
      <sz val="14"/>
      <color rgb="FF7030A0"/>
      <name val="Times New Roman"/>
      <family val="1"/>
    </font>
    <font>
      <i/>
      <sz val="14"/>
      <color theme="5" tint="-0.249977111117893"/>
      <name val="Times New Roman"/>
      <family val="1"/>
      <charset val="204"/>
    </font>
    <font>
      <b/>
      <i/>
      <sz val="14"/>
      <color theme="5" tint="-0.249977111117893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30" fillId="0" borderId="0" applyNumberFormat="0" applyFill="0" applyBorder="0" applyAlignment="0" applyProtection="0"/>
    <xf numFmtId="43" fontId="39" fillId="0" borderId="0" applyFont="0" applyFill="0" applyBorder="0" applyAlignment="0" applyProtection="0"/>
  </cellStyleXfs>
  <cellXfs count="426">
    <xf numFmtId="0" fontId="0" fillId="0" borderId="0" xfId="0"/>
    <xf numFmtId="3" fontId="13" fillId="2" borderId="0" xfId="1" applyNumberFormat="1" applyFont="1" applyFill="1"/>
    <xf numFmtId="0" fontId="14" fillId="3" borderId="1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justify" wrapText="1"/>
    </xf>
    <xf numFmtId="0" fontId="15" fillId="0" borderId="0" xfId="0" applyFont="1"/>
    <xf numFmtId="0" fontId="14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wrapText="1"/>
    </xf>
    <xf numFmtId="0" fontId="14" fillId="2" borderId="1" xfId="1" applyFont="1" applyFill="1" applyBorder="1" applyAlignment="1">
      <alignment vertical="center"/>
    </xf>
    <xf numFmtId="0" fontId="13" fillId="2" borderId="1" xfId="1" applyFont="1" applyFill="1" applyBorder="1" applyAlignment="1">
      <alignment wrapText="1"/>
    </xf>
    <xf numFmtId="0" fontId="13" fillId="0" borderId="0" xfId="1" applyFont="1"/>
    <xf numFmtId="0" fontId="15" fillId="0" borderId="1" xfId="0" applyFont="1" applyBorder="1"/>
    <xf numFmtId="0" fontId="5" fillId="0" borderId="0" xfId="1" applyFont="1"/>
    <xf numFmtId="0" fontId="10" fillId="0" borderId="0" xfId="1" applyFont="1" applyAlignment="1">
      <alignment wrapText="1"/>
    </xf>
    <xf numFmtId="3" fontId="5" fillId="2" borderId="0" xfId="1" applyNumberFormat="1" applyFont="1" applyFill="1"/>
    <xf numFmtId="0" fontId="6" fillId="0" borderId="0" xfId="0" applyFont="1"/>
    <xf numFmtId="0" fontId="5" fillId="2" borderId="0" xfId="1" applyFont="1" applyFill="1"/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6" fillId="0" borderId="0" xfId="0" applyFont="1"/>
    <xf numFmtId="0" fontId="17" fillId="2" borderId="1" xfId="1" applyFont="1" applyFill="1" applyBorder="1" applyAlignment="1">
      <alignment vertical="center"/>
    </xf>
    <xf numFmtId="0" fontId="19" fillId="0" borderId="0" xfId="0" applyFont="1"/>
    <xf numFmtId="0" fontId="20" fillId="2" borderId="1" xfId="1" applyFont="1" applyFill="1" applyBorder="1" applyAlignment="1">
      <alignment vertical="center"/>
    </xf>
    <xf numFmtId="0" fontId="21" fillId="2" borderId="1" xfId="1" applyFont="1" applyFill="1" applyBorder="1" applyAlignment="1">
      <alignment wrapText="1"/>
    </xf>
    <xf numFmtId="4" fontId="16" fillId="0" borderId="0" xfId="0" applyNumberFormat="1" applyFont="1"/>
    <xf numFmtId="0" fontId="18" fillId="0" borderId="0" xfId="1" applyFont="1"/>
    <xf numFmtId="0" fontId="9" fillId="0" borderId="0" xfId="0" applyFont="1" applyAlignment="1">
      <alignment wrapText="1"/>
    </xf>
    <xf numFmtId="4" fontId="6" fillId="0" borderId="0" xfId="0" applyNumberFormat="1" applyFont="1"/>
    <xf numFmtId="3" fontId="6" fillId="0" borderId="0" xfId="0" applyNumberFormat="1" applyFont="1"/>
    <xf numFmtId="164" fontId="7" fillId="7" borderId="1" xfId="1" applyNumberFormat="1" applyFont="1" applyFill="1" applyBorder="1" applyAlignment="1">
      <alignment horizontal="center" vertical="center" wrapText="1"/>
    </xf>
    <xf numFmtId="3" fontId="13" fillId="2" borderId="1" xfId="1" applyNumberFormat="1" applyFont="1" applyFill="1" applyBorder="1" applyAlignment="1">
      <alignment wrapText="1"/>
    </xf>
    <xf numFmtId="3" fontId="19" fillId="0" borderId="0" xfId="1" applyNumberFormat="1" applyFont="1"/>
    <xf numFmtId="3" fontId="20" fillId="2" borderId="1" xfId="1" applyNumberFormat="1" applyFont="1" applyFill="1" applyBorder="1" applyAlignment="1">
      <alignment vertical="center"/>
    </xf>
    <xf numFmtId="3" fontId="21" fillId="2" borderId="1" xfId="1" applyNumberFormat="1" applyFont="1" applyFill="1" applyBorder="1" applyAlignment="1">
      <alignment wrapText="1"/>
    </xf>
    <xf numFmtId="3" fontId="19" fillId="0" borderId="0" xfId="0" applyNumberFormat="1" applyFont="1"/>
    <xf numFmtId="3" fontId="18" fillId="0" borderId="0" xfId="1" applyNumberFormat="1" applyFont="1"/>
    <xf numFmtId="3" fontId="17" fillId="2" borderId="1" xfId="1" applyNumberFormat="1" applyFont="1" applyFill="1" applyBorder="1" applyAlignment="1">
      <alignment vertical="center"/>
    </xf>
    <xf numFmtId="3" fontId="16" fillId="0" borderId="0" xfId="0" applyNumberFormat="1" applyFont="1"/>
    <xf numFmtId="3" fontId="5" fillId="2" borderId="0" xfId="1" applyNumberFormat="1" applyFont="1" applyFill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13" fillId="0" borderId="0" xfId="1" applyNumberFormat="1" applyFont="1" applyAlignment="1">
      <alignment vertical="center"/>
    </xf>
    <xf numFmtId="168" fontId="14" fillId="3" borderId="1" xfId="1" applyNumberFormat="1" applyFont="1" applyFill="1" applyBorder="1" applyAlignment="1">
      <alignment horizontal="center" vertical="center"/>
    </xf>
    <xf numFmtId="168" fontId="14" fillId="3" borderId="1" xfId="1" applyNumberFormat="1" applyFont="1" applyFill="1" applyBorder="1" applyAlignment="1">
      <alignment horizontal="justify" vertical="center" wrapText="1"/>
    </xf>
    <xf numFmtId="168" fontId="15" fillId="0" borderId="0" xfId="0" applyNumberFormat="1" applyFont="1" applyAlignment="1">
      <alignment vertical="center"/>
    </xf>
    <xf numFmtId="0" fontId="12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wrapText="1"/>
    </xf>
    <xf numFmtId="3" fontId="22" fillId="2" borderId="1" xfId="1" applyNumberFormat="1" applyFont="1" applyFill="1" applyBorder="1" applyAlignment="1">
      <alignment wrapText="1"/>
    </xf>
    <xf numFmtId="0" fontId="22" fillId="0" borderId="0" xfId="1" applyFont="1"/>
    <xf numFmtId="0" fontId="25" fillId="2" borderId="1" xfId="1" applyFont="1" applyFill="1" applyBorder="1" applyAlignment="1">
      <alignment vertical="center"/>
    </xf>
    <xf numFmtId="0" fontId="26" fillId="0" borderId="0" xfId="0" applyFont="1"/>
    <xf numFmtId="4" fontId="23" fillId="3" borderId="1" xfId="1" applyNumberFormat="1" applyFont="1" applyFill="1" applyBorder="1" applyAlignment="1">
      <alignment horizontal="right" vertical="center"/>
    </xf>
    <xf numFmtId="4" fontId="23" fillId="2" borderId="1" xfId="1" applyNumberFormat="1" applyFont="1" applyFill="1" applyBorder="1" applyAlignment="1">
      <alignment horizontal="right" vertical="center"/>
    </xf>
    <xf numFmtId="4" fontId="23" fillId="7" borderId="1" xfId="1" applyNumberFormat="1" applyFont="1" applyFill="1" applyBorder="1" applyAlignment="1">
      <alignment horizontal="right" vertical="center"/>
    </xf>
    <xf numFmtId="4" fontId="23" fillId="4" borderId="1" xfId="1" applyNumberFormat="1" applyFont="1" applyFill="1" applyBorder="1" applyAlignment="1">
      <alignment horizontal="right" vertical="center"/>
    </xf>
    <xf numFmtId="4" fontId="23" fillId="6" borderId="1" xfId="1" applyNumberFormat="1" applyFont="1" applyFill="1" applyBorder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2" fillId="7" borderId="1" xfId="1" applyNumberFormat="1" applyFont="1" applyFill="1" applyBorder="1" applyAlignment="1">
      <alignment horizontal="right" vertical="center"/>
    </xf>
    <xf numFmtId="4" fontId="12" fillId="4" borderId="1" xfId="1" applyNumberFormat="1" applyFont="1" applyFill="1" applyBorder="1" applyAlignment="1">
      <alignment horizontal="right" vertical="center"/>
    </xf>
    <xf numFmtId="4" fontId="12" fillId="6" borderId="1" xfId="1" applyNumberFormat="1" applyFont="1" applyFill="1" applyBorder="1" applyAlignment="1">
      <alignment horizontal="right" vertical="center"/>
    </xf>
    <xf numFmtId="4" fontId="27" fillId="2" borderId="1" xfId="1" applyNumberFormat="1" applyFont="1" applyFill="1" applyBorder="1" applyAlignment="1">
      <alignment horizontal="right" vertical="center" wrapText="1"/>
    </xf>
    <xf numFmtId="4" fontId="27" fillId="0" borderId="1" xfId="1" applyNumberFormat="1" applyFont="1" applyBorder="1" applyAlignment="1">
      <alignment horizontal="right" vertical="center"/>
    </xf>
    <xf numFmtId="4" fontId="27" fillId="7" borderId="1" xfId="1" applyNumberFormat="1" applyFont="1" applyFill="1" applyBorder="1" applyAlignment="1">
      <alignment horizontal="right" vertical="center"/>
    </xf>
    <xf numFmtId="4" fontId="27" fillId="4" borderId="1" xfId="1" applyNumberFormat="1" applyFont="1" applyFill="1" applyBorder="1" applyAlignment="1">
      <alignment horizontal="right" vertical="center"/>
    </xf>
    <xf numFmtId="4" fontId="27" fillId="6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vertical="center" wrapText="1"/>
    </xf>
    <xf numFmtId="4" fontId="12" fillId="6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vertical="center"/>
    </xf>
    <xf numFmtId="4" fontId="27" fillId="2" borderId="1" xfId="1" applyNumberFormat="1" applyFont="1" applyFill="1" applyBorder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4" fontId="23" fillId="5" borderId="1" xfId="1" applyNumberFormat="1" applyFont="1" applyFill="1" applyBorder="1" applyAlignment="1">
      <alignment horizontal="right" vertical="center"/>
    </xf>
    <xf numFmtId="4" fontId="12" fillId="5" borderId="1" xfId="1" applyNumberFormat="1" applyFont="1" applyFill="1" applyBorder="1" applyAlignment="1">
      <alignment horizontal="right" vertical="center"/>
    </xf>
    <xf numFmtId="4" fontId="27" fillId="5" borderId="1" xfId="1" applyNumberFormat="1" applyFont="1" applyFill="1" applyBorder="1" applyAlignment="1">
      <alignment horizontal="right" vertical="center"/>
    </xf>
    <xf numFmtId="4" fontId="12" fillId="8" borderId="1" xfId="1" applyNumberFormat="1" applyFont="1" applyFill="1" applyBorder="1" applyAlignment="1">
      <alignment horizontal="right" vertical="center"/>
    </xf>
    <xf numFmtId="4" fontId="23" fillId="8" borderId="1" xfId="1" applyNumberFormat="1" applyFont="1" applyFill="1" applyBorder="1" applyAlignment="1">
      <alignment horizontal="right" vertical="center"/>
    </xf>
    <xf numFmtId="4" fontId="27" fillId="8" borderId="1" xfId="1" applyNumberFormat="1" applyFont="1" applyFill="1" applyBorder="1" applyAlignment="1">
      <alignment horizontal="right" vertical="center"/>
    </xf>
    <xf numFmtId="4" fontId="27" fillId="5" borderId="1" xfId="1" applyNumberFormat="1" applyFont="1" applyFill="1" applyBorder="1" applyAlignment="1">
      <alignment horizontal="right" vertical="center" wrapText="1"/>
    </xf>
    <xf numFmtId="4" fontId="12" fillId="5" borderId="1" xfId="1" applyNumberFormat="1" applyFont="1" applyFill="1" applyBorder="1" applyAlignment="1">
      <alignment horizontal="right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right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4" fontId="24" fillId="5" borderId="0" xfId="0" applyNumberFormat="1" applyFont="1" applyFill="1" applyAlignment="1">
      <alignment horizontal="right" vertical="center"/>
    </xf>
    <xf numFmtId="164" fontId="7" fillId="8" borderId="1" xfId="1" applyNumberFormat="1" applyFont="1" applyFill="1" applyBorder="1" applyAlignment="1">
      <alignment horizontal="right" vertical="center" wrapText="1"/>
    </xf>
    <xf numFmtId="0" fontId="3" fillId="0" borderId="0" xfId="2"/>
    <xf numFmtId="0" fontId="3" fillId="0" borderId="1" xfId="2" applyBorder="1"/>
    <xf numFmtId="3" fontId="3" fillId="0" borderId="1" xfId="2" applyNumberFormat="1" applyBorder="1"/>
    <xf numFmtId="0" fontId="14" fillId="9" borderId="1" xfId="1" applyFont="1" applyFill="1" applyBorder="1" applyAlignment="1">
      <alignment horizontal="justify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4" fontId="12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>
      <alignment horizontal="left" vertical="top" wrapText="1"/>
    </xf>
    <xf numFmtId="167" fontId="12" fillId="0" borderId="1" xfId="0" applyNumberFormat="1" applyFont="1" applyBorder="1" applyAlignment="1" applyProtection="1">
      <alignment horizontal="right" vertical="top"/>
      <protection locked="0"/>
    </xf>
    <xf numFmtId="2" fontId="12" fillId="0" borderId="1" xfId="0" applyNumberFormat="1" applyFont="1" applyBorder="1" applyAlignment="1" applyProtection="1">
      <alignment horizontal="right"/>
      <protection locked="0"/>
    </xf>
    <xf numFmtId="4" fontId="12" fillId="0" borderId="1" xfId="0" applyNumberFormat="1" applyFont="1" applyBorder="1" applyAlignment="1" applyProtection="1">
      <alignment horizontal="right" vertical="top"/>
      <protection locked="0"/>
    </xf>
    <xf numFmtId="14" fontId="12" fillId="0" borderId="1" xfId="0" applyNumberFormat="1" applyFont="1" applyBorder="1" applyAlignment="1" applyProtection="1">
      <alignment horizontal="right" vertical="top"/>
      <protection locked="0"/>
    </xf>
    <xf numFmtId="4" fontId="12" fillId="0" borderId="3" xfId="0" applyNumberFormat="1" applyFont="1" applyBorder="1" applyAlignment="1">
      <alignment horizontal="right" vertical="top"/>
    </xf>
    <xf numFmtId="14" fontId="12" fillId="0" borderId="1" xfId="0" applyNumberFormat="1" applyFont="1" applyBorder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right" vertical="top"/>
    </xf>
    <xf numFmtId="14" fontId="12" fillId="0" borderId="1" xfId="0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2" fillId="0" borderId="7" xfId="0" applyFont="1" applyBorder="1" applyAlignment="1" applyProtection="1">
      <alignment horizontal="left" vertical="top"/>
      <protection locked="0"/>
    </xf>
    <xf numFmtId="167" fontId="12" fillId="0" borderId="1" xfId="0" applyNumberFormat="1" applyFont="1" applyBorder="1" applyAlignment="1">
      <alignment horizontal="right" vertical="top"/>
    </xf>
    <xf numFmtId="2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 vertical="top"/>
    </xf>
    <xf numFmtId="0" fontId="12" fillId="0" borderId="7" xfId="0" applyFont="1" applyBorder="1" applyAlignment="1">
      <alignment horizontal="left" vertical="top"/>
    </xf>
    <xf numFmtId="14" fontId="12" fillId="0" borderId="7" xfId="0" applyNumberFormat="1" applyFont="1" applyBorder="1" applyAlignment="1">
      <alignment vertical="top"/>
    </xf>
    <xf numFmtId="0" fontId="12" fillId="0" borderId="7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167" fontId="12" fillId="0" borderId="5" xfId="0" applyNumberFormat="1" applyFont="1" applyBorder="1" applyAlignment="1" applyProtection="1">
      <alignment horizontal="right" vertical="top"/>
      <protection locked="0"/>
    </xf>
    <xf numFmtId="2" fontId="12" fillId="0" borderId="5" xfId="0" applyNumberFormat="1" applyFont="1" applyBorder="1" applyAlignment="1" applyProtection="1">
      <alignment horizontal="right"/>
      <protection locked="0"/>
    </xf>
    <xf numFmtId="4" fontId="12" fillId="0" borderId="5" xfId="0" applyNumberFormat="1" applyFont="1" applyBorder="1" applyAlignment="1" applyProtection="1">
      <alignment horizontal="right" vertical="top"/>
      <protection locked="0"/>
    </xf>
    <xf numFmtId="14" fontId="12" fillId="0" borderId="1" xfId="0" applyNumberFormat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wrapText="1"/>
      <protection locked="0"/>
    </xf>
    <xf numFmtId="4" fontId="12" fillId="0" borderId="1" xfId="0" applyNumberFormat="1" applyFont="1" applyBorder="1" applyAlignment="1">
      <alignment horizontal="left" vertical="top"/>
    </xf>
    <xf numFmtId="0" fontId="12" fillId="0" borderId="2" xfId="0" applyFont="1" applyBorder="1" applyAlignment="1" applyProtection="1">
      <alignment horizontal="left" vertical="top"/>
      <protection locked="0"/>
    </xf>
    <xf numFmtId="14" fontId="12" fillId="0" borderId="0" xfId="0" applyNumberFormat="1" applyFont="1" applyAlignment="1" applyProtection="1">
      <alignment vertical="top"/>
      <protection locked="0"/>
    </xf>
    <xf numFmtId="2" fontId="12" fillId="0" borderId="7" xfId="0" applyNumberFormat="1" applyFont="1" applyBorder="1" applyAlignment="1" applyProtection="1">
      <alignment horizontal="right"/>
      <protection locked="0"/>
    </xf>
    <xf numFmtId="4" fontId="12" fillId="0" borderId="7" xfId="0" applyNumberFormat="1" applyFont="1" applyBorder="1" applyAlignment="1" applyProtection="1">
      <alignment horizontal="right" vertical="top"/>
      <protection locked="0"/>
    </xf>
    <xf numFmtId="4" fontId="12" fillId="0" borderId="7" xfId="0" applyNumberFormat="1" applyFont="1" applyBorder="1" applyAlignment="1">
      <alignment horizontal="right" vertical="top"/>
    </xf>
    <xf numFmtId="0" fontId="12" fillId="0" borderId="3" xfId="0" applyFont="1" applyBorder="1" applyAlignment="1" applyProtection="1">
      <alignment horizontal="left" vertical="top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166" fontId="12" fillId="0" borderId="1" xfId="0" applyNumberFormat="1" applyFont="1" applyBorder="1" applyAlignment="1" applyProtection="1">
      <alignment horizontal="right" vertical="top"/>
      <protection locked="0"/>
    </xf>
    <xf numFmtId="165" fontId="12" fillId="0" borderId="1" xfId="0" applyNumberFormat="1" applyFont="1" applyBorder="1" applyAlignment="1" applyProtection="1">
      <alignment horizontal="right" vertical="top"/>
      <protection locked="0"/>
    </xf>
    <xf numFmtId="0" fontId="12" fillId="0" borderId="7" xfId="0" applyFont="1" applyBorder="1" applyAlignment="1" applyProtection="1">
      <alignment horizontal="left" vertical="top" wrapText="1"/>
      <protection locked="0"/>
    </xf>
    <xf numFmtId="14" fontId="12" fillId="0" borderId="7" xfId="0" applyNumberFormat="1" applyFont="1" applyBorder="1" applyAlignment="1" applyProtection="1">
      <alignment vertical="top" wrapText="1"/>
      <protection locked="0"/>
    </xf>
    <xf numFmtId="0" fontId="12" fillId="0" borderId="1" xfId="1" applyFont="1" applyBorder="1" applyAlignment="1">
      <alignment wrapText="1"/>
    </xf>
    <xf numFmtId="0" fontId="12" fillId="0" borderId="3" xfId="0" applyFont="1" applyBorder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2" fontId="12" fillId="0" borderId="1" xfId="0" applyNumberFormat="1" applyFont="1" applyBorder="1" applyAlignment="1">
      <alignment horizontal="right" vertical="top"/>
    </xf>
    <xf numFmtId="167" fontId="12" fillId="0" borderId="7" xfId="0" applyNumberFormat="1" applyFont="1" applyBorder="1" applyAlignment="1">
      <alignment horizontal="right" vertical="top"/>
    </xf>
    <xf numFmtId="2" fontId="12" fillId="0" borderId="7" xfId="0" applyNumberFormat="1" applyFont="1" applyBorder="1" applyAlignment="1">
      <alignment horizontal="right"/>
    </xf>
    <xf numFmtId="4" fontId="12" fillId="0" borderId="8" xfId="0" applyNumberFormat="1" applyFont="1" applyBorder="1" applyAlignment="1">
      <alignment horizontal="right" vertical="top"/>
    </xf>
    <xf numFmtId="0" fontId="12" fillId="0" borderId="7" xfId="1" applyFont="1" applyBorder="1" applyAlignment="1" applyProtection="1">
      <alignment horizontal="left" vertical="top" wrapText="1"/>
      <protection locked="0"/>
    </xf>
    <xf numFmtId="0" fontId="12" fillId="0" borderId="7" xfId="1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2" fillId="0" borderId="8" xfId="1" applyFont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vertical="top"/>
    </xf>
    <xf numFmtId="14" fontId="12" fillId="0" borderId="7" xfId="0" applyNumberFormat="1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14" fontId="12" fillId="0" borderId="0" xfId="0" applyNumberFormat="1" applyFont="1" applyAlignment="1">
      <alignment horizontal="left" vertical="top"/>
    </xf>
    <xf numFmtId="14" fontId="12" fillId="0" borderId="5" xfId="0" applyNumberFormat="1" applyFont="1" applyBorder="1" applyAlignment="1" applyProtection="1">
      <alignment horizontal="right" vertical="top"/>
      <protection locked="0"/>
    </xf>
    <xf numFmtId="2" fontId="12" fillId="0" borderId="1" xfId="0" applyNumberFormat="1" applyFont="1" applyBorder="1"/>
    <xf numFmtId="0" fontId="28" fillId="10" borderId="1" xfId="2" applyFont="1" applyFill="1" applyBorder="1"/>
    <xf numFmtId="1" fontId="3" fillId="0" borderId="0" xfId="2" applyNumberFormat="1"/>
    <xf numFmtId="1" fontId="3" fillId="0" borderId="1" xfId="2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 wrapText="1"/>
    </xf>
    <xf numFmtId="0" fontId="3" fillId="0" borderId="5" xfId="2" applyBorder="1"/>
    <xf numFmtId="1" fontId="3" fillId="0" borderId="5" xfId="2" applyNumberFormat="1" applyBorder="1" applyAlignment="1">
      <alignment horizontal="right"/>
    </xf>
    <xf numFmtId="1" fontId="3" fillId="0" borderId="0" xfId="2" applyNumberFormat="1" applyAlignment="1">
      <alignment horizontal="right"/>
    </xf>
    <xf numFmtId="1" fontId="3" fillId="0" borderId="7" xfId="2" applyNumberFormat="1" applyBorder="1" applyAlignment="1">
      <alignment horizontal="right"/>
    </xf>
    <xf numFmtId="0" fontId="29" fillId="0" borderId="0" xfId="2" applyFont="1"/>
    <xf numFmtId="1" fontId="0" fillId="0" borderId="1" xfId="0" applyNumberFormat="1" applyBorder="1" applyAlignment="1">
      <alignment horizontal="right"/>
    </xf>
    <xf numFmtId="3" fontId="3" fillId="0" borderId="0" xfId="2" applyNumberFormat="1"/>
    <xf numFmtId="3" fontId="3" fillId="0" borderId="7" xfId="2" applyNumberFormat="1" applyBorder="1"/>
    <xf numFmtId="17" fontId="28" fillId="10" borderId="1" xfId="2" applyNumberFormat="1" applyFont="1" applyFill="1" applyBorder="1" applyAlignment="1">
      <alignment horizontal="center"/>
    </xf>
    <xf numFmtId="0" fontId="2" fillId="0" borderId="13" xfId="3" applyBorder="1" applyAlignment="1">
      <alignment horizontal="center" vertical="center" wrapText="1"/>
    </xf>
    <xf numFmtId="0" fontId="2" fillId="0" borderId="1" xfId="3" applyBorder="1" applyAlignment="1">
      <alignment horizontal="center" vertical="center" wrapText="1"/>
    </xf>
    <xf numFmtId="169" fontId="2" fillId="0" borderId="1" xfId="3" applyNumberFormat="1" applyBorder="1" applyAlignment="1">
      <alignment horizontal="center" vertical="center" wrapText="1"/>
    </xf>
    <xf numFmtId="14" fontId="2" fillId="0" borderId="1" xfId="3" applyNumberFormat="1" applyBorder="1" applyAlignment="1">
      <alignment horizontal="center" vertical="center" wrapText="1"/>
    </xf>
    <xf numFmtId="0" fontId="2" fillId="0" borderId="14" xfId="3" applyBorder="1" applyAlignment="1">
      <alignment horizontal="center" vertical="center" wrapText="1"/>
    </xf>
    <xf numFmtId="0" fontId="2" fillId="0" borderId="0" xfId="3" applyAlignment="1">
      <alignment horizontal="center" vertical="center"/>
    </xf>
    <xf numFmtId="169" fontId="2" fillId="0" borderId="14" xfId="3" applyNumberFormat="1" applyBorder="1" applyAlignment="1">
      <alignment horizontal="center" vertical="center" wrapText="1"/>
    </xf>
    <xf numFmtId="3" fontId="3" fillId="0" borderId="7" xfId="2" applyNumberFormat="1" applyBorder="1" applyAlignment="1">
      <alignment horizontal="right"/>
    </xf>
    <xf numFmtId="0" fontId="30" fillId="0" borderId="7" xfId="4" applyBorder="1"/>
    <xf numFmtId="0" fontId="29" fillId="12" borderId="10" xfId="2" applyFont="1" applyFill="1" applyBorder="1"/>
    <xf numFmtId="3" fontId="3" fillId="12" borderId="11" xfId="2" applyNumberFormat="1" applyFill="1" applyBorder="1" applyAlignment="1">
      <alignment horizontal="right"/>
    </xf>
    <xf numFmtId="3" fontId="3" fillId="12" borderId="12" xfId="2" applyNumberFormat="1" applyFill="1" applyBorder="1" applyAlignment="1">
      <alignment horizontal="right"/>
    </xf>
    <xf numFmtId="3" fontId="3" fillId="12" borderId="11" xfId="2" applyNumberFormat="1" applyFill="1" applyBorder="1"/>
    <xf numFmtId="3" fontId="3" fillId="12" borderId="12" xfId="2" applyNumberFormat="1" applyFill="1" applyBorder="1"/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3" fillId="0" borderId="1" xfId="2" applyNumberFormat="1" applyBorder="1" applyAlignment="1">
      <alignment horizontal="right"/>
    </xf>
    <xf numFmtId="0" fontId="2" fillId="0" borderId="0" xfId="3" applyAlignment="1">
      <alignment horizontal="left" vertical="top"/>
    </xf>
    <xf numFmtId="0" fontId="2" fillId="0" borderId="13" xfId="3" applyBorder="1" applyAlignment="1">
      <alignment horizontal="left" vertical="top" wrapText="1"/>
    </xf>
    <xf numFmtId="0" fontId="2" fillId="0" borderId="1" xfId="3" applyBorder="1" applyAlignment="1">
      <alignment horizontal="left" vertical="top" wrapText="1"/>
    </xf>
    <xf numFmtId="0" fontId="2" fillId="0" borderId="14" xfId="3" applyBorder="1" applyAlignment="1">
      <alignment horizontal="left" vertical="top" wrapText="1"/>
    </xf>
    <xf numFmtId="0" fontId="2" fillId="0" borderId="0" xfId="3" applyAlignment="1">
      <alignment horizontal="left" vertical="top" wrapText="1"/>
    </xf>
    <xf numFmtId="0" fontId="2" fillId="0" borderId="13" xfId="3" applyBorder="1" applyAlignment="1">
      <alignment horizontal="left" vertical="top"/>
    </xf>
    <xf numFmtId="0" fontId="2" fillId="0" borderId="1" xfId="3" applyBorder="1" applyAlignment="1">
      <alignment horizontal="left" vertical="top"/>
    </xf>
    <xf numFmtId="0" fontId="2" fillId="0" borderId="14" xfId="3" applyBorder="1" applyAlignment="1">
      <alignment horizontal="left" vertical="top"/>
    </xf>
    <xf numFmtId="0" fontId="2" fillId="0" borderId="15" xfId="3" applyBorder="1" applyAlignment="1">
      <alignment horizontal="left" vertical="top"/>
    </xf>
    <xf numFmtId="0" fontId="2" fillId="0" borderId="16" xfId="3" applyBorder="1" applyAlignment="1">
      <alignment horizontal="left" vertical="top"/>
    </xf>
    <xf numFmtId="0" fontId="2" fillId="0" borderId="17" xfId="3" applyBorder="1" applyAlignment="1">
      <alignment horizontal="left" vertical="top"/>
    </xf>
    <xf numFmtId="0" fontId="29" fillId="11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0" xfId="2" applyFont="1"/>
    <xf numFmtId="0" fontId="1" fillId="0" borderId="7" xfId="2" applyFont="1" applyBorder="1"/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vertical="top" wrapText="1"/>
    </xf>
    <xf numFmtId="14" fontId="12" fillId="0" borderId="1" xfId="0" applyNumberFormat="1" applyFont="1" applyBorder="1" applyAlignment="1">
      <alignment horizontal="left" vertical="top"/>
    </xf>
    <xf numFmtId="14" fontId="12" fillId="0" borderId="7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right" vertical="center" wrapText="1"/>
    </xf>
    <xf numFmtId="4" fontId="12" fillId="0" borderId="5" xfId="0" applyNumberFormat="1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horizontal="left" vertical="center" wrapText="1"/>
    </xf>
    <xf numFmtId="4" fontId="12" fillId="0" borderId="6" xfId="0" applyNumberFormat="1" applyFont="1" applyBorder="1" applyAlignment="1">
      <alignment horizontal="left" vertical="center" wrapText="1"/>
    </xf>
    <xf numFmtId="0" fontId="12" fillId="0" borderId="1" xfId="0" applyFont="1" applyBorder="1" applyAlignment="1" applyProtection="1">
      <alignment vertical="top"/>
      <protection locked="0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4" fontId="12" fillId="0" borderId="7" xfId="0" applyNumberFormat="1" applyFont="1" applyBorder="1" applyAlignment="1">
      <alignment horizontal="left" vertical="top" wrapText="1"/>
    </xf>
    <xf numFmtId="0" fontId="31" fillId="0" borderId="0" xfId="0" applyFont="1"/>
    <xf numFmtId="0" fontId="31" fillId="2" borderId="0" xfId="1" applyFont="1" applyFill="1"/>
    <xf numFmtId="0" fontId="32" fillId="2" borderId="1" xfId="1" applyFont="1" applyFill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 wrapText="1"/>
    </xf>
    <xf numFmtId="164" fontId="32" fillId="8" borderId="1" xfId="1" applyNumberFormat="1" applyFont="1" applyFill="1" applyBorder="1" applyAlignment="1">
      <alignment horizontal="center" vertical="center" wrapText="1"/>
    </xf>
    <xf numFmtId="164" fontId="32" fillId="5" borderId="1" xfId="1" applyNumberFormat="1" applyFont="1" applyFill="1" applyBorder="1" applyAlignment="1">
      <alignment horizontal="center" vertical="center" wrapText="1"/>
    </xf>
    <xf numFmtId="164" fontId="32" fillId="5" borderId="1" xfId="1" applyNumberFormat="1" applyFont="1" applyFill="1" applyBorder="1" applyAlignment="1">
      <alignment horizontal="right" vertical="center" wrapText="1"/>
    </xf>
    <xf numFmtId="3" fontId="32" fillId="4" borderId="1" xfId="1" applyNumberFormat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3" fontId="33" fillId="2" borderId="0" xfId="1" applyNumberFormat="1" applyFont="1" applyFill="1"/>
    <xf numFmtId="0" fontId="34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justify" wrapText="1"/>
    </xf>
    <xf numFmtId="4" fontId="34" fillId="3" borderId="1" xfId="1" applyNumberFormat="1" applyFont="1" applyFill="1" applyBorder="1" applyAlignment="1">
      <alignment horizontal="right" vertical="center"/>
    </xf>
    <xf numFmtId="0" fontId="33" fillId="0" borderId="0" xfId="0" applyFont="1"/>
    <xf numFmtId="0" fontId="34" fillId="2" borderId="1" xfId="1" applyFont="1" applyFill="1" applyBorder="1" applyAlignment="1">
      <alignment horizontal="center" vertical="center"/>
    </xf>
    <xf numFmtId="0" fontId="34" fillId="2" borderId="1" xfId="1" applyFont="1" applyFill="1" applyBorder="1" applyAlignment="1">
      <alignment wrapText="1"/>
    </xf>
    <xf numFmtId="4" fontId="34" fillId="5" borderId="1" xfId="1" applyNumberFormat="1" applyFont="1" applyFill="1" applyBorder="1" applyAlignment="1">
      <alignment horizontal="right" vertical="center"/>
    </xf>
    <xf numFmtId="4" fontId="34" fillId="8" borderId="1" xfId="1" applyNumberFormat="1" applyFont="1" applyFill="1" applyBorder="1" applyAlignment="1">
      <alignment horizontal="right" vertical="center"/>
    </xf>
    <xf numFmtId="4" fontId="34" fillId="4" borderId="1" xfId="1" applyNumberFormat="1" applyFont="1" applyFill="1" applyBorder="1" applyAlignment="1">
      <alignment horizontal="right" vertical="center"/>
    </xf>
    <xf numFmtId="4" fontId="34" fillId="6" borderId="1" xfId="1" applyNumberFormat="1" applyFont="1" applyFill="1" applyBorder="1" applyAlignment="1">
      <alignment horizontal="right" vertical="center"/>
    </xf>
    <xf numFmtId="0" fontId="34" fillId="2" borderId="1" xfId="1" applyFont="1" applyFill="1" applyBorder="1" applyAlignment="1">
      <alignment vertical="center"/>
    </xf>
    <xf numFmtId="0" fontId="33" fillId="2" borderId="1" xfId="1" applyFont="1" applyFill="1" applyBorder="1" applyAlignment="1">
      <alignment wrapText="1"/>
    </xf>
    <xf numFmtId="4" fontId="33" fillId="5" borderId="1" xfId="1" applyNumberFormat="1" applyFont="1" applyFill="1" applyBorder="1" applyAlignment="1">
      <alignment horizontal="right" vertical="center"/>
    </xf>
    <xf numFmtId="4" fontId="33" fillId="8" borderId="1" xfId="1" applyNumberFormat="1" applyFont="1" applyFill="1" applyBorder="1" applyAlignment="1">
      <alignment horizontal="right" vertical="center"/>
    </xf>
    <xf numFmtId="4" fontId="33" fillId="4" borderId="1" xfId="1" applyNumberFormat="1" applyFont="1" applyFill="1" applyBorder="1" applyAlignment="1">
      <alignment horizontal="right" vertical="center"/>
    </xf>
    <xf numFmtId="4" fontId="33" fillId="6" borderId="1" xfId="1" applyNumberFormat="1" applyFont="1" applyFill="1" applyBorder="1" applyAlignment="1">
      <alignment horizontal="right" vertical="center"/>
    </xf>
    <xf numFmtId="0" fontId="35" fillId="0" borderId="0" xfId="0" applyFont="1"/>
    <xf numFmtId="0" fontId="36" fillId="2" borderId="1" xfId="1" applyFont="1" applyFill="1" applyBorder="1" applyAlignment="1">
      <alignment vertical="center"/>
    </xf>
    <xf numFmtId="4" fontId="33" fillId="5" borderId="1" xfId="1" applyNumberFormat="1" applyFont="1" applyFill="1" applyBorder="1" applyAlignment="1">
      <alignment horizontal="right" vertical="center" wrapText="1"/>
    </xf>
    <xf numFmtId="4" fontId="33" fillId="6" borderId="1" xfId="1" applyNumberFormat="1" applyFont="1" applyFill="1" applyBorder="1" applyAlignment="1">
      <alignment horizontal="right" vertical="center" wrapText="1"/>
    </xf>
    <xf numFmtId="4" fontId="35" fillId="0" borderId="0" xfId="0" applyNumberFormat="1" applyFont="1"/>
    <xf numFmtId="3" fontId="35" fillId="0" borderId="0" xfId="1" applyNumberFormat="1" applyFont="1"/>
    <xf numFmtId="3" fontId="36" fillId="2" borderId="1" xfId="1" applyNumberFormat="1" applyFont="1" applyFill="1" applyBorder="1" applyAlignment="1">
      <alignment vertical="center"/>
    </xf>
    <xf numFmtId="3" fontId="33" fillId="2" borderId="1" xfId="1" applyNumberFormat="1" applyFont="1" applyFill="1" applyBorder="1" applyAlignment="1">
      <alignment wrapText="1"/>
    </xf>
    <xf numFmtId="3" fontId="35" fillId="0" borderId="0" xfId="0" applyNumberFormat="1" applyFont="1"/>
    <xf numFmtId="0" fontId="35" fillId="0" borderId="0" xfId="1" applyFont="1"/>
    <xf numFmtId="0" fontId="33" fillId="0" borderId="0" xfId="1" applyFont="1"/>
    <xf numFmtId="0" fontId="33" fillId="0" borderId="1" xfId="0" applyFont="1" applyBorder="1"/>
    <xf numFmtId="0" fontId="35" fillId="2" borderId="1" xfId="1" applyFont="1" applyFill="1" applyBorder="1" applyAlignment="1">
      <alignment wrapText="1"/>
    </xf>
    <xf numFmtId="4" fontId="33" fillId="5" borderId="0" xfId="0" applyNumberFormat="1" applyFont="1" applyFill="1" applyAlignment="1">
      <alignment horizontal="right" vertical="center"/>
    </xf>
    <xf numFmtId="3" fontId="35" fillId="2" borderId="1" xfId="1" applyNumberFormat="1" applyFont="1" applyFill="1" applyBorder="1" applyAlignment="1">
      <alignment wrapText="1"/>
    </xf>
    <xf numFmtId="168" fontId="33" fillId="0" borderId="0" xfId="1" applyNumberFormat="1" applyFont="1" applyAlignment="1">
      <alignment vertical="center"/>
    </xf>
    <xf numFmtId="168" fontId="34" fillId="3" borderId="1" xfId="1" applyNumberFormat="1" applyFont="1" applyFill="1" applyBorder="1" applyAlignment="1">
      <alignment horizontal="center" vertical="center"/>
    </xf>
    <xf numFmtId="168" fontId="34" fillId="3" borderId="1" xfId="1" applyNumberFormat="1" applyFont="1" applyFill="1" applyBorder="1" applyAlignment="1">
      <alignment horizontal="justify" vertical="center" wrapText="1"/>
    </xf>
    <xf numFmtId="168" fontId="33" fillId="0" borderId="0" xfId="0" applyNumberFormat="1" applyFont="1" applyAlignment="1">
      <alignment vertical="center"/>
    </xf>
    <xf numFmtId="0" fontId="32" fillId="13" borderId="0" xfId="0" applyFont="1" applyFill="1" applyAlignment="1">
      <alignment horizontal="center" wrapText="1"/>
    </xf>
    <xf numFmtId="0" fontId="31" fillId="13" borderId="0" xfId="0" applyFont="1" applyFill="1" applyAlignment="1">
      <alignment wrapText="1"/>
    </xf>
    <xf numFmtId="0" fontId="31" fillId="13" borderId="0" xfId="0" applyFont="1" applyFill="1"/>
    <xf numFmtId="0" fontId="31" fillId="13" borderId="0" xfId="0" applyFont="1" applyFill="1" applyAlignment="1">
      <alignment horizontal="right" vertical="center"/>
    </xf>
    <xf numFmtId="3" fontId="31" fillId="13" borderId="0" xfId="0" applyNumberFormat="1" applyFont="1" applyFill="1"/>
    <xf numFmtId="164" fontId="32" fillId="8" borderId="1" xfId="1" applyNumberFormat="1" applyFont="1" applyFill="1" applyBorder="1" applyAlignment="1">
      <alignment horizontal="right" vertical="center" wrapText="1"/>
    </xf>
    <xf numFmtId="0" fontId="32" fillId="14" borderId="0" xfId="0" applyFont="1" applyFill="1" applyAlignment="1">
      <alignment horizontal="center" wrapText="1"/>
    </xf>
    <xf numFmtId="0" fontId="31" fillId="14" borderId="0" xfId="0" applyFont="1" applyFill="1" applyAlignment="1">
      <alignment wrapText="1"/>
    </xf>
    <xf numFmtId="0" fontId="31" fillId="14" borderId="0" xfId="0" applyFont="1" applyFill="1"/>
    <xf numFmtId="0" fontId="31" fillId="14" borderId="0" xfId="0" applyFont="1" applyFill="1" applyAlignment="1">
      <alignment horizontal="right" vertical="center"/>
    </xf>
    <xf numFmtId="3" fontId="31" fillId="14" borderId="0" xfId="0" applyNumberFormat="1" applyFont="1" applyFill="1"/>
    <xf numFmtId="0" fontId="21" fillId="0" borderId="7" xfId="0" applyFont="1" applyBorder="1" applyAlignment="1">
      <alignment horizontal="left" vertical="top"/>
    </xf>
    <xf numFmtId="14" fontId="21" fillId="0" borderId="7" xfId="0" applyNumberFormat="1" applyFont="1" applyBorder="1" applyAlignment="1">
      <alignment vertical="top"/>
    </xf>
    <xf numFmtId="0" fontId="21" fillId="0" borderId="1" xfId="1" applyFont="1" applyBorder="1" applyAlignment="1">
      <alignment wrapText="1"/>
    </xf>
    <xf numFmtId="0" fontId="21" fillId="0" borderId="7" xfId="0" applyFont="1" applyBorder="1" applyAlignment="1">
      <alignment horizontal="left" vertical="top" wrapText="1"/>
    </xf>
    <xf numFmtId="167" fontId="21" fillId="0" borderId="7" xfId="0" applyNumberFormat="1" applyFont="1" applyBorder="1" applyAlignment="1">
      <alignment horizontal="right" vertical="top"/>
    </xf>
    <xf numFmtId="2" fontId="21" fillId="0" borderId="7" xfId="0" applyNumberFormat="1" applyFont="1" applyBorder="1" applyAlignment="1">
      <alignment horizontal="right"/>
    </xf>
    <xf numFmtId="4" fontId="21" fillId="0" borderId="7" xfId="0" applyNumberFormat="1" applyFont="1" applyBorder="1" applyAlignment="1">
      <alignment horizontal="right" vertical="top"/>
    </xf>
    <xf numFmtId="4" fontId="21" fillId="0" borderId="7" xfId="0" applyNumberFormat="1" applyFont="1" applyBorder="1" applyAlignment="1" applyProtection="1">
      <alignment horizontal="right" vertical="top"/>
      <protection locked="0"/>
    </xf>
    <xf numFmtId="14" fontId="21" fillId="0" borderId="7" xfId="0" applyNumberFormat="1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14" fontId="21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167" fontId="21" fillId="0" borderId="1" xfId="0" applyNumberFormat="1" applyFont="1" applyBorder="1" applyAlignment="1">
      <alignment horizontal="right" vertical="top"/>
    </xf>
    <xf numFmtId="2" fontId="21" fillId="0" borderId="1" xfId="0" applyNumberFormat="1" applyFont="1" applyBorder="1" applyAlignment="1">
      <alignment horizontal="right"/>
    </xf>
    <xf numFmtId="4" fontId="21" fillId="0" borderId="1" xfId="0" applyNumberFormat="1" applyFont="1" applyBorder="1" applyAlignment="1">
      <alignment horizontal="right" vertical="top"/>
    </xf>
    <xf numFmtId="4" fontId="21" fillId="0" borderId="1" xfId="0" applyNumberFormat="1" applyFont="1" applyBorder="1" applyAlignment="1" applyProtection="1">
      <alignment horizontal="right" vertical="top"/>
      <protection locked="0"/>
    </xf>
    <xf numFmtId="14" fontId="21" fillId="0" borderId="1" xfId="0" applyNumberFormat="1" applyFont="1" applyBorder="1" applyAlignment="1">
      <alignment horizontal="right" vertical="top"/>
    </xf>
    <xf numFmtId="14" fontId="12" fillId="0" borderId="0" xfId="0" applyNumberFormat="1" applyFont="1" applyAlignment="1">
      <alignment horizontal="right" vertical="top"/>
    </xf>
    <xf numFmtId="0" fontId="13" fillId="0" borderId="7" xfId="0" applyFont="1" applyBorder="1" applyAlignment="1">
      <alignment horizontal="left" vertical="top"/>
    </xf>
    <xf numFmtId="14" fontId="13" fillId="0" borderId="7" xfId="0" applyNumberFormat="1" applyFont="1" applyBorder="1" applyAlignment="1">
      <alignment vertical="top"/>
    </xf>
    <xf numFmtId="0" fontId="13" fillId="0" borderId="7" xfId="0" applyFont="1" applyBorder="1" applyAlignment="1">
      <alignment horizontal="left" vertical="top" wrapText="1"/>
    </xf>
    <xf numFmtId="167" fontId="13" fillId="0" borderId="7" xfId="0" applyNumberFormat="1" applyFont="1" applyBorder="1" applyAlignment="1">
      <alignment horizontal="right" vertical="top"/>
    </xf>
    <xf numFmtId="2" fontId="13" fillId="0" borderId="7" xfId="0" applyNumberFormat="1" applyFont="1" applyBorder="1" applyAlignment="1">
      <alignment horizontal="right"/>
    </xf>
    <xf numFmtId="4" fontId="13" fillId="0" borderId="7" xfId="0" applyNumberFormat="1" applyFont="1" applyBorder="1" applyAlignment="1">
      <alignment horizontal="right" vertical="top"/>
    </xf>
    <xf numFmtId="4" fontId="13" fillId="0" borderId="7" xfId="0" applyNumberFormat="1" applyFont="1" applyBorder="1" applyAlignment="1" applyProtection="1">
      <alignment horizontal="right" vertical="top"/>
      <protection locked="0"/>
    </xf>
    <xf numFmtId="14" fontId="13" fillId="0" borderId="7" xfId="0" applyNumberFormat="1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37" fillId="5" borderId="1" xfId="1" applyFont="1" applyFill="1" applyBorder="1" applyAlignment="1">
      <alignment wrapText="1"/>
    </xf>
    <xf numFmtId="0" fontId="37" fillId="0" borderId="0" xfId="0" applyFont="1"/>
    <xf numFmtId="0" fontId="38" fillId="2" borderId="1" xfId="1" applyFont="1" applyFill="1" applyBorder="1" applyAlignment="1">
      <alignment vertical="center"/>
    </xf>
    <xf numFmtId="4" fontId="37" fillId="5" borderId="1" xfId="1" applyNumberFormat="1" applyFont="1" applyFill="1" applyBorder="1" applyAlignment="1">
      <alignment horizontal="right" vertical="center" wrapText="1"/>
    </xf>
    <xf numFmtId="4" fontId="37" fillId="5" borderId="1" xfId="1" applyNumberFormat="1" applyFont="1" applyFill="1" applyBorder="1" applyAlignment="1">
      <alignment horizontal="right" vertical="center"/>
    </xf>
    <xf numFmtId="4" fontId="37" fillId="8" borderId="1" xfId="1" applyNumberFormat="1" applyFont="1" applyFill="1" applyBorder="1" applyAlignment="1">
      <alignment horizontal="right" vertical="center"/>
    </xf>
    <xf numFmtId="4" fontId="37" fillId="4" borderId="1" xfId="1" applyNumberFormat="1" applyFont="1" applyFill="1" applyBorder="1" applyAlignment="1">
      <alignment horizontal="right" vertical="center"/>
    </xf>
    <xf numFmtId="4" fontId="37" fillId="6" borderId="1" xfId="1" applyNumberFormat="1" applyFont="1" applyFill="1" applyBorder="1" applyAlignment="1">
      <alignment horizontal="right" vertical="center" wrapText="1"/>
    </xf>
    <xf numFmtId="14" fontId="12" fillId="0" borderId="5" xfId="0" applyNumberFormat="1" applyFont="1" applyBorder="1" applyAlignment="1">
      <alignment horizontal="left" vertical="top"/>
    </xf>
    <xf numFmtId="43" fontId="12" fillId="0" borderId="1" xfId="5" applyFont="1" applyBorder="1" applyAlignment="1" applyProtection="1">
      <alignment horizontal="left" vertical="top" wrapText="1"/>
      <protection locked="0"/>
    </xf>
    <xf numFmtId="43" fontId="12" fillId="0" borderId="1" xfId="5" applyFont="1" applyBorder="1" applyAlignment="1" applyProtection="1">
      <alignment horizontal="right" vertical="top"/>
      <protection locked="0"/>
    </xf>
    <xf numFmtId="43" fontId="12" fillId="0" borderId="7" xfId="5" applyFont="1" applyBorder="1" applyAlignment="1" applyProtection="1">
      <alignment horizontal="left" vertical="top" wrapText="1"/>
      <protection locked="0"/>
    </xf>
    <xf numFmtId="43" fontId="12" fillId="0" borderId="7" xfId="5" applyFont="1" applyBorder="1" applyAlignment="1" applyProtection="1">
      <alignment horizontal="right" vertical="top"/>
      <protection locked="0"/>
    </xf>
    <xf numFmtId="43" fontId="12" fillId="0" borderId="1" xfId="5" applyFont="1" applyBorder="1" applyAlignment="1" applyProtection="1">
      <alignment vertical="top" wrapText="1"/>
      <protection locked="0"/>
    </xf>
    <xf numFmtId="43" fontId="12" fillId="0" borderId="1" xfId="5" applyFont="1" applyBorder="1" applyAlignment="1">
      <alignment horizontal="right" vertical="top"/>
    </xf>
    <xf numFmtId="43" fontId="13" fillId="0" borderId="1" xfId="5" applyFont="1" applyBorder="1" applyAlignment="1">
      <alignment wrapText="1"/>
    </xf>
    <xf numFmtId="43" fontId="12" fillId="0" borderId="1" xfId="5" applyFont="1" applyBorder="1" applyAlignment="1">
      <alignment vertical="center"/>
    </xf>
    <xf numFmtId="43" fontId="12" fillId="0" borderId="1" xfId="5" applyFont="1" applyBorder="1" applyAlignment="1">
      <alignment horizontal="right" vertical="center"/>
    </xf>
    <xf numFmtId="43" fontId="12" fillId="0" borderId="1" xfId="5" applyFont="1" applyBorder="1" applyAlignment="1">
      <alignment vertical="top"/>
    </xf>
    <xf numFmtId="43" fontId="12" fillId="0" borderId="1" xfId="5" applyFont="1" applyBorder="1" applyAlignment="1">
      <alignment horizontal="left" vertical="top"/>
    </xf>
    <xf numFmtId="43" fontId="12" fillId="0" borderId="1" xfId="5" applyFont="1" applyBorder="1" applyAlignment="1">
      <alignment vertical="top" wrapText="1"/>
    </xf>
    <xf numFmtId="43" fontId="12" fillId="0" borderId="1" xfId="5" applyFont="1" applyBorder="1" applyAlignment="1" applyProtection="1">
      <alignment horizontal="right" vertical="top" wrapText="1"/>
      <protection locked="0"/>
    </xf>
    <xf numFmtId="43" fontId="12" fillId="0" borderId="1" xfId="5" applyFont="1" applyBorder="1" applyAlignment="1">
      <alignment horizontal="left" vertical="top" wrapText="1"/>
    </xf>
    <xf numFmtId="43" fontId="12" fillId="0" borderId="1" xfId="5" applyFont="1" applyBorder="1" applyAlignment="1">
      <alignment wrapText="1"/>
    </xf>
    <xf numFmtId="43" fontId="22" fillId="0" borderId="1" xfId="5" applyFont="1" applyBorder="1" applyAlignment="1">
      <alignment wrapText="1"/>
    </xf>
    <xf numFmtId="43" fontId="12" fillId="0" borderId="1" xfId="5" applyFont="1" applyBorder="1" applyAlignment="1" applyProtection="1">
      <alignment vertical="center" wrapText="1"/>
      <protection locked="0"/>
    </xf>
    <xf numFmtId="43" fontId="12" fillId="0" borderId="1" xfId="5" applyFont="1" applyBorder="1" applyAlignment="1" applyProtection="1">
      <alignment horizontal="right" vertical="center" wrapText="1"/>
      <protection locked="0"/>
    </xf>
    <xf numFmtId="43" fontId="12" fillId="0" borderId="1" xfId="5" applyFont="1" applyBorder="1" applyAlignment="1" applyProtection="1">
      <alignment horizontal="right" vertical="center"/>
      <protection locked="0"/>
    </xf>
    <xf numFmtId="43" fontId="12" fillId="0" borderId="1" xfId="5" applyFont="1" applyBorder="1" applyAlignment="1" applyProtection="1">
      <alignment vertical="center"/>
      <protection locked="0"/>
    </xf>
    <xf numFmtId="43" fontId="12" fillId="0" borderId="1" xfId="5" applyFont="1" applyBorder="1" applyAlignment="1">
      <alignment horizontal="right" vertical="top" wrapText="1"/>
    </xf>
    <xf numFmtId="43" fontId="12" fillId="0" borderId="1" xfId="5" applyFont="1" applyBorder="1" applyAlignment="1">
      <alignment vertical="center" wrapText="1"/>
    </xf>
    <xf numFmtId="43" fontId="12" fillId="0" borderId="1" xfId="5" applyFont="1" applyBorder="1"/>
    <xf numFmtId="43" fontId="12" fillId="0" borderId="9" xfId="5" applyFont="1" applyBorder="1" applyAlignment="1">
      <alignment horizontal="left" vertical="center"/>
    </xf>
    <xf numFmtId="43" fontId="12" fillId="0" borderId="1" xfId="5" applyFont="1" applyBorder="1" applyAlignment="1">
      <alignment horizontal="left" vertical="center"/>
    </xf>
    <xf numFmtId="43" fontId="12" fillId="0" borderId="7" xfId="5" applyFont="1" applyBorder="1" applyAlignment="1">
      <alignment horizontal="right" vertical="top"/>
    </xf>
    <xf numFmtId="43" fontId="12" fillId="0" borderId="7" xfId="5" applyFont="1" applyBorder="1" applyAlignment="1">
      <alignment horizontal="right" vertical="top" wrapText="1"/>
    </xf>
    <xf numFmtId="43" fontId="12" fillId="0" borderId="7" xfId="5" applyFont="1" applyBorder="1" applyAlignment="1">
      <alignment vertical="center"/>
    </xf>
    <xf numFmtId="43" fontId="12" fillId="0" borderId="7" xfId="5" applyFont="1" applyBorder="1" applyAlignment="1">
      <alignment horizontal="right" vertical="center"/>
    </xf>
    <xf numFmtId="43" fontId="12" fillId="0" borderId="7" xfId="5" applyFont="1" applyBorder="1" applyAlignment="1">
      <alignment horizontal="left" vertical="top"/>
    </xf>
    <xf numFmtId="43" fontId="12" fillId="0" borderId="7" xfId="5" applyFont="1" applyBorder="1" applyAlignment="1">
      <alignment vertical="top" wrapText="1"/>
    </xf>
    <xf numFmtId="43" fontId="22" fillId="0" borderId="1" xfId="5" applyFont="1" applyBorder="1"/>
    <xf numFmtId="43" fontId="13" fillId="0" borderId="1" xfId="5" applyFont="1" applyBorder="1"/>
    <xf numFmtId="43" fontId="12" fillId="0" borderId="2" xfId="5" applyFont="1" applyBorder="1" applyAlignment="1">
      <alignment horizontal="left" vertical="top"/>
    </xf>
    <xf numFmtId="43" fontId="12" fillId="0" borderId="1" xfId="5" applyFont="1" applyBorder="1" applyAlignment="1">
      <alignment horizontal="center" vertical="center"/>
    </xf>
    <xf numFmtId="43" fontId="22" fillId="0" borderId="7" xfId="5" applyFont="1" applyBorder="1" applyAlignment="1">
      <alignment vertical="top" wrapText="1"/>
    </xf>
    <xf numFmtId="43" fontId="22" fillId="2" borderId="1" xfId="5" applyFont="1" applyFill="1" applyBorder="1" applyAlignment="1">
      <alignment wrapText="1"/>
    </xf>
    <xf numFmtId="43" fontId="13" fillId="2" borderId="1" xfId="5" applyFont="1" applyFill="1" applyBorder="1" applyAlignment="1">
      <alignment wrapText="1"/>
    </xf>
    <xf numFmtId="43" fontId="22" fillId="0" borderId="1" xfId="5" applyFont="1" applyBorder="1" applyAlignment="1">
      <alignment vertical="top" wrapText="1"/>
    </xf>
    <xf numFmtId="43" fontId="12" fillId="0" borderId="1" xfId="5" applyFont="1" applyFill="1" applyBorder="1" applyAlignment="1">
      <alignment horizontal="right" vertical="top"/>
    </xf>
    <xf numFmtId="43" fontId="12" fillId="0" borderId="1" xfId="5" applyFont="1" applyFill="1" applyBorder="1" applyAlignment="1">
      <alignment horizontal="right" vertical="top" wrapText="1"/>
    </xf>
    <xf numFmtId="43" fontId="12" fillId="0" borderId="1" xfId="5" applyFont="1" applyFill="1" applyBorder="1" applyAlignment="1">
      <alignment vertical="top" wrapText="1"/>
    </xf>
    <xf numFmtId="43" fontId="12" fillId="0" borderId="1" xfId="5" applyFont="1" applyFill="1" applyBorder="1" applyAlignment="1">
      <alignment vertical="center"/>
    </xf>
    <xf numFmtId="43" fontId="12" fillId="0" borderId="1" xfId="5" applyFont="1" applyFill="1" applyBorder="1" applyAlignment="1">
      <alignment horizontal="right" vertical="center"/>
    </xf>
    <xf numFmtId="43" fontId="12" fillId="0" borderId="1" xfId="5" applyFont="1" applyFill="1" applyBorder="1" applyAlignment="1" applyProtection="1">
      <alignment horizontal="right" vertical="top"/>
      <protection locked="0"/>
    </xf>
    <xf numFmtId="43" fontId="12" fillId="0" borderId="1" xfId="5" applyFont="1" applyFill="1" applyBorder="1" applyAlignment="1">
      <alignment horizontal="left" vertical="top"/>
    </xf>
    <xf numFmtId="43" fontId="12" fillId="0" borderId="2" xfId="5" applyFont="1" applyFill="1" applyBorder="1" applyAlignment="1">
      <alignment horizontal="left" vertical="top"/>
    </xf>
    <xf numFmtId="43" fontId="12" fillId="0" borderId="3" xfId="5" applyFont="1" applyFill="1" applyBorder="1" applyAlignment="1">
      <alignment horizontal="right" vertical="top" wrapText="1"/>
    </xf>
    <xf numFmtId="43" fontId="12" fillId="0" borderId="0" xfId="5" applyFont="1" applyAlignment="1">
      <alignment horizontal="left" vertical="top" wrapText="1"/>
    </xf>
    <xf numFmtId="43" fontId="0" fillId="0" borderId="1" xfId="5" applyFont="1" applyBorder="1"/>
    <xf numFmtId="43" fontId="12" fillId="0" borderId="3" xfId="5" applyFont="1" applyBorder="1" applyAlignment="1">
      <alignment horizontal="left" vertical="top" wrapText="1"/>
    </xf>
    <xf numFmtId="43" fontId="12" fillId="0" borderId="7" xfId="5" applyFont="1" applyFill="1" applyBorder="1" applyAlignment="1">
      <alignment horizontal="right" vertical="top"/>
    </xf>
    <xf numFmtId="43" fontId="12" fillId="0" borderId="7" xfId="5" applyFont="1" applyFill="1" applyBorder="1" applyAlignment="1">
      <alignment horizontal="right" vertical="top" wrapText="1"/>
    </xf>
    <xf numFmtId="43" fontId="12" fillId="0" borderId="7" xfId="5" applyFont="1" applyFill="1" applyBorder="1" applyAlignment="1">
      <alignment horizontal="left" vertical="top"/>
    </xf>
    <xf numFmtId="14" fontId="12" fillId="0" borderId="1" xfId="5" applyNumberFormat="1" applyFont="1" applyBorder="1" applyAlignment="1">
      <alignment horizontal="right" vertical="top"/>
    </xf>
    <xf numFmtId="14" fontId="12" fillId="0" borderId="1" xfId="5" applyNumberFormat="1" applyFont="1" applyBorder="1" applyAlignment="1">
      <alignment horizontal="right" vertical="top" wrapText="1"/>
    </xf>
    <xf numFmtId="14" fontId="12" fillId="0" borderId="7" xfId="5" applyNumberFormat="1" applyFont="1" applyBorder="1" applyAlignment="1">
      <alignment horizontal="right" vertical="top"/>
    </xf>
    <xf numFmtId="14" fontId="12" fillId="0" borderId="7" xfId="5" applyNumberFormat="1" applyFont="1" applyBorder="1" applyAlignment="1">
      <alignment vertical="top" wrapText="1"/>
    </xf>
    <xf numFmtId="14" fontId="12" fillId="0" borderId="1" xfId="5" applyNumberFormat="1" applyFont="1" applyBorder="1" applyAlignment="1">
      <alignment horizontal="left" vertical="top"/>
    </xf>
    <xf numFmtId="14" fontId="12" fillId="0" borderId="1" xfId="5" applyNumberFormat="1" applyFont="1" applyFill="1" applyBorder="1" applyAlignment="1">
      <alignment horizontal="right" vertical="top"/>
    </xf>
    <xf numFmtId="14" fontId="12" fillId="0" borderId="7" xfId="5" applyNumberFormat="1" applyFont="1" applyFill="1" applyBorder="1" applyAlignment="1">
      <alignment horizontal="right" vertical="top"/>
    </xf>
    <xf numFmtId="0" fontId="12" fillId="0" borderId="1" xfId="5" applyNumberFormat="1" applyFont="1" applyBorder="1" applyAlignment="1">
      <alignment horizontal="right" vertical="top"/>
    </xf>
    <xf numFmtId="0" fontId="12" fillId="0" borderId="1" xfId="5" applyNumberFormat="1" applyFont="1" applyBorder="1" applyAlignment="1" applyProtection="1">
      <alignment horizontal="right" vertical="top"/>
      <protection locked="0"/>
    </xf>
    <xf numFmtId="0" fontId="12" fillId="0" borderId="1" xfId="5" applyNumberFormat="1" applyFont="1" applyBorder="1" applyAlignment="1">
      <alignment horizontal="right" vertical="top" wrapText="1"/>
    </xf>
    <xf numFmtId="0" fontId="12" fillId="0" borderId="7" xfId="5" applyNumberFormat="1" applyFont="1" applyBorder="1" applyAlignment="1">
      <alignment horizontal="right" vertical="top"/>
    </xf>
    <xf numFmtId="0" fontId="12" fillId="0" borderId="7" xfId="5" applyNumberFormat="1" applyFont="1" applyBorder="1" applyAlignment="1">
      <alignment vertical="top" wrapText="1"/>
    </xf>
    <xf numFmtId="0" fontId="12" fillId="0" borderId="1" xfId="5" applyNumberFormat="1" applyFont="1" applyBorder="1" applyAlignment="1">
      <alignment horizontal="left" vertical="top"/>
    </xf>
    <xf numFmtId="0" fontId="12" fillId="0" borderId="1" xfId="5" applyNumberFormat="1" applyFont="1" applyFill="1" applyBorder="1" applyAlignment="1">
      <alignment horizontal="right" vertical="top"/>
    </xf>
    <xf numFmtId="49" fontId="12" fillId="0" borderId="1" xfId="5" applyNumberFormat="1" applyFont="1" applyFill="1" applyBorder="1" applyAlignment="1">
      <alignment horizontal="right" vertical="top"/>
    </xf>
    <xf numFmtId="49" fontId="12" fillId="0" borderId="5" xfId="0" applyNumberFormat="1" applyFont="1" applyBorder="1" applyAlignment="1">
      <alignment horizontal="left" vertical="center" wrapText="1"/>
    </xf>
    <xf numFmtId="49" fontId="12" fillId="0" borderId="1" xfId="5" applyNumberFormat="1" applyFont="1" applyBorder="1" applyAlignment="1">
      <alignment horizontal="right" vertical="top"/>
    </xf>
    <xf numFmtId="49" fontId="12" fillId="0" borderId="7" xfId="5" applyNumberFormat="1" applyFont="1" applyBorder="1" applyAlignment="1">
      <alignment horizontal="right" vertical="top"/>
    </xf>
    <xf numFmtId="49" fontId="12" fillId="0" borderId="7" xfId="5" applyNumberFormat="1" applyFont="1" applyFill="1" applyBorder="1" applyAlignment="1">
      <alignment horizontal="right" vertical="top"/>
    </xf>
    <xf numFmtId="49" fontId="12" fillId="0" borderId="0" xfId="0" applyNumberFormat="1" applyFont="1" applyAlignment="1">
      <alignment horizontal="left" vertical="top"/>
    </xf>
    <xf numFmtId="43" fontId="22" fillId="0" borderId="1" xfId="5" applyFont="1" applyFill="1" applyBorder="1" applyAlignment="1">
      <alignment vertical="top" wrapText="1"/>
    </xf>
    <xf numFmtId="49" fontId="12" fillId="0" borderId="1" xfId="0" applyNumberFormat="1" applyFont="1" applyBorder="1" applyAlignment="1" applyProtection="1">
      <alignment horizontal="right" vertical="top"/>
      <protection locked="0"/>
    </xf>
    <xf numFmtId="49" fontId="12" fillId="0" borderId="1" xfId="0" applyNumberFormat="1" applyFont="1" applyBorder="1" applyAlignment="1">
      <alignment horizontal="right" vertical="top"/>
    </xf>
    <xf numFmtId="49" fontId="12" fillId="0" borderId="7" xfId="0" applyNumberFormat="1" applyFont="1" applyBorder="1" applyAlignment="1">
      <alignment horizontal="right" vertical="top"/>
    </xf>
    <xf numFmtId="49" fontId="12" fillId="0" borderId="1" xfId="0" applyNumberFormat="1" applyFont="1" applyBorder="1" applyAlignment="1" applyProtection="1">
      <alignment horizontal="right" vertical="top" wrapText="1"/>
      <protection locked="0"/>
    </xf>
    <xf numFmtId="49" fontId="12" fillId="0" borderId="0" xfId="0" applyNumberFormat="1" applyFont="1" applyAlignment="1" applyProtection="1">
      <alignment horizontal="right" vertical="top"/>
      <protection locked="0"/>
    </xf>
    <xf numFmtId="49" fontId="12" fillId="0" borderId="7" xfId="0" applyNumberFormat="1" applyFont="1" applyBorder="1" applyAlignment="1" applyProtection="1">
      <alignment horizontal="right" vertical="top" wrapText="1"/>
      <protection locked="0"/>
    </xf>
    <xf numFmtId="49" fontId="12" fillId="0" borderId="7" xfId="0" applyNumberFormat="1" applyFont="1" applyBorder="1" applyAlignment="1">
      <alignment horizontal="right" vertical="top" wrapText="1"/>
    </xf>
    <xf numFmtId="49" fontId="21" fillId="0" borderId="7" xfId="0" applyNumberFormat="1" applyFont="1" applyBorder="1" applyAlignment="1">
      <alignment horizontal="right" vertical="top"/>
    </xf>
    <xf numFmtId="49" fontId="21" fillId="0" borderId="1" xfId="0" applyNumberFormat="1" applyFont="1" applyBorder="1" applyAlignment="1">
      <alignment horizontal="right" vertical="top"/>
    </xf>
    <xf numFmtId="49" fontId="13" fillId="0" borderId="7" xfId="0" applyNumberFormat="1" applyFont="1" applyBorder="1" applyAlignment="1">
      <alignment horizontal="right" vertical="top"/>
    </xf>
    <xf numFmtId="0" fontId="22" fillId="0" borderId="7" xfId="0" applyFont="1" applyBorder="1" applyAlignment="1">
      <alignment horizontal="left" vertical="top"/>
    </xf>
    <xf numFmtId="0" fontId="12" fillId="0" borderId="7" xfId="5" applyNumberFormat="1" applyFont="1" applyFill="1" applyBorder="1" applyAlignment="1">
      <alignment horizontal="right" vertical="top"/>
    </xf>
    <xf numFmtId="43" fontId="12" fillId="0" borderId="7" xfId="5" applyFont="1" applyFill="1" applyBorder="1" applyAlignment="1">
      <alignment vertical="top" wrapText="1"/>
    </xf>
    <xf numFmtId="43" fontId="12" fillId="0" borderId="7" xfId="5" applyFont="1" applyFill="1" applyBorder="1" applyAlignment="1">
      <alignment vertical="center"/>
    </xf>
    <xf numFmtId="43" fontId="12" fillId="0" borderId="7" xfId="5" applyFont="1" applyFill="1" applyBorder="1" applyAlignment="1">
      <alignment horizontal="right" vertical="center"/>
    </xf>
    <xf numFmtId="43" fontId="12" fillId="0" borderId="7" xfId="5" applyFont="1" applyFill="1" applyBorder="1" applyAlignment="1" applyProtection="1">
      <alignment horizontal="right" vertical="top"/>
      <protection locked="0"/>
    </xf>
    <xf numFmtId="43" fontId="22" fillId="0" borderId="7" xfId="5" applyFont="1" applyFill="1" applyBorder="1" applyAlignment="1">
      <alignment vertical="top" wrapText="1"/>
    </xf>
    <xf numFmtId="49" fontId="12" fillId="0" borderId="1" xfId="5" applyNumberFormat="1" applyFont="1" applyBorder="1" applyAlignment="1" applyProtection="1">
      <alignment horizontal="left" vertical="top" wrapText="1"/>
      <protection locked="0"/>
    </xf>
    <xf numFmtId="49" fontId="12" fillId="0" borderId="1" xfId="5" applyNumberFormat="1" applyFont="1" applyBorder="1" applyAlignment="1">
      <alignment horizontal="left" vertical="top" wrapText="1"/>
    </xf>
    <xf numFmtId="49" fontId="12" fillId="0" borderId="1" xfId="5" applyNumberFormat="1" applyFont="1" applyBorder="1" applyAlignment="1">
      <alignment horizontal="left" vertical="top"/>
    </xf>
    <xf numFmtId="49" fontId="12" fillId="0" borderId="7" xfId="5" applyNumberFormat="1" applyFont="1" applyBorder="1" applyAlignment="1" applyProtection="1">
      <alignment horizontal="left" vertical="top" wrapText="1"/>
      <protection locked="0"/>
    </xf>
    <xf numFmtId="49" fontId="12" fillId="0" borderId="1" xfId="5" applyNumberFormat="1" applyFont="1" applyFill="1" applyBorder="1" applyAlignment="1" applyProtection="1">
      <alignment horizontal="left" vertical="top" wrapText="1"/>
      <protection locked="0"/>
    </xf>
    <xf numFmtId="49" fontId="12" fillId="0" borderId="7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7" xfId="5" applyNumberFormat="1" applyFont="1" applyFill="1" applyBorder="1" applyAlignment="1" applyProtection="1">
      <alignment horizontal="left" vertical="top" wrapText="1"/>
      <protection locked="0"/>
    </xf>
    <xf numFmtId="0" fontId="13" fillId="2" borderId="1" xfId="1" applyFont="1" applyFill="1" applyBorder="1"/>
    <xf numFmtId="14" fontId="12" fillId="0" borderId="1" xfId="5" applyNumberFormat="1" applyFont="1" applyBorder="1" applyAlignment="1" applyProtection="1">
      <alignment horizontal="right" vertical="top"/>
      <protection locked="0"/>
    </xf>
    <xf numFmtId="14" fontId="12" fillId="0" borderId="7" xfId="5" applyNumberFormat="1" applyFont="1" applyBorder="1" applyAlignment="1" applyProtection="1">
      <alignment horizontal="right" vertical="top"/>
      <protection locked="0"/>
    </xf>
    <xf numFmtId="0" fontId="12" fillId="0" borderId="7" xfId="5" applyNumberFormat="1" applyFont="1" applyFill="1" applyBorder="1" applyAlignment="1">
      <alignment horizontal="left" vertical="top"/>
    </xf>
    <xf numFmtId="14" fontId="12" fillId="0" borderId="7" xfId="5" applyNumberFormat="1" applyFont="1" applyFill="1" applyBorder="1" applyAlignment="1">
      <alignment horizontal="left" vertical="top"/>
    </xf>
    <xf numFmtId="14" fontId="12" fillId="0" borderId="1" xfId="5" applyNumberFormat="1" applyFont="1" applyFill="1" applyBorder="1" applyAlignment="1">
      <alignment horizontal="left" vertical="top"/>
    </xf>
    <xf numFmtId="43" fontId="40" fillId="0" borderId="0" xfId="5" applyFont="1"/>
    <xf numFmtId="43" fontId="12" fillId="0" borderId="1" xfId="5" applyFont="1" applyBorder="1" applyAlignment="1">
      <alignment horizontal="right"/>
    </xf>
    <xf numFmtId="43" fontId="40" fillId="0" borderId="2" xfId="5" applyFont="1" applyBorder="1"/>
  </cellXfs>
  <cellStyles count="6">
    <cellStyle name="Comma" xfId="5" builtinId="3"/>
    <cellStyle name="Hyperlink" xfId="4" builtinId="8"/>
    <cellStyle name="Normal" xfId="0" builtinId="0"/>
    <cellStyle name="Normal 11" xfId="1" xr:uid="{7C33F7D6-4F2D-42DD-962B-32DF1253DF1F}"/>
    <cellStyle name="Normal 2" xfId="2" xr:uid="{E8EAA7D7-391F-4F93-891A-410A11C6B20F}"/>
    <cellStyle name="Normal 3" xfId="3" xr:uid="{6D1E3C57-44FF-40F4-A424-C74B2E8A780C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67" formatCode="0.0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31756"/>
      <color rgb="FFFBD9ED"/>
      <color rgb="FF99CCFF"/>
      <color rgb="FFC2E1F6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biell.sharepoint.com/sites/Tibiel/Shared%20Documents/IKONOMIKA/Aneta_TIBIEL/Analiz%202017-2022/DOSTAVKI_2024/SEPTEMVRI_2024/Razchet_otchet_SEPTEMVRI_2024/&#1055;&#1088;&#1086;&#1075;&#1085;&#1086;&#1079;&#1077;&#1085;%20&#1087;&#1072;&#1088;&#1080;&#1095;&#1077;&#1085;%20&#1087;&#1086;&#1090;&#1086;&#1082;%20SEPTEMVRI%202024%20+&#1058;&#1086;&#1087;&#1083;&#1086;&#1092;&#1080;&#1082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изх паричен поток"/>
      <sheetName val=" вх. и изх. паричен поток "/>
      <sheetName val="График плащания"/>
      <sheetName val="доставки на природен газ"/>
      <sheetName val="Топлофикации задължения"/>
      <sheetName val="Sheet1"/>
    </sheetNames>
    <sheetDataSet>
      <sheetData sheetId="0"/>
      <sheetData sheetId="1">
        <row r="13">
          <cell r="I13">
            <v>204</v>
          </cell>
        </row>
        <row r="14">
          <cell r="I14">
            <v>591</v>
          </cell>
        </row>
        <row r="15">
          <cell r="I15">
            <v>3744</v>
          </cell>
        </row>
        <row r="16">
          <cell r="I16">
            <v>6407.5394879999994</v>
          </cell>
        </row>
        <row r="17">
          <cell r="I17">
            <v>1293.5999999999999</v>
          </cell>
        </row>
        <row r="18">
          <cell r="I18">
            <v>3000</v>
          </cell>
        </row>
        <row r="19">
          <cell r="I19">
            <v>3200</v>
          </cell>
        </row>
        <row r="20">
          <cell r="I20">
            <v>3236400</v>
          </cell>
        </row>
        <row r="21">
          <cell r="I21">
            <v>658463.13311100006</v>
          </cell>
        </row>
        <row r="22">
          <cell r="I22">
            <v>900000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15</v>
    <v>5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AD6A44-9B55-4338-9391-A8639A6FFE5B}" name="Table6" displayName="Table6" ref="A1:O1197" totalsRowShown="0" headerRowDxfId="36" dataDxfId="35">
  <autoFilter ref="A1:O1197" xr:uid="{A2AD6A44-9B55-4338-9391-A8639A6FFE5B}"/>
  <sortState xmlns:xlrd2="http://schemas.microsoft.com/office/spreadsheetml/2017/richdata2" ref="A2:N369">
    <sortCondition ref="B2:B369"/>
  </sortState>
  <tableColumns count="15">
    <tableColumn id="1" xr3:uid="{41A09CBE-8D9C-4707-B149-E849B167173C}" name="Клиент" dataDxfId="34"/>
    <tableColumn id="2" xr3:uid="{419901B0-BD2A-49C2-99A9-9C8942C35BF5}" name="фактура №" dataDxfId="33"/>
    <tableColumn id="12" xr3:uid="{708C810E-B015-421E-8F87-B31530AEC05A}" name="дата" dataDxfId="32"/>
    <tableColumn id="3" xr3:uid="{8EADD03D-DC71-445F-980B-9A3EE5ED30FF}" name="период на доставка" dataDxfId="31"/>
    <tableColumn id="4" xr3:uid="{501631B0-D7FD-4EF6-90A7-36992E438625}" name="артикул/услуга" dataDxfId="30"/>
    <tableColumn id="14" xr3:uid="{A4C992B6-FA9C-405D-9C79-92AEDBE879F2}" name="забележка" dataDxfId="29"/>
    <tableColumn id="5" xr3:uid="{E249673F-BCA1-484D-AE76-731E3DFF1844}" name="мярка" dataDxfId="28"/>
    <tableColumn id="6" xr3:uid="{598FB429-A1F7-43CB-B7D0-5F0D38FC862E}" name="количество" dataDxfId="27"/>
    <tableColumn id="7" xr3:uid="{8CE06E9C-4521-4F32-BDEC-E49EC57E5859}" name="единична цена" dataDxfId="26"/>
    <tableColumn id="8" xr3:uid="{6A399238-77F2-4B0C-AC27-E257B69D9F56}" name="стойност" dataDxfId="25">
      <calculatedColumnFormula>ROUND(+H2*I2,2)</calculatedColumnFormula>
    </tableColumn>
    <tableColumn id="9" xr3:uid="{3F3C648A-DEBC-41F6-9A05-2FA1B90F0EC0}" name="стойност с ДДС" dataDxfId="24">
      <calculatedColumnFormula>J2*1.2</calculatedColumnFormula>
    </tableColumn>
    <tableColumn id="10" xr3:uid="{BEA12BC9-257C-4EF6-BF86-81C82D11AAA9}" name="плащане" dataDxfId="23"/>
    <tableColumn id="13" xr3:uid="{A3208643-60BA-487E-8857-D90C78DF2EF2}" name="дата плащане" dataDxfId="22"/>
    <tableColumn id="11" xr3:uid="{3FABF1AA-86A9-41C0-9FE3-6590F3F7F933}" name="остатък" dataDxfId="21">
      <calculatedColumnFormula>+Table6[[#This Row],[стойност с ДДС]]-Table6[[#This Row],[плащане]]</calculatedColumnFormula>
    </tableColumn>
    <tableColumn id="15" xr3:uid="{7C44C906-0C02-48D3-B611-E057F2451423}" name="падеж" dataDxfId="2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135E0F-0724-44C4-9BEE-BD7DCCFC1144}" name="Table7" displayName="Table7" ref="A1:O1349" totalsRowShown="0" headerRowDxfId="19" dataDxfId="17" headerRowBorderDxfId="18" tableBorderDxfId="16" totalsRowBorderDxfId="15">
  <autoFilter ref="A1:O1349" xr:uid="{3C135E0F-0724-44C4-9BEE-BD7DCCFC1144}"/>
  <tableColumns count="15">
    <tableColumn id="1" xr3:uid="{4A8BEF6C-34E6-4736-AA84-A31253926D42}" name="Доставчик" dataDxfId="14"/>
    <tableColumn id="2" xr3:uid="{CD5BAB8B-DD41-4904-9CC6-89172F5C2BCC}" name="фактура" dataDxfId="13" dataCellStyle="Comma"/>
    <tableColumn id="15" xr3:uid="{D2AE75C5-99CA-4C11-AC70-0DC8D84A7AA6}" name="дата" dataDxfId="12" dataCellStyle="Comma"/>
    <tableColumn id="3" xr3:uid="{F5E3A468-904F-4C82-AA69-79FF5548C7A6}" name="период на доставка" dataDxfId="11" dataCellStyle="Comma"/>
    <tableColumn id="4" xr3:uid="{AF55A80D-CD3B-4FCF-BF1F-D42ABE9F6E1E}" name="Артикул/услуга" dataDxfId="10" dataCellStyle="Comma"/>
    <tableColumn id="11" xr3:uid="{3157BBBF-07F0-4F9D-A01B-7F99566B7CD9}" name="забележка" dataDxfId="9" dataCellStyle="Comma"/>
    <tableColumn id="5" xr3:uid="{D849D34C-F1C4-4D1A-9D44-C87949D900D1}" name="мярка" dataDxfId="8" dataCellStyle="Comma"/>
    <tableColumn id="6" xr3:uid="{6C4F8A7E-1702-4E42-BC22-E1808B9557C3}" name="Количество" dataDxfId="7" dataCellStyle="Comma"/>
    <tableColumn id="7" xr3:uid="{C59721C2-8785-46E9-A2B4-7E8A03FDA6FA}" name="единична цена" dataDxfId="6" dataCellStyle="Comma"/>
    <tableColumn id="8" xr3:uid="{73111878-71C8-4D89-B1AD-6433133985D9}" name="стойност" dataDxfId="5" dataCellStyle="Comma">
      <calculatedColumnFormula>I2*H2</calculatedColumnFormula>
    </tableColumn>
    <tableColumn id="9" xr3:uid="{89EF5D0D-80B8-4D44-8BB4-4C8AE5D99242}" name="стойност с ДДС" dataDxfId="4" dataCellStyle="Comma">
      <calculatedColumnFormula>J2*1.2</calculatedColumnFormula>
    </tableColumn>
    <tableColumn id="10" xr3:uid="{C8D67DAD-44A9-475A-B204-DC630FAEEFBC}" name="направено плащане" dataDxfId="3" dataCellStyle="Comma"/>
    <tableColumn id="12" xr3:uid="{90E8115F-E0BC-4877-A023-344A0289D565}" name="дата плащане" dataDxfId="2" dataCellStyle="Comma"/>
    <tableColumn id="13" xr3:uid="{BC0B5070-F475-4E85-95CA-BA295D9D4B9C}" name="остатък" dataDxfId="1" dataCellStyle="Comma">
      <calculatedColumnFormula>+Table7[[#This Row],[стойност с ДДС]]-Table7[[#This Row],[направено плащане]]</calculatedColumnFormula>
    </tableColumn>
    <tableColumn id="14" xr3:uid="{F90D685E-42AE-4547-B8FA-A304B2927280}" name="падеж" dataDxfId="0" dataCellStyle="Comma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B875-A71D-4133-A6E2-E881F88FAABA}">
  <dimension ref="A1:O60"/>
  <sheetViews>
    <sheetView zoomScale="80" zoomScaleNormal="80" workbookViewId="0">
      <pane ySplit="1" topLeftCell="A2" activePane="bottomLeft" state="frozen"/>
      <selection pane="bottomLeft" activeCell="K42" sqref="K42"/>
    </sheetView>
  </sheetViews>
  <sheetFormatPr defaultColWidth="9.140625" defaultRowHeight="15" outlineLevelRow="1" x14ac:dyDescent="0.25"/>
  <cols>
    <col min="1" max="1" width="30.140625" style="86" bestFit="1" customWidth="1"/>
    <col min="2" max="2" width="14" style="86" bestFit="1" customWidth="1"/>
    <col min="3" max="3" width="9.85546875" style="86" bestFit="1" customWidth="1"/>
    <col min="4" max="4" width="12.140625" style="86" customWidth="1"/>
    <col min="5" max="14" width="9.85546875" style="86" bestFit="1" customWidth="1"/>
    <col min="15" max="16384" width="9.140625" style="86"/>
  </cols>
  <sheetData>
    <row r="1" spans="1:14" x14ac:dyDescent="0.25">
      <c r="A1" s="157"/>
      <c r="B1" s="169">
        <v>45292</v>
      </c>
      <c r="C1" s="169">
        <v>45323</v>
      </c>
      <c r="D1" s="169">
        <v>45352</v>
      </c>
      <c r="E1" s="169">
        <v>45383</v>
      </c>
      <c r="F1" s="169">
        <v>45413</v>
      </c>
      <c r="G1" s="169">
        <v>45444</v>
      </c>
      <c r="H1" s="169">
        <v>45474</v>
      </c>
      <c r="I1" s="169">
        <v>45505</v>
      </c>
      <c r="J1" s="169">
        <v>45536</v>
      </c>
      <c r="K1" s="169">
        <v>45566</v>
      </c>
      <c r="L1" s="169">
        <v>45597</v>
      </c>
      <c r="M1" s="169">
        <v>45627</v>
      </c>
      <c r="N1" s="169" t="s">
        <v>0</v>
      </c>
    </row>
    <row r="2" spans="1:14" outlineLevel="1" x14ac:dyDescent="0.25">
      <c r="A2" s="87" t="s">
        <v>1</v>
      </c>
      <c r="B2" s="159"/>
      <c r="C2" s="159"/>
      <c r="D2" s="159">
        <v>28000</v>
      </c>
      <c r="E2" s="159">
        <v>28000</v>
      </c>
      <c r="F2" s="159">
        <v>28000</v>
      </c>
      <c r="G2" s="159">
        <v>34000</v>
      </c>
      <c r="H2" s="159">
        <v>34000</v>
      </c>
      <c r="I2" s="159"/>
      <c r="J2" s="159"/>
      <c r="K2" s="159"/>
      <c r="L2" s="159"/>
      <c r="M2" s="159"/>
      <c r="N2" s="159">
        <f>SUM(B2:M2)</f>
        <v>152000</v>
      </c>
    </row>
    <row r="3" spans="1:14" outlineLevel="1" x14ac:dyDescent="0.25">
      <c r="A3" s="87" t="s">
        <v>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>
        <f t="shared" ref="N3:N10" si="0">SUM(B3:M3)</f>
        <v>0</v>
      </c>
    </row>
    <row r="4" spans="1:14" outlineLevel="1" x14ac:dyDescent="0.25">
      <c r="A4" s="87" t="s">
        <v>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>
        <f t="shared" si="0"/>
        <v>0</v>
      </c>
    </row>
    <row r="5" spans="1:14" outlineLevel="1" x14ac:dyDescent="0.25">
      <c r="A5" s="87" t="s">
        <v>4</v>
      </c>
      <c r="B5" s="159"/>
      <c r="C5" s="159">
        <v>550</v>
      </c>
      <c r="D5" s="159">
        <v>590</v>
      </c>
      <c r="E5" s="159">
        <v>590</v>
      </c>
      <c r="F5" s="159">
        <v>590</v>
      </c>
      <c r="G5" s="159">
        <v>590</v>
      </c>
      <c r="H5" s="159">
        <v>590</v>
      </c>
      <c r="I5" s="159"/>
      <c r="J5" s="159"/>
      <c r="K5" s="159"/>
      <c r="L5" s="159"/>
      <c r="M5" s="159"/>
      <c r="N5" s="159">
        <f t="shared" si="0"/>
        <v>3500</v>
      </c>
    </row>
    <row r="6" spans="1:14" outlineLevel="1" x14ac:dyDescent="0.25">
      <c r="A6" s="87" t="s">
        <v>5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>
        <f t="shared" si="0"/>
        <v>0</v>
      </c>
    </row>
    <row r="7" spans="1:14" outlineLevel="1" x14ac:dyDescent="0.25">
      <c r="A7" s="87" t="s">
        <v>6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90">
        <f t="shared" si="0"/>
        <v>0</v>
      </c>
    </row>
    <row r="8" spans="1:14" outlineLevel="1" x14ac:dyDescent="0.25">
      <c r="A8" s="87" t="s">
        <v>7</v>
      </c>
      <c r="B8" s="159">
        <v>1040</v>
      </c>
      <c r="C8" s="159">
        <v>1040</v>
      </c>
      <c r="D8" s="159">
        <v>1040</v>
      </c>
      <c r="E8" s="159">
        <v>1040</v>
      </c>
      <c r="F8" s="159">
        <v>1040</v>
      </c>
      <c r="G8" s="159">
        <v>1040</v>
      </c>
      <c r="H8" s="159">
        <v>1040</v>
      </c>
      <c r="I8" s="159">
        <v>1040</v>
      </c>
      <c r="J8" s="159">
        <v>1040</v>
      </c>
      <c r="K8" s="159">
        <v>1040</v>
      </c>
      <c r="L8" s="159">
        <v>1040</v>
      </c>
      <c r="M8" s="159">
        <v>1040</v>
      </c>
      <c r="N8" s="190">
        <f t="shared" si="0"/>
        <v>12480</v>
      </c>
    </row>
    <row r="9" spans="1:14" outlineLevel="1" x14ac:dyDescent="0.25">
      <c r="A9" s="87" t="s">
        <v>8</v>
      </c>
      <c r="B9" s="159"/>
      <c r="C9" s="159">
        <v>3980</v>
      </c>
      <c r="D9" s="159">
        <v>19800</v>
      </c>
      <c r="E9" s="159">
        <v>13100</v>
      </c>
      <c r="F9" s="159">
        <v>3700</v>
      </c>
      <c r="G9" s="159"/>
      <c r="H9" s="159">
        <v>8760</v>
      </c>
      <c r="I9" s="159"/>
      <c r="J9" s="159"/>
      <c r="K9" s="159"/>
      <c r="L9" s="159"/>
      <c r="M9" s="159"/>
      <c r="N9" s="190">
        <f t="shared" si="0"/>
        <v>49340</v>
      </c>
    </row>
    <row r="10" spans="1:14" outlineLevel="1" x14ac:dyDescent="0.25">
      <c r="A10" s="204" t="s">
        <v>9</v>
      </c>
      <c r="B10" s="159"/>
      <c r="C10" s="87"/>
      <c r="D10" s="87"/>
      <c r="E10" s="87"/>
      <c r="F10" s="159"/>
      <c r="G10" s="159"/>
      <c r="H10" s="159"/>
      <c r="I10" s="159"/>
      <c r="J10" s="159"/>
      <c r="K10" s="159"/>
      <c r="L10" s="159"/>
      <c r="M10" s="159"/>
      <c r="N10" s="190">
        <f t="shared" si="0"/>
        <v>0</v>
      </c>
    </row>
    <row r="11" spans="1:14" ht="15.75" outlineLevel="1" thickBot="1" x14ac:dyDescent="0.3">
      <c r="A11" s="178" t="s">
        <v>10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77">
        <v>3147656</v>
      </c>
    </row>
    <row r="12" spans="1:14" ht="15.75" thickBot="1" x14ac:dyDescent="0.3">
      <c r="A12" s="179" t="s">
        <v>11</v>
      </c>
      <c r="B12" s="180">
        <f t="shared" ref="B12:N12" si="1">SUM(B2:B11)</f>
        <v>1040</v>
      </c>
      <c r="C12" s="180">
        <f t="shared" si="1"/>
        <v>5570</v>
      </c>
      <c r="D12" s="180">
        <f t="shared" si="1"/>
        <v>49430</v>
      </c>
      <c r="E12" s="180">
        <f t="shared" si="1"/>
        <v>42730</v>
      </c>
      <c r="F12" s="180">
        <f t="shared" si="1"/>
        <v>33330</v>
      </c>
      <c r="G12" s="180">
        <f t="shared" si="1"/>
        <v>35630</v>
      </c>
      <c r="H12" s="180">
        <f t="shared" si="1"/>
        <v>44390</v>
      </c>
      <c r="I12" s="180">
        <f t="shared" si="1"/>
        <v>1040</v>
      </c>
      <c r="J12" s="180">
        <f t="shared" si="1"/>
        <v>1040</v>
      </c>
      <c r="K12" s="180">
        <f t="shared" si="1"/>
        <v>1040</v>
      </c>
      <c r="L12" s="180">
        <f t="shared" si="1"/>
        <v>1040</v>
      </c>
      <c r="M12" s="180">
        <f t="shared" si="1"/>
        <v>1040</v>
      </c>
      <c r="N12" s="181">
        <f t="shared" si="1"/>
        <v>3364976</v>
      </c>
    </row>
    <row r="13" spans="1:14" x14ac:dyDescent="0.25"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</row>
    <row r="14" spans="1:14" outlineLevel="1" x14ac:dyDescent="0.25">
      <c r="A14" s="87" t="s">
        <v>1</v>
      </c>
      <c r="B14" s="159">
        <v>5870</v>
      </c>
      <c r="C14" s="159">
        <v>5870</v>
      </c>
      <c r="D14" s="159">
        <v>5870</v>
      </c>
      <c r="E14" s="159">
        <v>5870</v>
      </c>
      <c r="F14" s="159">
        <v>5870</v>
      </c>
      <c r="G14" s="159">
        <v>5870</v>
      </c>
      <c r="H14" s="159"/>
      <c r="I14" s="159"/>
      <c r="J14" s="159"/>
      <c r="K14" s="159"/>
      <c r="L14" s="159"/>
      <c r="M14" s="159"/>
      <c r="N14" s="159">
        <f>SUM(B14:M14)</f>
        <v>35220</v>
      </c>
    </row>
    <row r="15" spans="1:14" outlineLevel="1" x14ac:dyDescent="0.25">
      <c r="A15" s="87" t="s">
        <v>2</v>
      </c>
      <c r="B15" s="159">
        <v>2760</v>
      </c>
      <c r="C15" s="159">
        <v>2760</v>
      </c>
      <c r="D15" s="159">
        <v>2760</v>
      </c>
      <c r="E15" s="159">
        <v>2760</v>
      </c>
      <c r="F15" s="159">
        <v>2760</v>
      </c>
      <c r="G15" s="159">
        <v>2760</v>
      </c>
      <c r="H15" s="159"/>
      <c r="I15" s="159"/>
      <c r="J15" s="159"/>
      <c r="K15" s="159"/>
      <c r="L15" s="159"/>
      <c r="M15" s="159"/>
      <c r="N15" s="159">
        <f t="shared" ref="N15:N21" si="2">SUM(B15:M15)</f>
        <v>16560</v>
      </c>
    </row>
    <row r="16" spans="1:14" outlineLevel="1" x14ac:dyDescent="0.25">
      <c r="A16" s="87" t="s">
        <v>3</v>
      </c>
      <c r="B16" s="159">
        <v>3000</v>
      </c>
      <c r="C16" s="159">
        <v>3000</v>
      </c>
      <c r="D16" s="159">
        <v>3000</v>
      </c>
      <c r="E16" s="159">
        <v>3000</v>
      </c>
      <c r="F16" s="159">
        <v>3000</v>
      </c>
      <c r="G16" s="159">
        <v>3000</v>
      </c>
      <c r="H16" s="159">
        <v>3000</v>
      </c>
      <c r="I16" s="159">
        <v>3000</v>
      </c>
      <c r="J16" s="159"/>
      <c r="K16" s="159"/>
      <c r="L16" s="159"/>
      <c r="M16" s="159"/>
      <c r="N16" s="159">
        <f t="shared" si="2"/>
        <v>24000</v>
      </c>
    </row>
    <row r="17" spans="1:15" outlineLevel="1" x14ac:dyDescent="0.25">
      <c r="A17" s="87" t="s">
        <v>4</v>
      </c>
      <c r="B17" s="159"/>
      <c r="C17" s="159"/>
      <c r="D17" s="159">
        <v>290</v>
      </c>
      <c r="E17" s="159">
        <v>290</v>
      </c>
      <c r="F17" s="159">
        <v>200</v>
      </c>
      <c r="G17" s="159">
        <v>200</v>
      </c>
      <c r="H17" s="159">
        <v>200</v>
      </c>
      <c r="I17" s="159">
        <v>200</v>
      </c>
      <c r="J17" s="159"/>
      <c r="K17" s="159"/>
      <c r="L17" s="159"/>
      <c r="M17" s="159"/>
      <c r="N17" s="159">
        <f t="shared" si="2"/>
        <v>1380</v>
      </c>
    </row>
    <row r="18" spans="1:15" outlineLevel="1" x14ac:dyDescent="0.25">
      <c r="A18" s="87" t="s">
        <v>5</v>
      </c>
      <c r="B18" s="159">
        <v>700</v>
      </c>
      <c r="C18" s="159">
        <v>700</v>
      </c>
      <c r="D18" s="159">
        <v>700</v>
      </c>
      <c r="E18" s="159">
        <v>700</v>
      </c>
      <c r="F18" s="159">
        <v>700</v>
      </c>
      <c r="G18" s="159">
        <v>600</v>
      </c>
      <c r="H18" s="159">
        <v>600</v>
      </c>
      <c r="I18" s="159">
        <v>600</v>
      </c>
      <c r="J18" s="159"/>
      <c r="K18" s="159"/>
      <c r="L18" s="159"/>
      <c r="M18" s="159"/>
      <c r="N18" s="159">
        <f t="shared" si="2"/>
        <v>5300</v>
      </c>
    </row>
    <row r="19" spans="1:15" outlineLevel="1" x14ac:dyDescent="0.25">
      <c r="A19" s="87" t="s">
        <v>6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>
        <f t="shared" si="2"/>
        <v>0</v>
      </c>
    </row>
    <row r="20" spans="1:15" outlineLevel="1" x14ac:dyDescent="0.25">
      <c r="A20" s="87" t="s">
        <v>7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>
        <f t="shared" si="2"/>
        <v>0</v>
      </c>
    </row>
    <row r="21" spans="1:15" outlineLevel="1" x14ac:dyDescent="0.25">
      <c r="A21" s="87" t="s">
        <v>8</v>
      </c>
      <c r="B21" s="87"/>
      <c r="C21" s="87"/>
      <c r="D21" s="87">
        <v>820</v>
      </c>
      <c r="E21" s="87"/>
      <c r="F21" s="159">
        <v>156</v>
      </c>
      <c r="G21" s="159"/>
      <c r="H21" s="159"/>
      <c r="I21" s="159"/>
      <c r="J21" s="159"/>
      <c r="K21" s="159"/>
      <c r="L21" s="159"/>
      <c r="M21" s="159"/>
      <c r="N21" s="159">
        <f t="shared" si="2"/>
        <v>976</v>
      </c>
    </row>
    <row r="22" spans="1:15" outlineLevel="1" x14ac:dyDescent="0.25">
      <c r="A22" s="204" t="s">
        <v>9</v>
      </c>
      <c r="B22" s="159">
        <v>195</v>
      </c>
      <c r="C22" s="159">
        <v>195</v>
      </c>
      <c r="D22" s="159">
        <v>195</v>
      </c>
      <c r="E22" s="159">
        <v>195</v>
      </c>
      <c r="F22" s="159">
        <v>195</v>
      </c>
      <c r="G22" s="159">
        <v>195</v>
      </c>
      <c r="H22" s="159">
        <v>195</v>
      </c>
      <c r="I22" s="159">
        <v>195</v>
      </c>
      <c r="J22" s="159"/>
      <c r="K22" s="159"/>
      <c r="L22" s="159"/>
      <c r="M22" s="159"/>
      <c r="N22" s="159">
        <f>SUM(B22:M22)</f>
        <v>1560</v>
      </c>
    </row>
    <row r="23" spans="1:15" ht="15.75" outlineLevel="1" thickBot="1" x14ac:dyDescent="0.3">
      <c r="A23" s="178" t="s">
        <v>10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>
        <v>4153324</v>
      </c>
    </row>
    <row r="24" spans="1:15" ht="15.75" thickBot="1" x14ac:dyDescent="0.3">
      <c r="A24" s="179" t="s">
        <v>12</v>
      </c>
      <c r="B24" s="180">
        <f t="shared" ref="B24:N24" si="3">SUM(B14:B23)</f>
        <v>12525</v>
      </c>
      <c r="C24" s="180">
        <f t="shared" si="3"/>
        <v>12525</v>
      </c>
      <c r="D24" s="180">
        <f t="shared" si="3"/>
        <v>13635</v>
      </c>
      <c r="E24" s="180">
        <f t="shared" si="3"/>
        <v>12815</v>
      </c>
      <c r="F24" s="180">
        <f t="shared" si="3"/>
        <v>12881</v>
      </c>
      <c r="G24" s="180">
        <f t="shared" si="3"/>
        <v>12625</v>
      </c>
      <c r="H24" s="180">
        <f t="shared" si="3"/>
        <v>3995</v>
      </c>
      <c r="I24" s="180">
        <f t="shared" si="3"/>
        <v>3995</v>
      </c>
      <c r="J24" s="180">
        <f t="shared" si="3"/>
        <v>0</v>
      </c>
      <c r="K24" s="180">
        <f t="shared" si="3"/>
        <v>0</v>
      </c>
      <c r="L24" s="180">
        <f t="shared" si="3"/>
        <v>0</v>
      </c>
      <c r="M24" s="180">
        <f t="shared" si="3"/>
        <v>0</v>
      </c>
      <c r="N24" s="181">
        <f t="shared" si="3"/>
        <v>4238320</v>
      </c>
    </row>
    <row r="25" spans="1:15" x14ac:dyDescent="0.25">
      <c r="A25" s="165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58"/>
    </row>
    <row r="26" spans="1:15" outlineLevel="1" x14ac:dyDescent="0.25">
      <c r="A26" s="87" t="s">
        <v>1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>
        <f>SUM(B26:M26)</f>
        <v>0</v>
      </c>
      <c r="O26" s="158"/>
    </row>
    <row r="27" spans="1:15" outlineLevel="1" x14ac:dyDescent="0.25">
      <c r="A27" s="87" t="s">
        <v>2</v>
      </c>
      <c r="B27" s="166">
        <f>63600*0.017</f>
        <v>1081.2</v>
      </c>
      <c r="C27" s="166">
        <f>63600*0.017</f>
        <v>1081.2</v>
      </c>
      <c r="D27" s="166">
        <f>63600*0.017</f>
        <v>1081.2</v>
      </c>
      <c r="E27" s="159"/>
      <c r="F27" s="159"/>
      <c r="G27" s="159"/>
      <c r="H27" s="159"/>
      <c r="I27" s="159"/>
      <c r="J27" s="159"/>
      <c r="K27" s="159"/>
      <c r="L27" s="159"/>
      <c r="M27" s="159"/>
      <c r="N27" s="159">
        <f t="shared" ref="N27:N35" si="4">SUM(B27:M27)</f>
        <v>3243.6000000000004</v>
      </c>
      <c r="O27" s="158"/>
    </row>
    <row r="28" spans="1:15" outlineLevel="1" x14ac:dyDescent="0.25">
      <c r="A28" s="87" t="s">
        <v>3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>
        <f t="shared" si="4"/>
        <v>0</v>
      </c>
      <c r="O28" s="158"/>
    </row>
    <row r="29" spans="1:15" outlineLevel="1" x14ac:dyDescent="0.25">
      <c r="A29" s="161" t="s">
        <v>4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>
        <f t="shared" si="4"/>
        <v>0</v>
      </c>
      <c r="O29" s="158"/>
    </row>
    <row r="30" spans="1:15" outlineLevel="1" x14ac:dyDescent="0.25">
      <c r="A30" s="87" t="s">
        <v>5</v>
      </c>
      <c r="B30" s="160">
        <f>72000*0.017</f>
        <v>1224</v>
      </c>
      <c r="C30" s="160">
        <f>216000*0.017</f>
        <v>3672.0000000000005</v>
      </c>
      <c r="D30" s="159"/>
      <c r="E30" s="159">
        <f>6500*1.95583</f>
        <v>12712.895</v>
      </c>
      <c r="F30" s="159"/>
      <c r="G30" s="159"/>
      <c r="H30" s="159"/>
      <c r="I30" s="159"/>
      <c r="J30" s="159"/>
      <c r="K30" s="159"/>
      <c r="L30" s="159"/>
      <c r="M30" s="159"/>
      <c r="N30" s="159">
        <f t="shared" si="4"/>
        <v>17608.895</v>
      </c>
      <c r="O30" s="158"/>
    </row>
    <row r="31" spans="1:15" outlineLevel="1" x14ac:dyDescent="0.25">
      <c r="A31" s="87" t="s">
        <v>6</v>
      </c>
      <c r="B31" s="160">
        <f>225652.03*0.017</f>
        <v>3836.0845100000001</v>
      </c>
      <c r="C31" s="160">
        <f>70517.04*0.017</f>
        <v>1198.7896800000001</v>
      </c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>
        <f>SUM(B31:M31)</f>
        <v>5034.8741900000005</v>
      </c>
      <c r="O31" s="158"/>
    </row>
    <row r="32" spans="1:15" outlineLevel="1" x14ac:dyDescent="0.25">
      <c r="A32" s="87" t="s">
        <v>7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>
        <f t="shared" si="4"/>
        <v>0</v>
      </c>
      <c r="O32" s="158"/>
    </row>
    <row r="33" spans="1:15" outlineLevel="1" x14ac:dyDescent="0.25">
      <c r="A33" s="87" t="s">
        <v>8</v>
      </c>
      <c r="B33" s="87"/>
      <c r="C33" s="87"/>
      <c r="D33" s="87"/>
      <c r="E33" s="87"/>
      <c r="F33" s="159"/>
      <c r="G33" s="159"/>
      <c r="H33" s="159"/>
      <c r="I33" s="159"/>
      <c r="J33" s="159"/>
      <c r="K33" s="159"/>
      <c r="L33" s="159"/>
      <c r="M33" s="159"/>
      <c r="N33" s="159">
        <f t="shared" si="4"/>
        <v>0</v>
      </c>
      <c r="O33" s="158"/>
    </row>
    <row r="34" spans="1:15" outlineLevel="1" x14ac:dyDescent="0.25">
      <c r="A34" s="204" t="s">
        <v>9</v>
      </c>
      <c r="B34" s="159">
        <v>16</v>
      </c>
      <c r="C34" s="159">
        <v>16</v>
      </c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>
        <f>SUM(B34:M34)</f>
        <v>32</v>
      </c>
      <c r="O34" s="158"/>
    </row>
    <row r="35" spans="1:15" ht="15.75" outlineLevel="1" thickBot="1" x14ac:dyDescent="0.3">
      <c r="A35" s="205" t="s">
        <v>10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>
        <f t="shared" si="4"/>
        <v>0</v>
      </c>
      <c r="O35" s="158"/>
    </row>
    <row r="36" spans="1:15" ht="15.75" thickBot="1" x14ac:dyDescent="0.3">
      <c r="A36" s="179" t="s">
        <v>13</v>
      </c>
      <c r="B36" s="182">
        <f t="shared" ref="B36:N36" si="5">SUM(B26:B35)</f>
        <v>6157.2845099999995</v>
      </c>
      <c r="C36" s="182">
        <f t="shared" si="5"/>
        <v>5967.9896800000006</v>
      </c>
      <c r="D36" s="182">
        <f t="shared" si="5"/>
        <v>1081.2</v>
      </c>
      <c r="E36" s="182">
        <f t="shared" si="5"/>
        <v>12712.895</v>
      </c>
      <c r="F36" s="182">
        <f t="shared" si="5"/>
        <v>0</v>
      </c>
      <c r="G36" s="182">
        <f t="shared" si="5"/>
        <v>0</v>
      </c>
      <c r="H36" s="182">
        <f t="shared" si="5"/>
        <v>0</v>
      </c>
      <c r="I36" s="182">
        <f t="shared" si="5"/>
        <v>0</v>
      </c>
      <c r="J36" s="182">
        <f t="shared" si="5"/>
        <v>0</v>
      </c>
      <c r="K36" s="182">
        <f t="shared" si="5"/>
        <v>0</v>
      </c>
      <c r="L36" s="182">
        <f t="shared" si="5"/>
        <v>0</v>
      </c>
      <c r="M36" s="182">
        <f t="shared" si="5"/>
        <v>0</v>
      </c>
      <c r="N36" s="183">
        <f t="shared" si="5"/>
        <v>25919.369190000005</v>
      </c>
    </row>
    <row r="37" spans="1:15" x14ac:dyDescent="0.25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5" outlineLevel="1" x14ac:dyDescent="0.25">
      <c r="A38" s="87" t="s">
        <v>1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>
        <f>SUM(B38:M38)</f>
        <v>0</v>
      </c>
    </row>
    <row r="39" spans="1:15" outlineLevel="1" x14ac:dyDescent="0.25">
      <c r="A39" s="87" t="s">
        <v>2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>
        <f t="shared" ref="N39:N47" si="6">SUM(B39:M39)</f>
        <v>0</v>
      </c>
    </row>
    <row r="40" spans="1:15" outlineLevel="1" x14ac:dyDescent="0.25">
      <c r="A40" s="87" t="s">
        <v>3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>
        <f t="shared" si="6"/>
        <v>0</v>
      </c>
    </row>
    <row r="41" spans="1:15" outlineLevel="1" x14ac:dyDescent="0.25">
      <c r="A41" s="87" t="s">
        <v>4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>
        <f t="shared" si="6"/>
        <v>0</v>
      </c>
    </row>
    <row r="42" spans="1:15" outlineLevel="1" x14ac:dyDescent="0.25">
      <c r="A42" s="87" t="s">
        <v>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>
        <f t="shared" si="6"/>
        <v>0</v>
      </c>
    </row>
    <row r="43" spans="1:15" outlineLevel="1" x14ac:dyDescent="0.25">
      <c r="A43" s="87" t="s">
        <v>6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>
        <f t="shared" si="6"/>
        <v>0</v>
      </c>
    </row>
    <row r="44" spans="1:15" outlineLevel="1" x14ac:dyDescent="0.25">
      <c r="A44" s="87" t="s">
        <v>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>
        <f t="shared" si="6"/>
        <v>0</v>
      </c>
    </row>
    <row r="45" spans="1:15" outlineLevel="1" x14ac:dyDescent="0.25">
      <c r="A45" s="87" t="s">
        <v>8</v>
      </c>
      <c r="B45" s="88">
        <v>600</v>
      </c>
      <c r="C45" s="88">
        <v>600</v>
      </c>
      <c r="D45" s="88">
        <v>600</v>
      </c>
      <c r="E45" s="88">
        <v>600</v>
      </c>
      <c r="F45" s="88">
        <v>600</v>
      </c>
      <c r="G45" s="88">
        <v>600</v>
      </c>
      <c r="H45" s="88">
        <v>600</v>
      </c>
      <c r="I45" s="88"/>
      <c r="J45" s="88"/>
      <c r="K45" s="88"/>
      <c r="L45" s="88"/>
      <c r="M45" s="88"/>
      <c r="N45" s="88">
        <f t="shared" si="6"/>
        <v>4200</v>
      </c>
    </row>
    <row r="46" spans="1:15" outlineLevel="1" x14ac:dyDescent="0.25">
      <c r="A46" s="204" t="s">
        <v>9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>
        <f t="shared" si="6"/>
        <v>0</v>
      </c>
    </row>
    <row r="47" spans="1:15" ht="15.75" outlineLevel="1" thickBot="1" x14ac:dyDescent="0.3">
      <c r="A47" s="205" t="s">
        <v>10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>
        <f t="shared" si="6"/>
        <v>0</v>
      </c>
    </row>
    <row r="48" spans="1:15" ht="15.75" thickBot="1" x14ac:dyDescent="0.3">
      <c r="A48" s="179" t="s">
        <v>14</v>
      </c>
      <c r="B48" s="182">
        <f t="shared" ref="B48:N48" si="7">SUM(B38:B47)</f>
        <v>600</v>
      </c>
      <c r="C48" s="182">
        <f t="shared" si="7"/>
        <v>600</v>
      </c>
      <c r="D48" s="182">
        <f t="shared" si="7"/>
        <v>600</v>
      </c>
      <c r="E48" s="182">
        <f t="shared" si="7"/>
        <v>600</v>
      </c>
      <c r="F48" s="182">
        <f t="shared" si="7"/>
        <v>600</v>
      </c>
      <c r="G48" s="182">
        <f t="shared" si="7"/>
        <v>600</v>
      </c>
      <c r="H48" s="182">
        <f t="shared" si="7"/>
        <v>600</v>
      </c>
      <c r="I48" s="182">
        <f t="shared" si="7"/>
        <v>0</v>
      </c>
      <c r="J48" s="182">
        <f t="shared" si="7"/>
        <v>0</v>
      </c>
      <c r="K48" s="182">
        <f t="shared" si="7"/>
        <v>0</v>
      </c>
      <c r="L48" s="182">
        <f t="shared" si="7"/>
        <v>0</v>
      </c>
      <c r="M48" s="182">
        <f t="shared" si="7"/>
        <v>0</v>
      </c>
      <c r="N48" s="183">
        <f t="shared" si="7"/>
        <v>4200</v>
      </c>
    </row>
    <row r="49" spans="1:14" x14ac:dyDescent="0.25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outlineLevel="1" x14ac:dyDescent="0.25">
      <c r="A50" s="87" t="s">
        <v>1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>
        <f>SUM(B50:M50)</f>
        <v>0</v>
      </c>
    </row>
    <row r="51" spans="1:14" outlineLevel="1" x14ac:dyDescent="0.25">
      <c r="A51" s="87" t="s">
        <v>2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>
        <f t="shared" ref="N51:N58" si="8">SUM(B51:M51)</f>
        <v>0</v>
      </c>
    </row>
    <row r="52" spans="1:14" outlineLevel="1" x14ac:dyDescent="0.25">
      <c r="A52" s="87" t="s">
        <v>3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>
        <f t="shared" si="8"/>
        <v>0</v>
      </c>
    </row>
    <row r="53" spans="1:14" outlineLevel="1" x14ac:dyDescent="0.25">
      <c r="A53" s="87" t="s">
        <v>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>
        <f t="shared" si="8"/>
        <v>0</v>
      </c>
    </row>
    <row r="54" spans="1:14" outlineLevel="1" x14ac:dyDescent="0.25">
      <c r="A54" s="87" t="s">
        <v>5</v>
      </c>
      <c r="B54" s="88"/>
      <c r="C54" s="88"/>
      <c r="D54" s="88"/>
      <c r="E54" s="88"/>
      <c r="G54" s="88"/>
      <c r="H54" s="88"/>
      <c r="I54" s="88"/>
      <c r="J54" s="88"/>
      <c r="K54" s="88"/>
      <c r="L54" s="88"/>
      <c r="M54" s="88"/>
      <c r="N54" s="88">
        <f t="shared" si="8"/>
        <v>0</v>
      </c>
    </row>
    <row r="55" spans="1:14" outlineLevel="1" x14ac:dyDescent="0.25">
      <c r="A55" s="87" t="s">
        <v>6</v>
      </c>
      <c r="B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>
        <f t="shared" si="8"/>
        <v>0</v>
      </c>
    </row>
    <row r="56" spans="1:14" outlineLevel="1" x14ac:dyDescent="0.25">
      <c r="A56" s="87" t="s">
        <v>7</v>
      </c>
      <c r="B56" s="88"/>
      <c r="C56" s="88">
        <v>3140</v>
      </c>
      <c r="D56" s="88"/>
      <c r="E56" s="88"/>
      <c r="F56" s="88">
        <v>3333</v>
      </c>
      <c r="G56" s="88">
        <v>1549.3896</v>
      </c>
      <c r="H56" s="86">
        <v>1040</v>
      </c>
      <c r="I56" s="88">
        <v>2070</v>
      </c>
      <c r="J56" s="88"/>
      <c r="K56" s="88"/>
      <c r="L56" s="88"/>
      <c r="M56" s="88"/>
      <c r="N56" s="88">
        <f t="shared" si="8"/>
        <v>11132.3896</v>
      </c>
    </row>
    <row r="57" spans="1:14" outlineLevel="1" x14ac:dyDescent="0.25">
      <c r="A57" s="87" t="s">
        <v>8</v>
      </c>
      <c r="B57" s="88"/>
      <c r="C57" s="88">
        <v>600</v>
      </c>
      <c r="D57" s="88">
        <v>1050</v>
      </c>
      <c r="F57" s="88">
        <v>750</v>
      </c>
      <c r="G57" s="88"/>
      <c r="H57" s="88"/>
      <c r="I57" s="88"/>
      <c r="J57" s="88"/>
      <c r="K57" s="88"/>
      <c r="L57" s="88"/>
      <c r="M57" s="88"/>
      <c r="N57" s="88">
        <f t="shared" si="8"/>
        <v>2400</v>
      </c>
    </row>
    <row r="58" spans="1:14" outlineLevel="1" x14ac:dyDescent="0.25">
      <c r="A58" s="204" t="s">
        <v>9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>
        <f t="shared" si="8"/>
        <v>0</v>
      </c>
    </row>
    <row r="59" spans="1:14" ht="15.75" outlineLevel="1" thickBot="1" x14ac:dyDescent="0.3">
      <c r="A59" s="178" t="s">
        <v>10</v>
      </c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>
        <v>20000</v>
      </c>
    </row>
    <row r="60" spans="1:14" ht="15.75" thickBot="1" x14ac:dyDescent="0.3">
      <c r="A60" s="179" t="s">
        <v>15</v>
      </c>
      <c r="B60" s="182">
        <f t="shared" ref="B60:M60" si="9">SUM(B50,B51,B52,B53:B59)</f>
        <v>0</v>
      </c>
      <c r="C60" s="182">
        <f t="shared" si="9"/>
        <v>3740</v>
      </c>
      <c r="D60" s="182">
        <f t="shared" si="9"/>
        <v>1050</v>
      </c>
      <c r="E60" s="182">
        <f t="shared" si="9"/>
        <v>0</v>
      </c>
      <c r="F60" s="182">
        <f t="shared" si="9"/>
        <v>4083</v>
      </c>
      <c r="G60" s="182">
        <f t="shared" si="9"/>
        <v>1549.3896</v>
      </c>
      <c r="H60" s="182">
        <f t="shared" si="9"/>
        <v>1040</v>
      </c>
      <c r="I60" s="182">
        <f t="shared" si="9"/>
        <v>2070</v>
      </c>
      <c r="J60" s="182">
        <f t="shared" si="9"/>
        <v>0</v>
      </c>
      <c r="K60" s="182">
        <f t="shared" si="9"/>
        <v>0</v>
      </c>
      <c r="L60" s="182">
        <f t="shared" si="9"/>
        <v>0</v>
      </c>
      <c r="M60" s="182">
        <f t="shared" si="9"/>
        <v>0</v>
      </c>
      <c r="N60" s="183">
        <f>SUM(N50:N59)</f>
        <v>33532.389600000002</v>
      </c>
    </row>
  </sheetData>
  <hyperlinks>
    <hyperlink ref="A23" location="'депозити и банкови гаранции'!A1" display="депозити и банкови гаранции" xr:uid="{B6208715-9248-4619-BDE2-D7B8602113A4}"/>
    <hyperlink ref="A11" location="'депозити и банкови гаранции'!A1" display="депозити и банкови гаранции" xr:uid="{91384649-BF22-4236-9D6F-66086EAF6256}"/>
    <hyperlink ref="A59" location="'депозити и банкови гаранции'!A1" display="депозити и банкови гаранции" xr:uid="{36FE39E4-7F28-4264-ACAA-CC9D943010E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B36F-0424-467D-8CF9-29585AAAC40D}">
  <sheetPr>
    <tabColor theme="7" tint="0.79998168889431442"/>
  </sheetPr>
  <dimension ref="A1:AK137"/>
  <sheetViews>
    <sheetView zoomScale="60" zoomScaleNormal="60" workbookViewId="0">
      <pane xSplit="4" topLeftCell="E1" activePane="topRight" state="frozen"/>
      <selection pane="topRight" activeCell="D1" sqref="D1:D1048576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45474</v>
      </c>
      <c r="F2" s="81">
        <f>+E2+1</f>
        <v>45475</v>
      </c>
      <c r="G2" s="81">
        <f t="shared" ref="G2:AI2" si="0">+F2+1</f>
        <v>45476</v>
      </c>
      <c r="H2" s="81">
        <f t="shared" si="0"/>
        <v>45477</v>
      </c>
      <c r="I2" s="81">
        <f t="shared" si="0"/>
        <v>45478</v>
      </c>
      <c r="J2" s="83">
        <f t="shared" si="0"/>
        <v>45479</v>
      </c>
      <c r="K2" s="83">
        <f t="shared" si="0"/>
        <v>45480</v>
      </c>
      <c r="L2" s="81">
        <f t="shared" si="0"/>
        <v>45481</v>
      </c>
      <c r="M2" s="81">
        <f t="shared" si="0"/>
        <v>45482</v>
      </c>
      <c r="N2" s="81">
        <f t="shared" si="0"/>
        <v>45483</v>
      </c>
      <c r="O2" s="81">
        <f>+N2+1</f>
        <v>45484</v>
      </c>
      <c r="P2" s="81">
        <f t="shared" si="0"/>
        <v>45485</v>
      </c>
      <c r="Q2" s="85">
        <f t="shared" si="0"/>
        <v>45486</v>
      </c>
      <c r="R2" s="85">
        <f t="shared" si="0"/>
        <v>45487</v>
      </c>
      <c r="S2" s="81">
        <f t="shared" si="0"/>
        <v>45488</v>
      </c>
      <c r="T2" s="81">
        <f t="shared" si="0"/>
        <v>45489</v>
      </c>
      <c r="U2" s="81">
        <f t="shared" si="0"/>
        <v>45490</v>
      </c>
      <c r="V2" s="81">
        <f t="shared" si="0"/>
        <v>45491</v>
      </c>
      <c r="W2" s="81">
        <f t="shared" si="0"/>
        <v>45492</v>
      </c>
      <c r="X2" s="83">
        <f t="shared" si="0"/>
        <v>45493</v>
      </c>
      <c r="Y2" s="83">
        <f t="shared" si="0"/>
        <v>45494</v>
      </c>
      <c r="Z2" s="81">
        <f t="shared" si="0"/>
        <v>45495</v>
      </c>
      <c r="AA2" s="81">
        <f t="shared" si="0"/>
        <v>45496</v>
      </c>
      <c r="AB2" s="81">
        <f t="shared" si="0"/>
        <v>45497</v>
      </c>
      <c r="AC2" s="81">
        <f t="shared" si="0"/>
        <v>45498</v>
      </c>
      <c r="AD2" s="81">
        <f t="shared" si="0"/>
        <v>45499</v>
      </c>
      <c r="AE2" s="83">
        <f t="shared" si="0"/>
        <v>45500</v>
      </c>
      <c r="AF2" s="83">
        <f t="shared" si="0"/>
        <v>45501</v>
      </c>
      <c r="AG2" s="81">
        <f t="shared" si="0"/>
        <v>45502</v>
      </c>
      <c r="AH2" s="81">
        <f t="shared" si="0"/>
        <v>45503</v>
      </c>
      <c r="AI2" s="81">
        <f t="shared" si="0"/>
        <v>45504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12184682.049097998</v>
      </c>
      <c r="E3" s="54">
        <f t="shared" si="1"/>
        <v>0</v>
      </c>
      <c r="F3" s="54">
        <f t="shared" si="1"/>
        <v>0</v>
      </c>
      <c r="G3" s="54">
        <f t="shared" si="1"/>
        <v>19824.395999999997</v>
      </c>
      <c r="H3" s="54">
        <f t="shared" si="1"/>
        <v>3098.9760000000001</v>
      </c>
      <c r="I3" s="54">
        <f t="shared" si="1"/>
        <v>1024.4639999999999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28978.031999999996</v>
      </c>
      <c r="O3" s="54">
        <f t="shared" si="1"/>
        <v>12684.996000000001</v>
      </c>
      <c r="P3" s="54">
        <f t="shared" si="1"/>
        <v>31797.048000000003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26767.811999999998</v>
      </c>
      <c r="U3" s="54">
        <f t="shared" si="1"/>
        <v>907456.77599999995</v>
      </c>
      <c r="V3" s="54">
        <f t="shared" si="1"/>
        <v>926361.41999999993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3120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48347.388000000006</v>
      </c>
      <c r="AJ3" s="54">
        <f t="shared" ref="AJ3:AJ34" si="2">SUM(E3:AI3)</f>
        <v>2009461.308</v>
      </c>
      <c r="AK3" s="54">
        <f t="shared" ref="AK3:AK66" si="3">+D3-AJ3</f>
        <v>10175220.741097998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12155110.407879999</v>
      </c>
      <c r="E4" s="73">
        <f>SUM(E5,E9,E10)</f>
        <v>0</v>
      </c>
      <c r="F4" s="73">
        <f>SUM(F5,F9,F10)</f>
        <v>0</v>
      </c>
      <c r="G4" s="73">
        <f>SUM(G5,G9,G10)</f>
        <v>18909.803999999996</v>
      </c>
      <c r="H4" s="73">
        <f>+H5+H9+H10</f>
        <v>3032.7240000000002</v>
      </c>
      <c r="I4" s="73">
        <f t="shared" ref="I4:AI4" si="5">SUM(I5,I9,I10)</f>
        <v>991.05599999999993</v>
      </c>
      <c r="J4" s="77">
        <f t="shared" si="5"/>
        <v>0</v>
      </c>
      <c r="K4" s="77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27758.591999999997</v>
      </c>
      <c r="O4" s="73">
        <f t="shared" si="5"/>
        <v>12595.608</v>
      </c>
      <c r="P4" s="73">
        <f t="shared" si="5"/>
        <v>31797.048000000003</v>
      </c>
      <c r="Q4" s="77">
        <f t="shared" si="5"/>
        <v>0</v>
      </c>
      <c r="R4" s="77">
        <f t="shared" si="5"/>
        <v>0</v>
      </c>
      <c r="S4" s="73">
        <f t="shared" si="5"/>
        <v>0</v>
      </c>
      <c r="T4" s="73">
        <f t="shared" si="5"/>
        <v>25528.295999999998</v>
      </c>
      <c r="U4" s="73">
        <f t="shared" si="5"/>
        <v>907456.77599999995</v>
      </c>
      <c r="V4" s="73">
        <f t="shared" si="5"/>
        <v>926361.41999999993</v>
      </c>
      <c r="W4" s="73">
        <f t="shared" si="5"/>
        <v>0</v>
      </c>
      <c r="X4" s="77">
        <f t="shared" si="5"/>
        <v>0</v>
      </c>
      <c r="Y4" s="77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3120</v>
      </c>
      <c r="AD4" s="73">
        <f t="shared" si="5"/>
        <v>0</v>
      </c>
      <c r="AE4" s="77">
        <f t="shared" si="5"/>
        <v>0</v>
      </c>
      <c r="AF4" s="77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48347.388000000006</v>
      </c>
      <c r="AJ4" s="57">
        <f t="shared" si="2"/>
        <v>2005898.7120000001</v>
      </c>
      <c r="AK4" s="58">
        <f t="shared" si="3"/>
        <v>10149211.69588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12155110.407879999</v>
      </c>
      <c r="E5" s="74">
        <f t="shared" ref="E5" si="6">SUM(E6:E8)</f>
        <v>0</v>
      </c>
      <c r="F5" s="74">
        <f>SUM(F6:F8)</f>
        <v>0</v>
      </c>
      <c r="G5" s="74">
        <f>SUM(G6:G8)</f>
        <v>18909.803999999996</v>
      </c>
      <c r="H5" s="74">
        <f>+H6+H7+H8</f>
        <v>3032.7240000000002</v>
      </c>
      <c r="I5" s="74">
        <f t="shared" ref="I5:AI5" si="7">SUM(I6:I8)</f>
        <v>991.05599999999993</v>
      </c>
      <c r="J5" s="76">
        <f t="shared" si="7"/>
        <v>0</v>
      </c>
      <c r="K5" s="76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27758.591999999997</v>
      </c>
      <c r="O5" s="74">
        <f t="shared" si="7"/>
        <v>4038.4559999999997</v>
      </c>
      <c r="P5" s="74">
        <f t="shared" si="7"/>
        <v>31797.048000000003</v>
      </c>
      <c r="Q5" s="76">
        <f t="shared" si="7"/>
        <v>0</v>
      </c>
      <c r="R5" s="76">
        <f t="shared" si="7"/>
        <v>0</v>
      </c>
      <c r="S5" s="74">
        <f t="shared" si="7"/>
        <v>0</v>
      </c>
      <c r="T5" s="74">
        <f t="shared" si="7"/>
        <v>25528.295999999998</v>
      </c>
      <c r="U5" s="74">
        <f t="shared" si="7"/>
        <v>907456.77599999995</v>
      </c>
      <c r="V5" s="74">
        <f t="shared" si="7"/>
        <v>926361.41999999993</v>
      </c>
      <c r="W5" s="74">
        <f t="shared" si="7"/>
        <v>0</v>
      </c>
      <c r="X5" s="76">
        <f t="shared" si="7"/>
        <v>0</v>
      </c>
      <c r="Y5" s="76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6">
        <f t="shared" si="7"/>
        <v>0</v>
      </c>
      <c r="AF5" s="76">
        <f t="shared" si="7"/>
        <v>0</v>
      </c>
      <c r="AG5" s="74">
        <f t="shared" si="7"/>
        <v>0</v>
      </c>
      <c r="AH5" s="74">
        <f t="shared" si="7"/>
        <v>0</v>
      </c>
      <c r="AI5" s="74">
        <f t="shared" si="7"/>
        <v>4113.3239999999996</v>
      </c>
      <c r="AJ5" s="61">
        <f t="shared" si="2"/>
        <v>1949987.4959999998</v>
      </c>
      <c r="AK5" s="62">
        <f t="shared" si="3"/>
        <v>10205122.91188</v>
      </c>
    </row>
    <row r="6" spans="1:37" s="23" customFormat="1" ht="20.100000000000001" customHeight="1" outlineLevel="1" x14ac:dyDescent="0.3">
      <c r="B6" s="24"/>
      <c r="C6" s="25" t="s">
        <v>851</v>
      </c>
      <c r="D6" s="79">
        <v>11368856.242799999</v>
      </c>
      <c r="E6" s="75"/>
      <c r="F6" s="75"/>
      <c r="G6" s="75"/>
      <c r="H6" s="75"/>
      <c r="I6" s="75"/>
      <c r="J6" s="78"/>
      <c r="K6" s="78"/>
      <c r="L6" s="75"/>
      <c r="M6" s="75"/>
      <c r="N6" s="75"/>
      <c r="O6" s="75"/>
      <c r="P6" s="75"/>
      <c r="Q6" s="78"/>
      <c r="R6" s="78"/>
      <c r="S6" s="75"/>
      <c r="T6" s="75"/>
      <c r="U6" s="75"/>
      <c r="V6" s="75"/>
      <c r="W6" s="75"/>
      <c r="X6" s="78"/>
      <c r="Y6" s="78"/>
      <c r="Z6" s="75"/>
      <c r="AA6" s="75"/>
      <c r="AB6" s="75"/>
      <c r="AC6" s="75"/>
      <c r="AD6" s="75"/>
      <c r="AE6" s="78"/>
      <c r="AF6" s="78"/>
      <c r="AG6" s="75"/>
      <c r="AH6" s="75"/>
      <c r="AI6" s="75"/>
      <c r="AJ6" s="66">
        <f t="shared" si="2"/>
        <v>0</v>
      </c>
      <c r="AK6" s="67">
        <f t="shared" si="3"/>
        <v>11368856.242799999</v>
      </c>
    </row>
    <row r="7" spans="1:37" s="21" customFormat="1" ht="20.100000000000001" customHeight="1" outlineLevel="1" x14ac:dyDescent="0.3">
      <c r="B7" s="22"/>
      <c r="C7" s="8" t="s">
        <v>53</v>
      </c>
      <c r="D7" s="80">
        <v>744590.16507999983</v>
      </c>
      <c r="E7" s="74">
        <f>SUMIFS(приходи!$L:$L,приходи!$E:$E,'ПП Юли'!$C$7,приходи!$M:$M,'ПП Юли'!E2)</f>
        <v>0</v>
      </c>
      <c r="F7" s="74">
        <f>SUMIFS(приходи!$L:$L,приходи!$E:$E,'ПП Юли'!$C$7,приходи!$M:$M,'ПП Юли'!F2)</f>
        <v>0</v>
      </c>
      <c r="G7" s="74">
        <f>SUMIFS(приходи!$L:$L,приходи!$E:$E,'ПП Юли'!$C$7,приходи!$M:$M,'ПП Юли'!G2)</f>
        <v>0</v>
      </c>
      <c r="H7" s="74">
        <f>SUMIFS(приходи!$L:$L,приходи!$E:$E,'ПП Юли'!$C$7,приходи!$M:$M,'ПП Юли'!H2)</f>
        <v>0</v>
      </c>
      <c r="I7" s="74">
        <f>SUMIFS(приходи!$L:$L,приходи!$E:$E,'ПП Юли'!$C$7,приходи!$M:$M,'ПП Юли'!I2)</f>
        <v>0</v>
      </c>
      <c r="J7" s="76">
        <f>SUMIFS(приходи!$L:$L,приходи!$E:$E,'ПП Юли'!$C$7,приходи!$M:$M,'ПП Юли'!J2)</f>
        <v>0</v>
      </c>
      <c r="K7" s="76">
        <f>SUMIFS(приходи!$L:$L,приходи!$E:$E,'ПП Юли'!$C$7,приходи!$M:$M,'ПП Юли'!K2)</f>
        <v>0</v>
      </c>
      <c r="L7" s="74">
        <f>SUMIFS(приходи!$L:$L,приходи!$E:$E,'ПП Юли'!$C$7,приходи!$M:$M,'ПП Юли'!L2)</f>
        <v>0</v>
      </c>
      <c r="M7" s="74">
        <f>SUMIFS(приходи!$L:$L,приходи!$E:$E,'ПП Юли'!$C$7,приходи!$M:$M,'ПП Юли'!M2)</f>
        <v>0</v>
      </c>
      <c r="N7" s="74">
        <f>SUMIFS(приходи!$L:$L,приходи!$E:$E,'ПП Юли'!$C$7,приходи!$M:$M,'ПП Юли'!N2)</f>
        <v>0</v>
      </c>
      <c r="O7" s="74">
        <f>SUMIFS(приходи!$L:$L,приходи!$E:$E,'ПП Юли'!$C$7,приходи!$M:$M,'ПП Юли'!O2)</f>
        <v>0</v>
      </c>
      <c r="P7" s="74">
        <f>SUMIFS(приходи!$L:$L,приходи!$E:$E,'ПП Юли'!$C$7,приходи!$M:$M,'ПП Юли'!P2)</f>
        <v>0</v>
      </c>
      <c r="Q7" s="76">
        <f>SUMIFS(приходи!$L:$L,приходи!$E:$E,'ПП Юли'!$C$7,приходи!$M:$M,'ПП Юли'!Q2)</f>
        <v>0</v>
      </c>
      <c r="R7" s="76">
        <f>SUMIFS(приходи!$L:$L,приходи!$E:$E,'ПП Юли'!$C$7,приходи!$M:$M,'ПП Юли'!R2)</f>
        <v>0</v>
      </c>
      <c r="S7" s="74">
        <f>SUMIFS(приходи!$L:$L,приходи!$E:$E,'ПП Юли'!$C$7,приходи!$M:$M,'ПП Юли'!S2)</f>
        <v>0</v>
      </c>
      <c r="T7" s="74">
        <f>SUMIFS(приходи!$L:$L,приходи!$E:$E,'ПП Юли'!$C$7,приходи!$M:$M,'ПП Юли'!T2)</f>
        <v>0</v>
      </c>
      <c r="U7" s="74">
        <f>SUMIFS(приходи!$L:$L,приходи!$E:$E,'ПП Юли'!$C$7,приходи!$M:$M,'ПП Юли'!U2)</f>
        <v>885876.75599999994</v>
      </c>
      <c r="V7" s="74">
        <f>SUMIFS(приходи!$L:$L,приходи!$E:$E,'ПП Юли'!$C$7,приходи!$M:$M,'ПП Юли'!V2)</f>
        <v>926361.41999999993</v>
      </c>
      <c r="W7" s="74">
        <f>SUMIFS(приходи!$L:$L,приходи!$E:$E,'ПП Юли'!$C$7,приходи!$M:$M,'ПП Юли'!W2)</f>
        <v>0</v>
      </c>
      <c r="X7" s="76">
        <f>SUMIFS(приходи!$L:$L,приходи!$E:$E,'ПП Юли'!$C$7,приходи!$M:$M,'ПП Юли'!X2)</f>
        <v>0</v>
      </c>
      <c r="Y7" s="76">
        <f>SUMIFS(приходи!$L:$L,приходи!$E:$E,'ПП Юли'!$C$7,приходи!$M:$M,'ПП Юли'!Y2)</f>
        <v>0</v>
      </c>
      <c r="Z7" s="74">
        <f>SUMIFS(приходи!$L:$L,приходи!$E:$E,'ПП Юли'!$C$7,приходи!$M:$M,'ПП Юли'!Z2)</f>
        <v>0</v>
      </c>
      <c r="AA7" s="74">
        <f>SUMIFS(приходи!$L:$L,приходи!$E:$E,'ПП Юли'!$C$7,приходи!$M:$M,'ПП Юли'!AA2)</f>
        <v>0</v>
      </c>
      <c r="AB7" s="74">
        <f>SUMIFS(приходи!$L:$L,приходи!$E:$E,'ПП Юли'!$C$7,приходи!$M:$M,'ПП Юли'!AB2)</f>
        <v>0</v>
      </c>
      <c r="AC7" s="74">
        <f>SUMIFS(приходи!$L:$L,приходи!$E:$E,'ПП Юли'!$C$7,приходи!$M:$M,'ПП Юли'!AC2)</f>
        <v>0</v>
      </c>
      <c r="AD7" s="74">
        <f>SUMIFS(приходи!$L:$L,приходи!$E:$E,'ПП Юли'!$C$7,приходи!$M:$M,'ПП Юли'!AD2)</f>
        <v>0</v>
      </c>
      <c r="AE7" s="76">
        <f>SUMIFS(приходи!$L:$L,приходи!$E:$E,'ПП Юли'!$C$7,приходи!$M:$M,'ПП Юли'!AE2)</f>
        <v>0</v>
      </c>
      <c r="AF7" s="76">
        <f>SUMIFS(приходи!$L:$L,приходи!$E:$E,'ПП Юли'!$C$7,приходи!$M:$M,'ПП Юли'!AF2)</f>
        <v>0</v>
      </c>
      <c r="AG7" s="74">
        <f>SUMIFS(приходи!$L:$L,приходи!$E:$E,'ПП Юли'!$C$7,приходи!$M:$M,'ПП Юли'!AG2)</f>
        <v>0</v>
      </c>
      <c r="AH7" s="74">
        <f>SUMIFS(приходи!$L:$L,приходи!$E:$E,'ПП Юли'!$C$7,приходи!$M:$M,'ПП Юли'!AH2)</f>
        <v>0</v>
      </c>
      <c r="AI7" s="74">
        <f>SUMIFS(приходи!$L:$L,приходи!$E:$E,'ПП Юли'!$C$7,приходи!$M:$M,'ПП Юли'!AI2)</f>
        <v>0</v>
      </c>
      <c r="AJ7" s="61">
        <f t="shared" si="2"/>
        <v>1812238.176</v>
      </c>
      <c r="AK7" s="69">
        <f t="shared" si="3"/>
        <v>-1067648.0109200003</v>
      </c>
    </row>
    <row r="8" spans="1:37" s="21" customFormat="1" ht="20.100000000000001" customHeight="1" outlineLevel="1" x14ac:dyDescent="0.3">
      <c r="B8" s="22"/>
      <c r="C8" s="8" t="s">
        <v>33</v>
      </c>
      <c r="D8" s="80">
        <v>41664</v>
      </c>
      <c r="E8" s="74">
        <f>SUMIFS(приходи!$L:$L,приходи!$E:$E,'ПП Юли'!$C$8,приходи!$M:$M,'ПП Юли'!E2)</f>
        <v>0</v>
      </c>
      <c r="F8" s="74">
        <f>SUMIFS(приходи!$L:$L,приходи!$E:$E,'ПП Юли'!$C$8,приходи!$M:$M,'ПП Юли'!F2)</f>
        <v>0</v>
      </c>
      <c r="G8" s="74">
        <f>SUMIFS(приходи!$L:$L,приходи!$E:$E,'ПП Юли'!$C$8,приходи!$M:$M,'ПП Юли'!G2)</f>
        <v>18909.803999999996</v>
      </c>
      <c r="H8" s="74">
        <f>SUMIFS(приходи!$L:$L,приходи!$E:$E,'ПП Юли'!$C$8,приходи!$M:$M,'ПП Юли'!H2)</f>
        <v>3032.7240000000002</v>
      </c>
      <c r="I8" s="74">
        <f>SUMIFS(приходи!$L:$L,приходи!$E:$E,'ПП Юли'!$C$8,приходи!$M:$M,'ПП Юли'!I2)</f>
        <v>991.05599999999993</v>
      </c>
      <c r="J8" s="76">
        <f>SUMIFS(приходи!$L:$L,приходи!$E:$E,'ПП Юли'!$C$8,приходи!$M:$M,'ПП Юли'!J2)</f>
        <v>0</v>
      </c>
      <c r="K8" s="76">
        <f>SUMIFS(приходи!$L:$L,приходи!$E:$E,'ПП Юли'!$C$8,приходи!$M:$M,'ПП Юли'!K2)</f>
        <v>0</v>
      </c>
      <c r="L8" s="74">
        <f>SUMIFS(приходи!$L:$L,приходи!$E:$E,'ПП Юли'!$C$8,приходи!$M:$M,'ПП Юли'!L2)</f>
        <v>0</v>
      </c>
      <c r="M8" s="74">
        <f>SUMIFS(приходи!$L:$L,приходи!$E:$E,'ПП Юли'!$C$8,приходи!$M:$M,'ПП Юли'!M2)</f>
        <v>0</v>
      </c>
      <c r="N8" s="74">
        <f>SUMIFS(приходи!$L:$L,приходи!$E:$E,'ПП Юли'!$C$8,приходи!$M:$M,'ПП Юли'!N2)</f>
        <v>27758.591999999997</v>
      </c>
      <c r="O8" s="74">
        <f>SUMIFS(приходи!$L:$L,приходи!$E:$E,'ПП Юли'!$C$8,приходи!$M:$M,'ПП Юли'!O2)</f>
        <v>4038.4559999999997</v>
      </c>
      <c r="P8" s="74">
        <f>SUMIFS(приходи!$L:$L,приходи!$E:$E,'ПП Юли'!$C$8,приходи!$M:$M,'ПП Юли'!P2)</f>
        <v>31797.048000000003</v>
      </c>
      <c r="Q8" s="76">
        <f>SUMIFS(приходи!$L:$L,приходи!$E:$E,'ПП Юли'!$C$8,приходи!$M:$M,'ПП Юли'!Q2)</f>
        <v>0</v>
      </c>
      <c r="R8" s="76">
        <f>SUMIFS(приходи!$L:$L,приходи!$E:$E,'ПП Юли'!$C$8,приходи!$M:$M,'ПП Юли'!R2)</f>
        <v>0</v>
      </c>
      <c r="S8" s="74">
        <f>SUMIFS(приходи!$L:$L,приходи!$E:$E,'ПП Юли'!$C$8,приходи!$M:$M,'ПП Юли'!S2)</f>
        <v>0</v>
      </c>
      <c r="T8" s="74">
        <f>SUMIFS(приходи!$L:$L,приходи!$E:$E,'ПП Юли'!$C$8,приходи!$M:$M,'ПП Юли'!T2)</f>
        <v>25528.295999999998</v>
      </c>
      <c r="U8" s="74">
        <f>SUMIFS(приходи!$L:$L,приходи!$E:$E,'ПП Юли'!$C$8,приходи!$M:$M,'ПП Юли'!U2)</f>
        <v>21580.02</v>
      </c>
      <c r="V8" s="74">
        <f>SUMIFS(приходи!$L:$L,приходи!$E:$E,'ПП Юли'!$C$8,приходи!$M:$M,'ПП Юли'!V2)</f>
        <v>0</v>
      </c>
      <c r="W8" s="74">
        <f>SUMIFS(приходи!$L:$L,приходи!$E:$E,'ПП Юли'!$C$8,приходи!$M:$M,'ПП Юли'!W2)</f>
        <v>0</v>
      </c>
      <c r="X8" s="76">
        <f>SUMIFS(приходи!$L:$L,приходи!$E:$E,'ПП Юли'!$C$8,приходи!$M:$M,'ПП Юли'!X2)</f>
        <v>0</v>
      </c>
      <c r="Y8" s="76">
        <f>SUMIFS(приходи!$L:$L,приходи!$E:$E,'ПП Юли'!$C$8,приходи!$M:$M,'ПП Юли'!Y2)</f>
        <v>0</v>
      </c>
      <c r="Z8" s="74">
        <f>SUMIFS(приходи!$L:$L,приходи!$E:$E,'ПП Юли'!$C$8,приходи!$M:$M,'ПП Юли'!Z2)</f>
        <v>0</v>
      </c>
      <c r="AA8" s="74">
        <f>SUMIFS(приходи!$L:$L,приходи!$E:$E,'ПП Юли'!$C$8,приходи!$M:$M,'ПП Юли'!AA2)</f>
        <v>0</v>
      </c>
      <c r="AB8" s="74">
        <f>SUMIFS(приходи!$L:$L,приходи!$E:$E,'ПП Юли'!$C$8,приходи!$M:$M,'ПП Юли'!AB2)</f>
        <v>0</v>
      </c>
      <c r="AC8" s="74">
        <f>SUMIFS(приходи!$L:$L,приходи!$E:$E,'ПП Юли'!$C$8,приходи!$M:$M,'ПП Юли'!AC2)</f>
        <v>0</v>
      </c>
      <c r="AD8" s="74">
        <f>SUMIFS(приходи!$L:$L,приходи!$E:$E,'ПП Юли'!$C$8,приходи!$M:$M,'ПП Юли'!AD2)</f>
        <v>0</v>
      </c>
      <c r="AE8" s="76">
        <f>SUMIFS(приходи!$L:$L,приходи!$E:$E,'ПП Юли'!$C$8,приходи!$M:$M,'ПП Юли'!AE2)</f>
        <v>0</v>
      </c>
      <c r="AF8" s="76">
        <f>SUMIFS(приходи!$L:$L,приходи!$E:$E,'ПП Юли'!$C$8,приходи!$M:$M,'ПП Юли'!AF2)</f>
        <v>0</v>
      </c>
      <c r="AG8" s="74">
        <f>SUMIFS(приходи!$L:$L,приходи!$E:$E,'ПП Юли'!$C$8,приходи!$M:$M,'ПП Юли'!AG2)</f>
        <v>0</v>
      </c>
      <c r="AH8" s="74">
        <f>SUMIFS(приходи!$L:$L,приходи!$E:$E,'ПП Юли'!$C$8,приходи!$M:$M,'ПП Юли'!AH2)</f>
        <v>0</v>
      </c>
      <c r="AI8" s="74">
        <f>SUMIFS(приходи!$L:$L,приходи!$E:$E,'ПП Юли'!$C$8,приходи!$M:$M,'ПП Юли'!AI2)</f>
        <v>4113.3239999999996</v>
      </c>
      <c r="AJ8" s="61">
        <f t="shared" si="2"/>
        <v>137749.31999999998</v>
      </c>
      <c r="AK8" s="69">
        <f t="shared" si="3"/>
        <v>-96085.319999999978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Юли'!$C$9,приходи!$M:$M,'ПП Юли'!E2)</f>
        <v>0</v>
      </c>
      <c r="F9" s="74">
        <f>SUMIFS(приходи!$L:$L,приходи!$E:$E,'ПП Юли'!$C$9,приходи!$M:$M,'ПП Юли'!F2)</f>
        <v>0</v>
      </c>
      <c r="G9" s="74">
        <f>SUMIFS(приходи!$L:$L,приходи!$E:$E,'ПП Юли'!$C$9,приходи!$M:$M,'ПП Юли'!G2)</f>
        <v>0</v>
      </c>
      <c r="H9" s="74">
        <f>SUMIFS(приходи!$L:$L,приходи!$E:$E,'ПП Юли'!$C$9,приходи!$M:$M,'ПП Юли'!H2)</f>
        <v>0</v>
      </c>
      <c r="I9" s="74">
        <f>SUMIFS(приходи!$L:$L,приходи!$E:$E,'ПП Юли'!$C$9,приходи!$M:$M,'ПП Юли'!I2)</f>
        <v>0</v>
      </c>
      <c r="J9" s="76">
        <f>SUMIFS(приходи!$L:$L,приходи!$E:$E,'ПП Юли'!$C$9,приходи!$M:$M,'ПП Юли'!J2)</f>
        <v>0</v>
      </c>
      <c r="K9" s="76">
        <f>SUMIFS(приходи!$L:$L,приходи!$E:$E,'ПП Юли'!$C$9,приходи!$M:$M,'ПП Юли'!K2)</f>
        <v>0</v>
      </c>
      <c r="L9" s="74">
        <f>SUMIFS(приходи!$L:$L,приходи!$E:$E,'ПП Юли'!$C$9,приходи!$M:$M,'ПП Юли'!L2)</f>
        <v>0</v>
      </c>
      <c r="M9" s="74">
        <f>SUMIFS(приходи!$L:$L,приходи!$E:$E,'ПП Юли'!$C$9,приходи!$M:$M,'ПП Юли'!M2)</f>
        <v>0</v>
      </c>
      <c r="N9" s="74">
        <f>SUMIFS(приходи!$L:$L,приходи!$E:$E,'ПП Юли'!$C$9,приходи!$M:$M,'ПП Юли'!N2)</f>
        <v>0</v>
      </c>
      <c r="O9" s="74">
        <f>SUMIFS(приходи!$L:$L,приходи!$E:$E,'ПП Юли'!$C$9,приходи!$M:$M,'ПП Юли'!O2)</f>
        <v>8557.152</v>
      </c>
      <c r="P9" s="74">
        <f>SUMIFS(приходи!$L:$L,приходи!$E:$E,'ПП Юли'!$C$9,приходи!$M:$M,'ПП Юли'!P2)</f>
        <v>0</v>
      </c>
      <c r="Q9" s="76">
        <f>SUMIFS(приходи!$L:$L,приходи!$E:$E,'ПП Юли'!$C$9,приходи!$M:$M,'ПП Юли'!Q2)</f>
        <v>0</v>
      </c>
      <c r="R9" s="76">
        <f>SUMIFS(приходи!$L:$L,приходи!$E:$E,'ПП Юли'!$C$9,приходи!$M:$M,'ПП Юли'!R2)</f>
        <v>0</v>
      </c>
      <c r="S9" s="74">
        <f>SUMIFS(приходи!$L:$L,приходи!$E:$E,'ПП Юли'!$C$9,приходи!$M:$M,'ПП Юли'!S2)</f>
        <v>0</v>
      </c>
      <c r="T9" s="74">
        <f>SUMIFS(приходи!$L:$L,приходи!$E:$E,'ПП Юли'!$C$9,приходи!$M:$M,'ПП Юли'!T2)</f>
        <v>0</v>
      </c>
      <c r="U9" s="74">
        <f>SUMIFS(приходи!$L:$L,приходи!$E:$E,'ПП Юли'!$C$9,приходи!$M:$M,'ПП Юли'!U2)</f>
        <v>0</v>
      </c>
      <c r="V9" s="74">
        <f>SUMIFS(приходи!$L:$L,приходи!$E:$E,'ПП Юли'!$C$9,приходи!$M:$M,'ПП Юли'!V2)</f>
        <v>0</v>
      </c>
      <c r="W9" s="74">
        <f>SUMIFS(приходи!$L:$L,приходи!$E:$E,'ПП Юли'!$C$9,приходи!$M:$M,'ПП Юли'!W2)</f>
        <v>0</v>
      </c>
      <c r="X9" s="76">
        <f>SUMIFS(приходи!$L:$L,приходи!$E:$E,'ПП Юли'!$C$9,приходи!$M:$M,'ПП Юли'!X2)</f>
        <v>0</v>
      </c>
      <c r="Y9" s="76">
        <f>SUMIFS(приходи!$L:$L,приходи!$E:$E,'ПП Юли'!$C$9,приходи!$M:$M,'ПП Юли'!Y2)</f>
        <v>0</v>
      </c>
      <c r="Z9" s="74">
        <f>SUMIFS(приходи!$L:$L,приходи!$E:$E,'ПП Юли'!$C$9,приходи!$M:$M,'ПП Юли'!Z2)</f>
        <v>0</v>
      </c>
      <c r="AA9" s="74">
        <f>SUMIFS(приходи!$L:$L,приходи!$E:$E,'ПП Юли'!$C$9,приходи!$M:$M,'ПП Юли'!AA2)</f>
        <v>0</v>
      </c>
      <c r="AB9" s="74">
        <f>SUMIFS(приходи!$L:$L,приходи!$E:$E,'ПП Юли'!$C$9,приходи!$M:$M,'ПП Юли'!AB2)</f>
        <v>0</v>
      </c>
      <c r="AC9" s="74">
        <f>SUMIFS(приходи!$L:$L,приходи!$E:$E,'ПП Юли'!$C$9,приходи!$M:$M,'ПП Юли'!AC2)</f>
        <v>3120</v>
      </c>
      <c r="AD9" s="74">
        <f>SUMIFS(приходи!$L:$L,приходи!$E:$E,'ПП Юли'!$C$9,приходи!$M:$M,'ПП Юли'!AD2)</f>
        <v>0</v>
      </c>
      <c r="AE9" s="76">
        <f>SUMIFS(приходи!$L:$L,приходи!$E:$E,'ПП Юли'!$C$9,приходи!$M:$M,'ПП Юли'!AE2)</f>
        <v>0</v>
      </c>
      <c r="AF9" s="76">
        <f>SUMIFS(приходи!$L:$L,приходи!$E:$E,'ПП Юли'!$C$9,приходи!$M:$M,'ПП Юли'!AF2)</f>
        <v>0</v>
      </c>
      <c r="AG9" s="74">
        <f>SUMIFS(приходи!$L:$L,приходи!$E:$E,'ПП Юли'!$C$9,приходи!$M:$M,'ПП Юли'!AG2)</f>
        <v>0</v>
      </c>
      <c r="AH9" s="74">
        <f>SUMIFS(приходи!$L:$L,приходи!$E:$E,'ПП Юли'!$C$9,приходи!$M:$M,'ПП Юли'!AH2)</f>
        <v>0</v>
      </c>
      <c r="AI9" s="74">
        <f>SUMIFS(приходи!$L:$L,приходи!$E:$E,'ПП Юли'!$C$9,приходи!$M:$M,'ПП Юли'!AI2)</f>
        <v>23250</v>
      </c>
      <c r="AJ9" s="61">
        <f t="shared" si="2"/>
        <v>34927.152000000002</v>
      </c>
      <c r="AK9" s="69">
        <f t="shared" si="3"/>
        <v>-34927.152000000002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Юли'!$C$10,приходи!$M:$M,'ПП Юли'!E2)</f>
        <v>0</v>
      </c>
      <c r="F10" s="74">
        <f>SUMIFS(приходи!$L:$L,приходи!$E:$E,'ПП Юли'!$C$10,приходи!$M:$M,'ПП Юли'!F2)</f>
        <v>0</v>
      </c>
      <c r="G10" s="74">
        <f>SUMIFS(приходи!$L:$L,приходи!$E:$E,'ПП Юли'!$C$10,приходи!$M:$M,'ПП Юли'!G2)</f>
        <v>0</v>
      </c>
      <c r="H10" s="74">
        <f>SUMIFS(приходи!$L:$L,приходи!$E:$E,'ПП Юли'!$C$10,приходи!$M:$M,'ПП Юли'!H2)</f>
        <v>0</v>
      </c>
      <c r="I10" s="74">
        <f>SUMIFS(приходи!$L:$L,приходи!$E:$E,'ПП Юли'!$C$10,приходи!$M:$M,'ПП Юли'!I2)</f>
        <v>0</v>
      </c>
      <c r="J10" s="76">
        <f>SUMIFS(приходи!$L:$L,приходи!$E:$E,'ПП Юли'!$C$10,приходи!$M:$M,'ПП Юли'!J2)</f>
        <v>0</v>
      </c>
      <c r="K10" s="76">
        <f>SUMIFS(приходи!$L:$L,приходи!$E:$E,'ПП Юли'!$C$10,приходи!$M:$M,'ПП Юли'!K2)</f>
        <v>0</v>
      </c>
      <c r="L10" s="74">
        <f>SUMIFS(приходи!$L:$L,приходи!$E:$E,'ПП Юли'!$C$10,приходи!$M:$M,'ПП Юли'!L2)</f>
        <v>0</v>
      </c>
      <c r="M10" s="74">
        <f>SUMIFS(приходи!$L:$L,приходи!$E:$E,'ПП Юли'!$C$10,приходи!$M:$M,'ПП Юли'!M2)</f>
        <v>0</v>
      </c>
      <c r="N10" s="74">
        <f>SUMIFS(приходи!$L:$L,приходи!$E:$E,'ПП Юли'!$C$10,приходи!$M:$M,'ПП Юли'!N2)</f>
        <v>0</v>
      </c>
      <c r="O10" s="74">
        <f>SUMIFS(приходи!$L:$L,приходи!$E:$E,'ПП Юли'!$C$10,приходи!$M:$M,'ПП Юли'!O2)</f>
        <v>0</v>
      </c>
      <c r="P10" s="74">
        <f>SUMIFS(приходи!$L:$L,приходи!$E:$E,'ПП Юли'!$C$10,приходи!$M:$M,'ПП Юли'!P2)</f>
        <v>0</v>
      </c>
      <c r="Q10" s="76">
        <f>SUMIFS(приходи!$L:$L,приходи!$E:$E,'ПП Юли'!$C$10,приходи!$M:$M,'ПП Юли'!Q2)</f>
        <v>0</v>
      </c>
      <c r="R10" s="76">
        <f>SUMIFS(приходи!$L:$L,приходи!$E:$E,'ПП Юли'!$C$10,приходи!$M:$M,'ПП Юли'!R2)</f>
        <v>0</v>
      </c>
      <c r="S10" s="74">
        <f>SUMIFS(приходи!$L:$L,приходи!$E:$E,'ПП Юли'!$C$10,приходи!$M:$M,'ПП Юли'!S2)</f>
        <v>0</v>
      </c>
      <c r="T10" s="74">
        <f>SUMIFS(приходи!$L:$L,приходи!$E:$E,'ПП Юли'!$C$10,приходи!$M:$M,'ПП Юли'!T2)</f>
        <v>0</v>
      </c>
      <c r="U10" s="74">
        <f>SUMIFS(приходи!$L:$L,приходи!$E:$E,'ПП Юли'!$C$10,приходи!$M:$M,'ПП Юли'!U2)</f>
        <v>0</v>
      </c>
      <c r="V10" s="74">
        <f>SUMIFS(приходи!$L:$L,приходи!$E:$E,'ПП Юли'!$C$10,приходи!$M:$M,'ПП Юли'!V2)</f>
        <v>0</v>
      </c>
      <c r="W10" s="74">
        <f>SUMIFS(приходи!$L:$L,приходи!$E:$E,'ПП Юли'!$C$10,приходи!$M:$M,'ПП Юли'!W2)</f>
        <v>0</v>
      </c>
      <c r="X10" s="76">
        <f>SUMIFS(приходи!$L:$L,приходи!$E:$E,'ПП Юли'!$C$10,приходи!$M:$M,'ПП Юли'!X2)</f>
        <v>0</v>
      </c>
      <c r="Y10" s="76">
        <f>SUMIFS(приходи!$L:$L,приходи!$E:$E,'ПП Юли'!$C$10,приходи!$M:$M,'ПП Юли'!Y2)</f>
        <v>0</v>
      </c>
      <c r="Z10" s="74">
        <f>SUMIFS(приходи!$L:$L,приходи!$E:$E,'ПП Юли'!$C$10,приходи!$M:$M,'ПП Юли'!Z2)</f>
        <v>0</v>
      </c>
      <c r="AA10" s="74">
        <f>SUMIFS(приходи!$L:$L,приходи!$E:$E,'ПП Юли'!$C$10,приходи!$M:$M,'ПП Юли'!AA2)</f>
        <v>0</v>
      </c>
      <c r="AB10" s="74">
        <f>SUMIFS(приходи!$L:$L,приходи!$E:$E,'ПП Юли'!$C$10,приходи!$M:$M,'ПП Юли'!AB2)</f>
        <v>0</v>
      </c>
      <c r="AC10" s="74">
        <f>SUMIFS(приходи!$L:$L,приходи!$E:$E,'ПП Юли'!$C$10,приходи!$M:$M,'ПП Юли'!AC2)</f>
        <v>0</v>
      </c>
      <c r="AD10" s="74">
        <f>SUMIFS(приходи!$L:$L,приходи!$E:$E,'ПП Юли'!$C$10,приходи!$M:$M,'ПП Юли'!AD2)</f>
        <v>0</v>
      </c>
      <c r="AE10" s="76">
        <f>SUMIFS(приходи!$L:$L,приходи!$E:$E,'ПП Юли'!$C$10,приходи!$M:$M,'ПП Юли'!AE2)</f>
        <v>0</v>
      </c>
      <c r="AF10" s="76">
        <f>SUMIFS(приходи!$L:$L,приходи!$E:$E,'ПП Юли'!$C$10,приходи!$M:$M,'ПП Юли'!AF2)</f>
        <v>0</v>
      </c>
      <c r="AG10" s="74">
        <f>SUMIFS(приходи!$L:$L,приходи!$E:$E,'ПП Юли'!$C$10,приходи!$M:$M,'ПП Юли'!AG2)</f>
        <v>0</v>
      </c>
      <c r="AH10" s="74">
        <f>SUMIFS(приходи!$L:$L,приходи!$E:$E,'ПП Юли'!$C$10,приходи!$M:$M,'ПП Юли'!AH2)</f>
        <v>0</v>
      </c>
      <c r="AI10" s="74">
        <f>SUMIFS(приходи!$L:$L,приходи!$E:$E,'ПП Юли'!$C$10,приходи!$M:$M,'ПП Юли'!AI2)</f>
        <v>20984.064000000002</v>
      </c>
      <c r="AJ10" s="61">
        <f t="shared" si="2"/>
        <v>20984.064000000002</v>
      </c>
      <c r="AK10" s="69">
        <f t="shared" si="3"/>
        <v>-20984.064000000002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29571.641217999997</v>
      </c>
      <c r="E11" s="73">
        <f t="shared" si="8"/>
        <v>0</v>
      </c>
      <c r="F11" s="73">
        <f t="shared" si="8"/>
        <v>0</v>
      </c>
      <c r="G11" s="73">
        <f t="shared" si="8"/>
        <v>914.59199999999987</v>
      </c>
      <c r="H11" s="73">
        <f t="shared" si="8"/>
        <v>66.251999999999995</v>
      </c>
      <c r="I11" s="73">
        <f t="shared" si="8"/>
        <v>33.408000000000001</v>
      </c>
      <c r="J11" s="77">
        <f t="shared" si="8"/>
        <v>0</v>
      </c>
      <c r="K11" s="77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1219.44</v>
      </c>
      <c r="O11" s="73">
        <f t="shared" si="8"/>
        <v>89.387999999999991</v>
      </c>
      <c r="P11" s="73">
        <f t="shared" si="8"/>
        <v>0</v>
      </c>
      <c r="Q11" s="77">
        <f t="shared" si="8"/>
        <v>0</v>
      </c>
      <c r="R11" s="77">
        <f t="shared" si="8"/>
        <v>0</v>
      </c>
      <c r="S11" s="73">
        <f t="shared" si="8"/>
        <v>0</v>
      </c>
      <c r="T11" s="73">
        <f t="shared" si="8"/>
        <v>1239.5159999999998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7">
        <f t="shared" si="8"/>
        <v>0</v>
      </c>
      <c r="Y11" s="77">
        <f t="shared" si="8"/>
        <v>0</v>
      </c>
      <c r="Z11" s="73">
        <f t="shared" si="8"/>
        <v>0</v>
      </c>
      <c r="AA11" s="73">
        <f t="shared" si="8"/>
        <v>0</v>
      </c>
      <c r="AB11" s="73">
        <f t="shared" si="8"/>
        <v>0</v>
      </c>
      <c r="AC11" s="73">
        <f t="shared" si="8"/>
        <v>0</v>
      </c>
      <c r="AD11" s="73">
        <f t="shared" si="8"/>
        <v>0</v>
      </c>
      <c r="AE11" s="77">
        <f t="shared" si="8"/>
        <v>0</v>
      </c>
      <c r="AF11" s="77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3562.5959999999995</v>
      </c>
      <c r="AK11" s="58">
        <f t="shared" si="3"/>
        <v>26009.045217999999</v>
      </c>
    </row>
    <row r="12" spans="1:37" s="4" customFormat="1" ht="20.100000000000001" customHeight="1" x14ac:dyDescent="0.3">
      <c r="B12" s="7">
        <v>1</v>
      </c>
      <c r="C12" s="8" t="s">
        <v>58</v>
      </c>
      <c r="D12" s="80">
        <v>6288.2976179999987</v>
      </c>
      <c r="E12" s="74">
        <f>SUMIFS(приходи!$L:$L,приходи!$E:$E,'ПП Юли'!$C$12,приходи!$M:$M,'ПП Юли'!E2)</f>
        <v>0</v>
      </c>
      <c r="F12" s="74">
        <f>SUMIFS(приходи!$L:$L,приходи!$E:$E,'ПП Юли'!$C$12,приходи!$M:$M,'ПП Юли'!F2)</f>
        <v>0</v>
      </c>
      <c r="G12" s="74">
        <f>SUMIFS(приходи!$L:$L,приходи!$E:$E,'ПП Юли'!$C$12,приходи!$M:$M,'ПП Юли'!G2)</f>
        <v>597.2639999999999</v>
      </c>
      <c r="H12" s="74">
        <f>SUMIFS(приходи!$L:$L,приходи!$E:$E,'ПП Юли'!$C$12,приходи!$M:$M,'ПП Юли'!H2)</f>
        <v>59.891999999999996</v>
      </c>
      <c r="I12" s="74">
        <f>SUMIFS(приходи!$L:$L,приходи!$E:$E,'ПП Юли'!$C$12,приходи!$M:$M,'ПП Юли'!I2)</f>
        <v>33.408000000000001</v>
      </c>
      <c r="J12" s="76">
        <f>SUMIFS(приходи!$L:$L,приходи!$E:$E,'ПП Юли'!$C$12,приходи!$M:$M,'ПП Юли'!J2)</f>
        <v>0</v>
      </c>
      <c r="K12" s="76">
        <f>SUMIFS(приходи!$L:$L,приходи!$E:$E,'ПП Юли'!$C$12,приходи!$M:$M,'ПП Юли'!K2)</f>
        <v>0</v>
      </c>
      <c r="L12" s="74">
        <f>SUMIFS(приходи!$L:$L,приходи!$E:$E,'ПП Юли'!$C$12,приходи!$M:$M,'ПП Юли'!L2)</f>
        <v>0</v>
      </c>
      <c r="M12" s="74">
        <f>SUMIFS(приходи!$L:$L,приходи!$E:$E,'ПП Юли'!$C$12,приходи!$M:$M,'ПП Юли'!M2)</f>
        <v>0</v>
      </c>
      <c r="N12" s="74">
        <f>SUMIFS(приходи!$L:$L,приходи!$E:$E,'ПП Юли'!$C$12,приходи!$M:$M,'ПП Юли'!N2)</f>
        <v>0</v>
      </c>
      <c r="O12" s="74">
        <f>SUMIFS(приходи!$L:$L,приходи!$E:$E,'ПП Юли'!$C$12,приходи!$M:$M,'ПП Юли'!O2)</f>
        <v>0</v>
      </c>
      <c r="P12" s="74">
        <f>SUMIFS(приходи!$L:$L,приходи!$E:$E,'ПП Юли'!$C$12,приходи!$M:$M,'ПП Юли'!P2)</f>
        <v>0</v>
      </c>
      <c r="Q12" s="76">
        <f>SUMIFS(приходи!$L:$L,приходи!$E:$E,'ПП Юли'!$C$12,приходи!$M:$M,'ПП Юли'!Q2)</f>
        <v>0</v>
      </c>
      <c r="R12" s="76">
        <f>SUMIFS(приходи!$L:$L,приходи!$E:$E,'ПП Юли'!$C$12,приходи!$M:$M,'ПП Юли'!R2)</f>
        <v>0</v>
      </c>
      <c r="S12" s="74">
        <f>SUMIFS(приходи!$L:$L,приходи!$E:$E,'ПП Юли'!$C$12,приходи!$M:$M,'ПП Юли'!S2)</f>
        <v>0</v>
      </c>
      <c r="T12" s="74">
        <f>SUMIFS(приходи!$L:$L,приходи!$E:$E,'ПП Юли'!$C$12,приходи!$M:$M,'ПП Юли'!T2)</f>
        <v>0</v>
      </c>
      <c r="U12" s="74">
        <f>SUMIFS(приходи!$L:$L,приходи!$E:$E,'ПП Юли'!$C$12,приходи!$M:$M,'ПП Юли'!U2)</f>
        <v>0</v>
      </c>
      <c r="V12" s="74">
        <f>SUMIFS(приходи!$L:$L,приходи!$E:$E,'ПП Юли'!$C$12,приходи!$M:$M,'ПП Юли'!V2)</f>
        <v>0</v>
      </c>
      <c r="W12" s="74">
        <f>SUMIFS(приходи!$L:$L,приходи!$E:$E,'ПП Юли'!$C$12,приходи!$M:$M,'ПП Юли'!W2)</f>
        <v>0</v>
      </c>
      <c r="X12" s="76">
        <f>SUMIFS(приходи!$L:$L,приходи!$E:$E,'ПП Юли'!$C$12,приходи!$M:$M,'ПП Юли'!X2)</f>
        <v>0</v>
      </c>
      <c r="Y12" s="76">
        <f>SUMIFS(приходи!$L:$L,приходи!$E:$E,'ПП Юли'!$C$12,приходи!$M:$M,'ПП Юли'!Y2)</f>
        <v>0</v>
      </c>
      <c r="Z12" s="74">
        <f>SUMIFS(приходи!$L:$L,приходи!$E:$E,'ПП Юли'!$C$12,приходи!$M:$M,'ПП Юли'!Z2)</f>
        <v>0</v>
      </c>
      <c r="AA12" s="74">
        <f>SUMIFS(приходи!$L:$L,приходи!$E:$E,'ПП Юли'!$C$12,приходи!$M:$M,'ПП Юли'!AA2)</f>
        <v>0</v>
      </c>
      <c r="AB12" s="74">
        <f>SUMIFS(приходи!$L:$L,приходи!$E:$E,'ПП Юли'!$C$12,приходи!$M:$M,'ПП Юли'!AB2)</f>
        <v>0</v>
      </c>
      <c r="AC12" s="74">
        <f>SUMIFS(приходи!$L:$L,приходи!$E:$E,'ПП Юли'!$C$12,приходи!$M:$M,'ПП Юли'!AC2)</f>
        <v>0</v>
      </c>
      <c r="AD12" s="74">
        <f>SUMIFS(приходи!$L:$L,приходи!$E:$E,'ПП Юли'!$C$12,приходи!$M:$M,'ПП Юли'!AD2)</f>
        <v>0</v>
      </c>
      <c r="AE12" s="76">
        <f>SUMIFS(приходи!$L:$L,приходи!$E:$E,'ПП Юли'!$C$12,приходи!$M:$M,'ПП Юли'!AE2)</f>
        <v>0</v>
      </c>
      <c r="AF12" s="76">
        <f>SUMIFS(приходи!$L:$L,приходи!$E:$E,'ПП Юли'!$C$12,приходи!$M:$M,'ПП Юли'!AF2)</f>
        <v>0</v>
      </c>
      <c r="AG12" s="74">
        <f>SUMIFS(приходи!$L:$L,приходи!$E:$E,'ПП Юли'!$C$12,приходи!$M:$M,'ПП Юли'!AG2)</f>
        <v>0</v>
      </c>
      <c r="AH12" s="74">
        <f>SUMIFS(приходи!$L:$L,приходи!$E:$E,'ПП Юли'!$C$12,приходи!$M:$M,'ПП Юли'!AH2)</f>
        <v>0</v>
      </c>
      <c r="AI12" s="74">
        <f>SUMIFS(приходи!$L:$L,приходи!$E:$E,'ПП Юли'!$C$12,приходи!$M:$M,'ПП Юли'!AI2)</f>
        <v>0</v>
      </c>
      <c r="AJ12" s="61">
        <f t="shared" si="2"/>
        <v>690.56399999999996</v>
      </c>
      <c r="AK12" s="69">
        <f t="shared" si="3"/>
        <v>5597.7336179999984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23283.3436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317.32799999999997</v>
      </c>
      <c r="H13" s="74">
        <f t="shared" si="10"/>
        <v>6.3599999999999994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1219.44</v>
      </c>
      <c r="O13" s="74">
        <f t="shared" si="10"/>
        <v>89.387999999999991</v>
      </c>
      <c r="P13" s="74">
        <f t="shared" si="10"/>
        <v>0</v>
      </c>
      <c r="Q13" s="76">
        <f t="shared" si="10"/>
        <v>0</v>
      </c>
      <c r="R13" s="76">
        <f t="shared" si="10"/>
        <v>0</v>
      </c>
      <c r="S13" s="74">
        <f t="shared" si="10"/>
        <v>0</v>
      </c>
      <c r="T13" s="74">
        <f t="shared" si="10"/>
        <v>1239.5159999999998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6">
        <f t="shared" si="10"/>
        <v>0</v>
      </c>
      <c r="Y13" s="76">
        <f t="shared" si="10"/>
        <v>0</v>
      </c>
      <c r="Z13" s="74">
        <f t="shared" si="10"/>
        <v>0</v>
      </c>
      <c r="AA13" s="74">
        <f t="shared" si="10"/>
        <v>0</v>
      </c>
      <c r="AB13" s="74">
        <f t="shared" si="10"/>
        <v>0</v>
      </c>
      <c r="AC13" s="74">
        <f t="shared" si="10"/>
        <v>0</v>
      </c>
      <c r="AD13" s="74">
        <f t="shared" si="10"/>
        <v>0</v>
      </c>
      <c r="AE13" s="76">
        <f t="shared" si="10"/>
        <v>0</v>
      </c>
      <c r="AF13" s="76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2872.0320000000002</v>
      </c>
      <c r="AK13" s="62">
        <f t="shared" si="3"/>
        <v>20411.311600000001</v>
      </c>
    </row>
    <row r="14" spans="1:37" s="21" customFormat="1" ht="20.100000000000001" customHeight="1" outlineLevel="1" x14ac:dyDescent="0.3">
      <c r="B14" s="22"/>
      <c r="C14" s="8" t="s">
        <v>76</v>
      </c>
      <c r="D14" s="80">
        <v>23283.3436</v>
      </c>
      <c r="E14" s="74">
        <f>SUMIFS(приходи!$L:$L,приходи!$E:$E,'ПП Юли'!$C$14,приходи!$M:$M,'ПП Юли'!E2)</f>
        <v>0</v>
      </c>
      <c r="F14" s="74">
        <f>SUMIFS(приходи!$L:$L,приходи!$E:$E,'ПП Юли'!$C$14,приходи!$M:$M,'ПП Юли'!F2)</f>
        <v>0</v>
      </c>
      <c r="G14" s="74">
        <f>SUMIFS(приходи!$L:$L,приходи!$E:$E,'ПП Юли'!$C$14,приходи!$M:$M,'ПП Юли'!G2)</f>
        <v>0</v>
      </c>
      <c r="H14" s="74">
        <f>SUMIFS(приходи!$L:$L,приходи!$E:$E,'ПП Юли'!$C$14,приходи!$M:$M,'ПП Юли'!H2)</f>
        <v>0</v>
      </c>
      <c r="I14" s="74">
        <f>SUMIFS(приходи!$L:$L,приходи!$E:$E,'ПП Юли'!$C$14,приходи!$M:$M,'ПП Юли'!I2)</f>
        <v>0</v>
      </c>
      <c r="J14" s="76">
        <f>SUMIFS(приходи!$L:$L,приходи!$E:$E,'ПП Юли'!$C$14,приходи!$M:$M,'ПП Юли'!J2)</f>
        <v>0</v>
      </c>
      <c r="K14" s="76">
        <f>SUMIFS(приходи!$L:$L,приходи!$E:$E,'ПП Юли'!$C$14,приходи!$M:$M,'ПП Юли'!K2)</f>
        <v>0</v>
      </c>
      <c r="L14" s="74">
        <f>SUMIFS(приходи!$L:$L,приходи!$E:$E,'ПП Юли'!$C$14,приходи!$M:$M,'ПП Юли'!L2)</f>
        <v>0</v>
      </c>
      <c r="M14" s="74">
        <f>SUMIFS(приходи!$L:$L,приходи!$E:$E,'ПП Юли'!$C$14,приходи!$M:$M,'ПП Юли'!M2)</f>
        <v>0</v>
      </c>
      <c r="N14" s="74">
        <f>SUMIFS(приходи!$L:$L,приходи!$E:$E,'ПП Юли'!$C$14,приходи!$M:$M,'ПП Юли'!N2)</f>
        <v>1193.652</v>
      </c>
      <c r="O14" s="74">
        <f>SUMIFS(приходи!$L:$L,приходи!$E:$E,'ПП Юли'!$C$14,приходи!$M:$M,'ПП Юли'!O2)</f>
        <v>0</v>
      </c>
      <c r="P14" s="74">
        <f>SUMIFS(приходи!$L:$L,приходи!$E:$E,'ПП Юли'!$C$14,приходи!$M:$M,'ПП Юли'!P2)</f>
        <v>0</v>
      </c>
      <c r="Q14" s="76">
        <f>SUMIFS(приходи!$L:$L,приходи!$E:$E,'ПП Юли'!$C$14,приходи!$M:$M,'ПП Юли'!Q2)</f>
        <v>0</v>
      </c>
      <c r="R14" s="76">
        <f>SUMIFS(приходи!$L:$L,приходи!$E:$E,'ПП Юли'!$C$14,приходи!$M:$M,'ПП Юли'!R2)</f>
        <v>0</v>
      </c>
      <c r="S14" s="74">
        <f>SUMIFS(приходи!$L:$L,приходи!$E:$E,'ПП Юли'!$C$14,приходи!$M:$M,'ПП Юли'!S2)</f>
        <v>0</v>
      </c>
      <c r="T14" s="74">
        <f>SUMIFS(приходи!$L:$L,приходи!$E:$E,'ПП Юли'!$C$14,приходи!$M:$M,'ПП Юли'!T2)</f>
        <v>1239.5159999999998</v>
      </c>
      <c r="U14" s="74">
        <f>SUMIFS(приходи!$L:$L,приходи!$E:$E,'ПП Юли'!$C$14,приходи!$M:$M,'ПП Юли'!U2)</f>
        <v>0</v>
      </c>
      <c r="V14" s="74">
        <f>SUMIFS(приходи!$L:$L,приходи!$E:$E,'ПП Юли'!$C$14,приходи!$M:$M,'ПП Юли'!V2)</f>
        <v>0</v>
      </c>
      <c r="W14" s="74">
        <f>SUMIFS(приходи!$L:$L,приходи!$E:$E,'ПП Юли'!$C$14,приходи!$M:$M,'ПП Юли'!W2)</f>
        <v>0</v>
      </c>
      <c r="X14" s="76">
        <f>SUMIFS(приходи!$L:$L,приходи!$E:$E,'ПП Юли'!$C$14,приходи!$M:$M,'ПП Юли'!X2)</f>
        <v>0</v>
      </c>
      <c r="Y14" s="76">
        <f>SUMIFS(приходи!$L:$L,приходи!$E:$E,'ПП Юли'!$C$14,приходи!$M:$M,'ПП Юли'!Y2)</f>
        <v>0</v>
      </c>
      <c r="Z14" s="74">
        <f>SUMIFS(приходи!$L:$L,приходи!$E:$E,'ПП Юли'!$C$14,приходи!$M:$M,'ПП Юли'!Z2)</f>
        <v>0</v>
      </c>
      <c r="AA14" s="74">
        <f>SUMIFS(приходи!$L:$L,приходи!$E:$E,'ПП Юли'!$C$14,приходи!$M:$M,'ПП Юли'!AA2)</f>
        <v>0</v>
      </c>
      <c r="AB14" s="74">
        <f>SUMIFS(приходи!$L:$L,приходи!$E:$E,'ПП Юли'!$C$14,приходи!$M:$M,'ПП Юли'!AB2)</f>
        <v>0</v>
      </c>
      <c r="AC14" s="74">
        <f>SUMIFS(приходи!$L:$L,приходи!$E:$E,'ПП Юли'!$C$14,приходи!$M:$M,'ПП Юли'!AC2)</f>
        <v>0</v>
      </c>
      <c r="AD14" s="74">
        <f>SUMIFS(приходи!$L:$L,приходи!$E:$E,'ПП Юли'!$C$14,приходи!$M:$M,'ПП Юли'!AD2)</f>
        <v>0</v>
      </c>
      <c r="AE14" s="76">
        <f>SUMIFS(приходи!$L:$L,приходи!$E:$E,'ПП Юли'!$C$14,приходи!$M:$M,'ПП Юли'!AE2)</f>
        <v>0</v>
      </c>
      <c r="AF14" s="76">
        <f>SUMIFS(приходи!$L:$L,приходи!$E:$E,'ПП Юли'!$C$14,приходи!$M:$M,'ПП Юли'!AF2)</f>
        <v>0</v>
      </c>
      <c r="AG14" s="74">
        <f>SUMIFS(приходи!$L:$L,приходи!$E:$E,'ПП Юли'!$C$14,приходи!$M:$M,'ПП Юли'!AG2)</f>
        <v>0</v>
      </c>
      <c r="AH14" s="74">
        <f>SUMIFS(приходи!$L:$L,приходи!$E:$E,'ПП Юли'!$C$14,приходи!$M:$M,'ПП Юли'!AH2)</f>
        <v>0</v>
      </c>
      <c r="AI14" s="74">
        <f>SUMIFS(приходи!$L:$L,приходи!$E:$E,'ПП Юли'!$C$14,приходи!$M:$M,'ПП Юли'!AI2)</f>
        <v>0</v>
      </c>
      <c r="AJ14" s="61">
        <f t="shared" si="2"/>
        <v>2433.1679999999997</v>
      </c>
      <c r="AK14" s="69">
        <f t="shared" si="3"/>
        <v>20850.175600000002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Юли'!$C$15,приходи!$M:$M,'ПП Юли'!E2)</f>
        <v>0</v>
      </c>
      <c r="F15" s="74">
        <f>SUMIFS(приходи!$L:$L,приходи!$E:$E,'ПП Юли'!$C$15,приходи!$M:$M,'ПП Юли'!F2)</f>
        <v>0</v>
      </c>
      <c r="G15" s="74">
        <f>SUMIFS(приходи!$L:$L,приходи!$E:$E,'ПП Юли'!$C$15,приходи!$M:$M,'ПП Юли'!G2)</f>
        <v>0</v>
      </c>
      <c r="H15" s="74">
        <f>SUMIFS(приходи!$L:$L,приходи!$E:$E,'ПП Юли'!$C$15,приходи!$M:$M,'ПП Юли'!H2)</f>
        <v>0</v>
      </c>
      <c r="I15" s="74">
        <f>SUMIFS(приходи!$L:$L,приходи!$E:$E,'ПП Юли'!$C$15,приходи!$M:$M,'ПП Юли'!I2)</f>
        <v>0</v>
      </c>
      <c r="J15" s="76">
        <f>SUMIFS(приходи!$L:$L,приходи!$E:$E,'ПП Юли'!$C$15,приходи!$M:$M,'ПП Юли'!J2)</f>
        <v>0</v>
      </c>
      <c r="K15" s="76">
        <f>SUMIFS(приходи!$L:$L,приходи!$E:$E,'ПП Юли'!$C$15,приходи!$M:$M,'ПП Юли'!K2)</f>
        <v>0</v>
      </c>
      <c r="L15" s="74">
        <f>SUMIFS(приходи!$L:$L,приходи!$E:$E,'ПП Юли'!$C$15,приходи!$M:$M,'ПП Юли'!L2)</f>
        <v>0</v>
      </c>
      <c r="M15" s="74">
        <f>SUMIFS(приходи!$L:$L,приходи!$E:$E,'ПП Юли'!$C$15,приходи!$M:$M,'ПП Юли'!M2)</f>
        <v>0</v>
      </c>
      <c r="N15" s="74">
        <f>SUMIFS(приходи!$L:$L,приходи!$E:$E,'ПП Юли'!$C$15,приходи!$M:$M,'ПП Юли'!N2)</f>
        <v>0</v>
      </c>
      <c r="O15" s="74">
        <f>SUMIFS(приходи!$L:$L,приходи!$E:$E,'ПП Юли'!$C$15,приходи!$M:$M,'ПП Юли'!O2)</f>
        <v>0</v>
      </c>
      <c r="P15" s="74">
        <f>SUMIFS(приходи!$L:$L,приходи!$E:$E,'ПП Юли'!$C$15,приходи!$M:$M,'ПП Юли'!P2)</f>
        <v>0</v>
      </c>
      <c r="Q15" s="76">
        <f>SUMIFS(приходи!$L:$L,приходи!$E:$E,'ПП Юли'!$C$15,приходи!$M:$M,'ПП Юли'!Q2)</f>
        <v>0</v>
      </c>
      <c r="R15" s="76">
        <f>SUMIFS(приходи!$L:$L,приходи!$E:$E,'ПП Юли'!$C$15,приходи!$M:$M,'ПП Юли'!R2)</f>
        <v>0</v>
      </c>
      <c r="S15" s="74">
        <f>SUMIFS(приходи!$L:$L,приходи!$E:$E,'ПП Юли'!$C$15,приходи!$M:$M,'ПП Юли'!S2)</f>
        <v>0</v>
      </c>
      <c r="T15" s="74">
        <f>SUMIFS(приходи!$L:$L,приходи!$E:$E,'ПП Юли'!$C$15,приходи!$M:$M,'ПП Юли'!T2)</f>
        <v>0</v>
      </c>
      <c r="U15" s="74">
        <f>SUMIFS(приходи!$L:$L,приходи!$E:$E,'ПП Юли'!$C$15,приходи!$M:$M,'ПП Юли'!U2)</f>
        <v>0</v>
      </c>
      <c r="V15" s="74">
        <f>SUMIFS(приходи!$L:$L,приходи!$E:$E,'ПП Юли'!$C$15,приходи!$M:$M,'ПП Юли'!V2)</f>
        <v>0</v>
      </c>
      <c r="W15" s="74">
        <f>SUMIFS(приходи!$L:$L,приходи!$E:$E,'ПП Юли'!$C$15,приходи!$M:$M,'ПП Юли'!W2)</f>
        <v>0</v>
      </c>
      <c r="X15" s="76">
        <f>SUMIFS(приходи!$L:$L,приходи!$E:$E,'ПП Юли'!$C$15,приходи!$M:$M,'ПП Юли'!X2)</f>
        <v>0</v>
      </c>
      <c r="Y15" s="76">
        <f>SUMIFS(приходи!$L:$L,приходи!$E:$E,'ПП Юли'!$C$15,приходи!$M:$M,'ПП Юли'!Y2)</f>
        <v>0</v>
      </c>
      <c r="Z15" s="74">
        <f>SUMIFS(приходи!$L:$L,приходи!$E:$E,'ПП Юли'!$C$15,приходи!$M:$M,'ПП Юли'!Z2)</f>
        <v>0</v>
      </c>
      <c r="AA15" s="74">
        <f>SUMIFS(приходи!$L:$L,приходи!$E:$E,'ПП Юли'!$C$15,приходи!$M:$M,'ПП Юли'!AA2)</f>
        <v>0</v>
      </c>
      <c r="AB15" s="74">
        <f>SUMIFS(приходи!$L:$L,приходи!$E:$E,'ПП Юли'!$C$15,приходи!$M:$M,'ПП Юли'!AB2)</f>
        <v>0</v>
      </c>
      <c r="AC15" s="74">
        <f>SUMIFS(приходи!$L:$L,приходи!$E:$E,'ПП Юли'!$C$15,приходи!$M:$M,'ПП Юли'!AC2)</f>
        <v>0</v>
      </c>
      <c r="AD15" s="74">
        <f>SUMIFS(приходи!$L:$L,приходи!$E:$E,'ПП Юли'!$C$15,приходи!$M:$M,'ПП Юли'!AD2)</f>
        <v>0</v>
      </c>
      <c r="AE15" s="76">
        <f>SUMIFS(приходи!$L:$L,приходи!$E:$E,'ПП Юли'!$C$15,приходи!$M:$M,'ПП Юли'!AE2)</f>
        <v>0</v>
      </c>
      <c r="AF15" s="76">
        <f>SUMIFS(приходи!$L:$L,приходи!$E:$E,'ПП Юли'!$C$15,приходи!$M:$M,'ПП Юли'!AF2)</f>
        <v>0</v>
      </c>
      <c r="AG15" s="74">
        <f>SUMIFS(приходи!$L:$L,приходи!$E:$E,'ПП Юли'!$C$15,приходи!$M:$M,'ПП Юли'!AG2)</f>
        <v>0</v>
      </c>
      <c r="AH15" s="74">
        <f>SUMIFS(приходи!$L:$L,приходи!$E:$E,'ПП Юли'!$C$15,приходи!$M:$M,'ПП Юли'!AH2)</f>
        <v>0</v>
      </c>
      <c r="AI15" s="74">
        <f>SUMIFS(приходи!$L:$L,приходи!$E:$E,'ПП Юли'!$C$15,приходи!$M:$M,'ПП Юли'!AI2)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Юли'!$C$16,приходи!$M:$M,'ПП Юли'!E2)</f>
        <v>0</v>
      </c>
      <c r="F16" s="74">
        <f>SUMIFS(приходи!$L:$L,приходи!$E:$E,'ПП Юли'!$C$16,приходи!$M:$M,'ПП Юли'!F2)</f>
        <v>0</v>
      </c>
      <c r="G16" s="74">
        <f>SUMIFS(приходи!$L:$L,приходи!$E:$E,'ПП Юли'!$C$16,приходи!$M:$M,'ПП Юли'!G2)</f>
        <v>0</v>
      </c>
      <c r="H16" s="74">
        <f>SUMIFS(приходи!$L:$L,приходи!$E:$E,'ПП Юли'!$C$16,приходи!$M:$M,'ПП Юли'!H2)</f>
        <v>0</v>
      </c>
      <c r="I16" s="74">
        <f>SUMIFS(приходи!$L:$L,приходи!$E:$E,'ПП Юли'!$C$16,приходи!$M:$M,'ПП Юли'!I2)</f>
        <v>0</v>
      </c>
      <c r="J16" s="76">
        <f>SUMIFS(приходи!$L:$L,приходи!$E:$E,'ПП Юли'!$C$16,приходи!$M:$M,'ПП Юли'!J2)</f>
        <v>0</v>
      </c>
      <c r="K16" s="76">
        <f>SUMIFS(приходи!$L:$L,приходи!$E:$E,'ПП Юли'!$C$16,приходи!$M:$M,'ПП Юли'!K2)</f>
        <v>0</v>
      </c>
      <c r="L16" s="74">
        <f>SUMIFS(приходи!$L:$L,приходи!$E:$E,'ПП Юли'!$C$16,приходи!$M:$M,'ПП Юли'!L2)</f>
        <v>0</v>
      </c>
      <c r="M16" s="74">
        <f>SUMIFS(приходи!$L:$L,приходи!$E:$E,'ПП Юли'!$C$16,приходи!$M:$M,'ПП Юли'!M2)</f>
        <v>0</v>
      </c>
      <c r="N16" s="74">
        <f>SUMIFS(приходи!$L:$L,приходи!$E:$E,'ПП Юли'!$C$16,приходи!$M:$M,'ПП Юли'!N2)</f>
        <v>25.787999999999997</v>
      </c>
      <c r="O16" s="74">
        <f>SUMIFS(приходи!$L:$L,приходи!$E:$E,'ПП Юли'!$C$16,приходи!$M:$M,'ПП Юли'!O2)</f>
        <v>89.387999999999991</v>
      </c>
      <c r="P16" s="74">
        <f>SUMIFS(приходи!$L:$L,приходи!$E:$E,'ПП Юли'!$C$16,приходи!$M:$M,'ПП Юли'!P2)</f>
        <v>0</v>
      </c>
      <c r="Q16" s="76">
        <f>SUMIFS(приходи!$L:$L,приходи!$E:$E,'ПП Юли'!$C$16,приходи!$M:$M,'ПП Юли'!Q2)</f>
        <v>0</v>
      </c>
      <c r="R16" s="76">
        <f>SUMIFS(приходи!$L:$L,приходи!$E:$E,'ПП Юли'!$C$16,приходи!$M:$M,'ПП Юли'!R2)</f>
        <v>0</v>
      </c>
      <c r="S16" s="74">
        <f>SUMIFS(приходи!$L:$L,приходи!$E:$E,'ПП Юли'!$C$16,приходи!$M:$M,'ПП Юли'!S2)</f>
        <v>0</v>
      </c>
      <c r="T16" s="74">
        <f>SUMIFS(приходи!$L:$L,приходи!$E:$E,'ПП Юли'!$C$16,приходи!$M:$M,'ПП Юли'!T2)</f>
        <v>0</v>
      </c>
      <c r="U16" s="74">
        <f>SUMIFS(приходи!$L:$L,приходи!$E:$E,'ПП Юли'!$C$16,приходи!$M:$M,'ПП Юли'!U2)</f>
        <v>0</v>
      </c>
      <c r="V16" s="74">
        <f>SUMIFS(приходи!$L:$L,приходи!$E:$E,'ПП Юли'!$C$16,приходи!$M:$M,'ПП Юли'!V2)</f>
        <v>0</v>
      </c>
      <c r="W16" s="74">
        <f>SUMIFS(приходи!$L:$L,приходи!$E:$E,'ПП Юли'!$C$16,приходи!$M:$M,'ПП Юли'!W2)</f>
        <v>0</v>
      </c>
      <c r="X16" s="76">
        <f>SUMIFS(приходи!$L:$L,приходи!$E:$E,'ПП Юли'!$C$16,приходи!$M:$M,'ПП Юли'!X2)</f>
        <v>0</v>
      </c>
      <c r="Y16" s="76">
        <f>SUMIFS(приходи!$L:$L,приходи!$E:$E,'ПП Юли'!$C$16,приходи!$M:$M,'ПП Юли'!Y2)</f>
        <v>0</v>
      </c>
      <c r="Z16" s="74">
        <f>SUMIFS(приходи!$L:$L,приходи!$E:$E,'ПП Юли'!$C$16,приходи!$M:$M,'ПП Юли'!Z2)</f>
        <v>0</v>
      </c>
      <c r="AA16" s="74">
        <f>SUMIFS(приходи!$L:$L,приходи!$E:$E,'ПП Юли'!$C$16,приходи!$M:$M,'ПП Юли'!AA2)</f>
        <v>0</v>
      </c>
      <c r="AB16" s="74">
        <f>SUMIFS(приходи!$L:$L,приходи!$E:$E,'ПП Юли'!$C$16,приходи!$M:$M,'ПП Юли'!AB2)</f>
        <v>0</v>
      </c>
      <c r="AC16" s="74">
        <f>SUMIFS(приходи!$L:$L,приходи!$E:$E,'ПП Юли'!$C$16,приходи!$M:$M,'ПП Юли'!AC2)</f>
        <v>0</v>
      </c>
      <c r="AD16" s="74">
        <f>SUMIFS(приходи!$L:$L,приходи!$E:$E,'ПП Юли'!$C$16,приходи!$M:$M,'ПП Юли'!AD2)</f>
        <v>0</v>
      </c>
      <c r="AE16" s="76">
        <f>SUMIFS(приходи!$L:$L,приходи!$E:$E,'ПП Юли'!$C$16,приходи!$M:$M,'ПП Юли'!AE2)</f>
        <v>0</v>
      </c>
      <c r="AF16" s="76">
        <f>SUMIFS(приходи!$L:$L,приходи!$E:$E,'ПП Юли'!$C$16,приходи!$M:$M,'ПП Юли'!AF2)</f>
        <v>0</v>
      </c>
      <c r="AG16" s="74">
        <f>SUMIFS(приходи!$L:$L,приходи!$E:$E,'ПП Юли'!$C$16,приходи!$M:$M,'ПП Юли'!AG2)</f>
        <v>0</v>
      </c>
      <c r="AH16" s="74">
        <f>SUMIFS(приходи!$L:$L,приходи!$E:$E,'ПП Юли'!$C$16,приходи!$M:$M,'ПП Юли'!AH2)</f>
        <v>0</v>
      </c>
      <c r="AI16" s="74">
        <f>SUMIFS(приходи!$L:$L,приходи!$E:$E,'ПП Юли'!$C$16,приходи!$M:$M,'ПП Юли'!AI2)</f>
        <v>0</v>
      </c>
      <c r="AJ16" s="61">
        <f t="shared" si="2"/>
        <v>115.17599999999999</v>
      </c>
      <c r="AK16" s="69">
        <f t="shared" si="3"/>
        <v>-115.17599999999999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Юли'!$C$17,приходи!$M:$M,'ПП Юли'!E2)</f>
        <v>0</v>
      </c>
      <c r="F17" s="74">
        <f>SUMIFS(приходи!$L:$L,приходи!$E:$E,'ПП Юли'!$C$17,приходи!$M:$M,'ПП Юли'!F2)</f>
        <v>0</v>
      </c>
      <c r="G17" s="74">
        <f>SUMIFS(приходи!$L:$L,приходи!$E:$E,'ПП Юли'!$C$17,приходи!$M:$M,'ПП Юли'!G2)</f>
        <v>183</v>
      </c>
      <c r="H17" s="74">
        <f>SUMIFS(приходи!$L:$L,приходи!$E:$E,'ПП Юли'!$C$17,приходи!$M:$M,'ПП Юли'!H2)</f>
        <v>0</v>
      </c>
      <c r="I17" s="74">
        <f>SUMIFS(приходи!$L:$L,приходи!$E:$E,'ПП Юли'!$C$17,приходи!$M:$M,'ПП Юли'!I2)</f>
        <v>0</v>
      </c>
      <c r="J17" s="76">
        <f>SUMIFS(приходи!$L:$L,приходи!$E:$E,'ПП Юли'!$C$17,приходи!$M:$M,'ПП Юли'!J2)</f>
        <v>0</v>
      </c>
      <c r="K17" s="76">
        <f>SUMIFS(приходи!$L:$L,приходи!$E:$E,'ПП Юли'!$C$17,приходи!$M:$M,'ПП Юли'!K2)</f>
        <v>0</v>
      </c>
      <c r="L17" s="74">
        <f>SUMIFS(приходи!$L:$L,приходи!$E:$E,'ПП Юли'!$C$17,приходи!$M:$M,'ПП Юли'!L2)</f>
        <v>0</v>
      </c>
      <c r="M17" s="74">
        <f>SUMIFS(приходи!$L:$L,приходи!$E:$E,'ПП Юли'!$C$17,приходи!$M:$M,'ПП Юли'!M2)</f>
        <v>0</v>
      </c>
      <c r="N17" s="74">
        <f>SUMIFS(приходи!$L:$L,приходи!$E:$E,'ПП Юли'!$C$17,приходи!$M:$M,'ПП Юли'!N2)</f>
        <v>0</v>
      </c>
      <c r="O17" s="74">
        <f>SUMIFS(приходи!$L:$L,приходи!$E:$E,'ПП Юли'!$C$17,приходи!$M:$M,'ПП Юли'!O2)</f>
        <v>0</v>
      </c>
      <c r="P17" s="74">
        <f>SUMIFS(приходи!$L:$L,приходи!$E:$E,'ПП Юли'!$C$17,приходи!$M:$M,'ПП Юли'!P2)</f>
        <v>0</v>
      </c>
      <c r="Q17" s="76">
        <f>SUMIFS(приходи!$L:$L,приходи!$E:$E,'ПП Юли'!$C$17,приходи!$M:$M,'ПП Юли'!Q2)</f>
        <v>0</v>
      </c>
      <c r="R17" s="76">
        <f>SUMIFS(приходи!$L:$L,приходи!$E:$E,'ПП Юли'!$C$17,приходи!$M:$M,'ПП Юли'!R2)</f>
        <v>0</v>
      </c>
      <c r="S17" s="74">
        <f>SUMIFS(приходи!$L:$L,приходи!$E:$E,'ПП Юли'!$C$17,приходи!$M:$M,'ПП Юли'!S2)</f>
        <v>0</v>
      </c>
      <c r="T17" s="74">
        <f>SUMIFS(приходи!$L:$L,приходи!$E:$E,'ПП Юли'!$C$17,приходи!$M:$M,'ПП Юли'!T2)</f>
        <v>0</v>
      </c>
      <c r="U17" s="74">
        <f>SUMIFS(приходи!$L:$L,приходи!$E:$E,'ПП Юли'!$C$17,приходи!$M:$M,'ПП Юли'!U2)</f>
        <v>0</v>
      </c>
      <c r="V17" s="74">
        <f>SUMIFS(приходи!$L:$L,приходи!$E:$E,'ПП Юли'!$C$17,приходи!$M:$M,'ПП Юли'!V2)</f>
        <v>0</v>
      </c>
      <c r="W17" s="74">
        <f>SUMIFS(приходи!$L:$L,приходи!$E:$E,'ПП Юли'!$C$17,приходи!$M:$M,'ПП Юли'!W2)</f>
        <v>0</v>
      </c>
      <c r="X17" s="76">
        <f>SUMIFS(приходи!$L:$L,приходи!$E:$E,'ПП Юли'!$C$17,приходи!$M:$M,'ПП Юли'!X2)</f>
        <v>0</v>
      </c>
      <c r="Y17" s="76">
        <f>SUMIFS(приходи!$L:$L,приходи!$E:$E,'ПП Юли'!$C$17,приходи!$M:$M,'ПП Юли'!Y2)</f>
        <v>0</v>
      </c>
      <c r="Z17" s="74">
        <f>SUMIFS(приходи!$L:$L,приходи!$E:$E,'ПП Юли'!$C$17,приходи!$M:$M,'ПП Юли'!Z2)</f>
        <v>0</v>
      </c>
      <c r="AA17" s="74">
        <f>SUMIFS(приходи!$L:$L,приходи!$E:$E,'ПП Юли'!$C$17,приходи!$M:$M,'ПП Юли'!AA2)</f>
        <v>0</v>
      </c>
      <c r="AB17" s="74">
        <f>SUMIFS(приходи!$L:$L,приходи!$E:$E,'ПП Юли'!$C$17,приходи!$M:$M,'ПП Юли'!AB2)</f>
        <v>0</v>
      </c>
      <c r="AC17" s="74">
        <f>SUMIFS(приходи!$L:$L,приходи!$E:$E,'ПП Юли'!$C$17,приходи!$M:$M,'ПП Юли'!AC2)</f>
        <v>0</v>
      </c>
      <c r="AD17" s="74">
        <f>SUMIFS(приходи!$L:$L,приходи!$E:$E,'ПП Юли'!$C$17,приходи!$M:$M,'ПП Юли'!AD2)</f>
        <v>0</v>
      </c>
      <c r="AE17" s="76">
        <f>SUMIFS(приходи!$L:$L,приходи!$E:$E,'ПП Юли'!$C$17,приходи!$M:$M,'ПП Юли'!AE2)</f>
        <v>0</v>
      </c>
      <c r="AF17" s="76">
        <f>SUMIFS(приходи!$L:$L,приходи!$E:$E,'ПП Юли'!$C$17,приходи!$M:$M,'ПП Юли'!AF2)</f>
        <v>0</v>
      </c>
      <c r="AG17" s="74">
        <f>SUMIFS(приходи!$L:$L,приходи!$E:$E,'ПП Юли'!$C$17,приходи!$M:$M,'ПП Юли'!AG2)</f>
        <v>0</v>
      </c>
      <c r="AH17" s="74">
        <f>SUMIFS(приходи!$L:$L,приходи!$E:$E,'ПП Юли'!$C$17,приходи!$M:$M,'ПП Юли'!AH2)</f>
        <v>0</v>
      </c>
      <c r="AI17" s="74">
        <f>SUMIFS(приходи!$L:$L,приходи!$E:$E,'ПП Юли'!$C$17,приходи!$M:$M,'ПП Юли'!AI2)</f>
        <v>0</v>
      </c>
      <c r="AJ17" s="61">
        <f t="shared" si="2"/>
        <v>183</v>
      </c>
      <c r="AK17" s="69">
        <f t="shared" si="3"/>
        <v>-183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Юли'!$C$18,приходи!$M:$M,'ПП Юли'!E2)</f>
        <v>0</v>
      </c>
      <c r="F18" s="74">
        <f>SUMIFS(приходи!$L:$L,приходи!$E:$E,'ПП Юли'!$C$18,приходи!$M:$M,'ПП Юли'!F2)</f>
        <v>0</v>
      </c>
      <c r="G18" s="74">
        <f>SUMIFS(приходи!$L:$L,приходи!$E:$E,'ПП Юли'!$C$18,приходи!$M:$M,'ПП Юли'!G2)</f>
        <v>19.956</v>
      </c>
      <c r="H18" s="74">
        <f>SUMIFS(приходи!$L:$L,приходи!$E:$E,'ПП Юли'!$C$18,приходи!$M:$M,'ПП Юли'!H2)</f>
        <v>0</v>
      </c>
      <c r="I18" s="74">
        <f>SUMIFS(приходи!$L:$L,приходи!$E:$E,'ПП Юли'!$C$18,приходи!$M:$M,'ПП Юли'!I2)</f>
        <v>0</v>
      </c>
      <c r="J18" s="76">
        <f>SUMIFS(приходи!$L:$L,приходи!$E:$E,'ПП Юли'!$C$18,приходи!$M:$M,'ПП Юли'!J2)</f>
        <v>0</v>
      </c>
      <c r="K18" s="76">
        <f>SUMIFS(приходи!$L:$L,приходи!$E:$E,'ПП Юли'!$C$18,приходи!$M:$M,'ПП Юли'!K2)</f>
        <v>0</v>
      </c>
      <c r="L18" s="74">
        <f>SUMIFS(приходи!$L:$L,приходи!$E:$E,'ПП Юли'!$C$18,приходи!$M:$M,'ПП Юли'!L2)</f>
        <v>0</v>
      </c>
      <c r="M18" s="74">
        <f>SUMIFS(приходи!$L:$L,приходи!$E:$E,'ПП Юли'!$C$18,приходи!$M:$M,'ПП Юли'!M2)</f>
        <v>0</v>
      </c>
      <c r="N18" s="74">
        <f>SUMIFS(приходи!$L:$L,приходи!$E:$E,'ПП Юли'!$C$18,приходи!$M:$M,'ПП Юли'!N2)</f>
        <v>0</v>
      </c>
      <c r="O18" s="74">
        <f>SUMIFS(приходи!$L:$L,приходи!$E:$E,'ПП Юли'!$C$18,приходи!$M:$M,'ПП Юли'!O2)</f>
        <v>0</v>
      </c>
      <c r="P18" s="74">
        <f>SUMIFS(приходи!$L:$L,приходи!$E:$E,'ПП Юли'!$C$18,приходи!$M:$M,'ПП Юли'!P2)</f>
        <v>0</v>
      </c>
      <c r="Q18" s="76">
        <f>SUMIFS(приходи!$L:$L,приходи!$E:$E,'ПП Юли'!$C$18,приходи!$M:$M,'ПП Юли'!Q2)</f>
        <v>0</v>
      </c>
      <c r="R18" s="76">
        <f>SUMIFS(приходи!$L:$L,приходи!$E:$E,'ПП Юли'!$C$18,приходи!$M:$M,'ПП Юли'!R2)</f>
        <v>0</v>
      </c>
      <c r="S18" s="74">
        <f>SUMIFS(приходи!$L:$L,приходи!$E:$E,'ПП Юли'!$C$18,приходи!$M:$M,'ПП Юли'!S2)</f>
        <v>0</v>
      </c>
      <c r="T18" s="74">
        <f>SUMIFS(приходи!$L:$L,приходи!$E:$E,'ПП Юли'!$C$18,приходи!$M:$M,'ПП Юли'!T2)</f>
        <v>0</v>
      </c>
      <c r="U18" s="74">
        <f>SUMIFS(приходи!$L:$L,приходи!$E:$E,'ПП Юли'!$C$18,приходи!$M:$M,'ПП Юли'!U2)</f>
        <v>0</v>
      </c>
      <c r="V18" s="74">
        <f>SUMIFS(приходи!$L:$L,приходи!$E:$E,'ПП Юли'!$C$18,приходи!$M:$M,'ПП Юли'!V2)</f>
        <v>0</v>
      </c>
      <c r="W18" s="74">
        <f>SUMIFS(приходи!$L:$L,приходи!$E:$E,'ПП Юли'!$C$18,приходи!$M:$M,'ПП Юли'!W2)</f>
        <v>0</v>
      </c>
      <c r="X18" s="76">
        <f>SUMIFS(приходи!$L:$L,приходи!$E:$E,'ПП Юли'!$C$18,приходи!$M:$M,'ПП Юли'!X2)</f>
        <v>0</v>
      </c>
      <c r="Y18" s="76">
        <f>SUMIFS(приходи!$L:$L,приходи!$E:$E,'ПП Юли'!$C$18,приходи!$M:$M,'ПП Юли'!Y2)</f>
        <v>0</v>
      </c>
      <c r="Z18" s="74">
        <f>SUMIFS(приходи!$L:$L,приходи!$E:$E,'ПП Юли'!$C$18,приходи!$M:$M,'ПП Юли'!Z2)</f>
        <v>0</v>
      </c>
      <c r="AA18" s="74">
        <f>SUMIFS(приходи!$L:$L,приходи!$E:$E,'ПП Юли'!$C$18,приходи!$M:$M,'ПП Юли'!AA2)</f>
        <v>0</v>
      </c>
      <c r="AB18" s="74">
        <f>SUMIFS(приходи!$L:$L,приходи!$E:$E,'ПП Юли'!$C$18,приходи!$M:$M,'ПП Юли'!AB2)</f>
        <v>0</v>
      </c>
      <c r="AC18" s="74">
        <f>SUMIFS(приходи!$L:$L,приходи!$E:$E,'ПП Юли'!$C$18,приходи!$M:$M,'ПП Юли'!AC2)</f>
        <v>0</v>
      </c>
      <c r="AD18" s="74">
        <f>SUMIFS(приходи!$L:$L,приходи!$E:$E,'ПП Юли'!$C$18,приходи!$M:$M,'ПП Юли'!AD2)</f>
        <v>0</v>
      </c>
      <c r="AE18" s="76">
        <f>SUMIFS(приходи!$L:$L,приходи!$E:$E,'ПП Юли'!$C$18,приходи!$M:$M,'ПП Юли'!AE2)</f>
        <v>0</v>
      </c>
      <c r="AF18" s="76">
        <f>SUMIFS(приходи!$L:$L,приходи!$E:$E,'ПП Юли'!$C$18,приходи!$M:$M,'ПП Юли'!AF2)</f>
        <v>0</v>
      </c>
      <c r="AG18" s="74">
        <f>SUMIFS(приходи!$L:$L,приходи!$E:$E,'ПП Юли'!$C$18,приходи!$M:$M,'ПП Юли'!AG2)</f>
        <v>0</v>
      </c>
      <c r="AH18" s="74">
        <f>SUMIFS(приходи!$L:$L,приходи!$E:$E,'ПП Юли'!$C$18,приходи!$M:$M,'ПП Юли'!AH2)</f>
        <v>0</v>
      </c>
      <c r="AI18" s="74">
        <f>SUMIFS(приходи!$L:$L,приходи!$E:$E,'ПП Юли'!$C$18,приходи!$M:$M,'ПП Юли'!AI2)</f>
        <v>0</v>
      </c>
      <c r="AJ18" s="61">
        <f t="shared" si="2"/>
        <v>19.956</v>
      </c>
      <c r="AK18" s="69">
        <f t="shared" si="3"/>
        <v>-19.956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Юли'!$C$19,приходи!$M:$M,'ПП Юли'!E2)</f>
        <v>0</v>
      </c>
      <c r="F19" s="74">
        <f>SUMIFS(приходи!$L:$L,приходи!$E:$E,'ПП Юли'!$C$19,приходи!$M:$M,'ПП Юли'!F2)</f>
        <v>0</v>
      </c>
      <c r="G19" s="74">
        <f>SUMIFS(приходи!$L:$L,приходи!$E:$E,'ПП Юли'!$C$19,приходи!$M:$M,'ПП Юли'!G2)</f>
        <v>114.37199999999999</v>
      </c>
      <c r="H19" s="74">
        <f>SUMIFS(приходи!$L:$L,приходи!$E:$E,'ПП Юли'!$C$19,приходи!$M:$M,'ПП Юли'!H2)</f>
        <v>6.3599999999999994</v>
      </c>
      <c r="I19" s="74">
        <f>SUMIFS(приходи!$L:$L,приходи!$E:$E,'ПП Юли'!$C$19,приходи!$M:$M,'ПП Юли'!I2)</f>
        <v>0</v>
      </c>
      <c r="J19" s="76">
        <f>SUMIFS(приходи!$L:$L,приходи!$E:$E,'ПП Юли'!$C$19,приходи!$M:$M,'ПП Юли'!J2)</f>
        <v>0</v>
      </c>
      <c r="K19" s="76">
        <f>SUMIFS(приходи!$L:$L,приходи!$E:$E,'ПП Юли'!$C$19,приходи!$M:$M,'ПП Юли'!K2)</f>
        <v>0</v>
      </c>
      <c r="L19" s="74">
        <f>SUMIFS(приходи!$L:$L,приходи!$E:$E,'ПП Юли'!$C$19,приходи!$M:$M,'ПП Юли'!L2)</f>
        <v>0</v>
      </c>
      <c r="M19" s="74">
        <f>SUMIFS(приходи!$L:$L,приходи!$E:$E,'ПП Юли'!$C$19,приходи!$M:$M,'ПП Юли'!M2)</f>
        <v>0</v>
      </c>
      <c r="N19" s="74">
        <f>SUMIFS(приходи!$L:$L,приходи!$E:$E,'ПП Юли'!$C$19,приходи!$M:$M,'ПП Юли'!N2)</f>
        <v>0</v>
      </c>
      <c r="O19" s="74">
        <f>SUMIFS(приходи!$L:$L,приходи!$E:$E,'ПП Юли'!$C$19,приходи!$M:$M,'ПП Юли'!O2)</f>
        <v>0</v>
      </c>
      <c r="P19" s="74">
        <f>SUMIFS(приходи!$L:$L,приходи!$E:$E,'ПП Юли'!$C$19,приходи!$M:$M,'ПП Юли'!P2)</f>
        <v>0</v>
      </c>
      <c r="Q19" s="76">
        <f>SUMIFS(приходи!$L:$L,приходи!$E:$E,'ПП Юли'!$C$19,приходи!$M:$M,'ПП Юли'!Q2)</f>
        <v>0</v>
      </c>
      <c r="R19" s="76">
        <f>SUMIFS(приходи!$L:$L,приходи!$E:$E,'ПП Юли'!$C$19,приходи!$M:$M,'ПП Юли'!R2)</f>
        <v>0</v>
      </c>
      <c r="S19" s="74">
        <f>SUMIFS(приходи!$L:$L,приходи!$E:$E,'ПП Юли'!$C$19,приходи!$M:$M,'ПП Юли'!S2)</f>
        <v>0</v>
      </c>
      <c r="T19" s="74">
        <f>SUMIFS(приходи!$L:$L,приходи!$E:$E,'ПП Юли'!$C$19,приходи!$M:$M,'ПП Юли'!T2)</f>
        <v>0</v>
      </c>
      <c r="U19" s="74">
        <f>SUMIFS(приходи!$L:$L,приходи!$E:$E,'ПП Юли'!$C$19,приходи!$M:$M,'ПП Юли'!U2)</f>
        <v>0</v>
      </c>
      <c r="V19" s="74">
        <f>SUMIFS(приходи!$L:$L,приходи!$E:$E,'ПП Юли'!$C$19,приходи!$M:$M,'ПП Юли'!V2)</f>
        <v>0</v>
      </c>
      <c r="W19" s="74">
        <f>SUMIFS(приходи!$L:$L,приходи!$E:$E,'ПП Юли'!$C$19,приходи!$M:$M,'ПП Юли'!W2)</f>
        <v>0</v>
      </c>
      <c r="X19" s="76">
        <f>SUMIFS(приходи!$L:$L,приходи!$E:$E,'ПП Юли'!$C$19,приходи!$M:$M,'ПП Юли'!X2)</f>
        <v>0</v>
      </c>
      <c r="Y19" s="76">
        <f>SUMIFS(приходи!$L:$L,приходи!$E:$E,'ПП Юли'!$C$19,приходи!$M:$M,'ПП Юли'!Y2)</f>
        <v>0</v>
      </c>
      <c r="Z19" s="74">
        <f>SUMIFS(приходи!$L:$L,приходи!$E:$E,'ПП Юли'!$C$19,приходи!$M:$M,'ПП Юли'!Z2)</f>
        <v>0</v>
      </c>
      <c r="AA19" s="74">
        <f>SUMIFS(приходи!$L:$L,приходи!$E:$E,'ПП Юли'!$C$19,приходи!$M:$M,'ПП Юли'!AA2)</f>
        <v>0</v>
      </c>
      <c r="AB19" s="74">
        <f>SUMIFS(приходи!$L:$L,приходи!$E:$E,'ПП Юли'!$C$19,приходи!$M:$M,'ПП Юли'!AB2)</f>
        <v>0</v>
      </c>
      <c r="AC19" s="74">
        <f>SUMIFS(приходи!$L:$L,приходи!$E:$E,'ПП Юли'!$C$19,приходи!$M:$M,'ПП Юли'!AC2)</f>
        <v>0</v>
      </c>
      <c r="AD19" s="74">
        <f>SUMIFS(приходи!$L:$L,приходи!$E:$E,'ПП Юли'!$C$19,приходи!$M:$M,'ПП Юли'!AD2)</f>
        <v>0</v>
      </c>
      <c r="AE19" s="76">
        <f>SUMIFS(приходи!$L:$L,приходи!$E:$E,'ПП Юли'!$C$19,приходи!$M:$M,'ПП Юли'!AE2)</f>
        <v>0</v>
      </c>
      <c r="AF19" s="76">
        <f>SUMIFS(приходи!$L:$L,приходи!$E:$E,'ПП Юли'!$C$19,приходи!$M:$M,'ПП Юли'!AF2)</f>
        <v>0</v>
      </c>
      <c r="AG19" s="74">
        <f>SUMIFS(приходи!$L:$L,приходи!$E:$E,'ПП Юли'!$C$19,приходи!$M:$M,'ПП Юли'!AG2)</f>
        <v>0</v>
      </c>
      <c r="AH19" s="74">
        <f>SUMIFS(приходи!$L:$L,приходи!$E:$E,'ПП Юли'!$C$19,приходи!$M:$M,'ПП Юли'!AH2)</f>
        <v>0</v>
      </c>
      <c r="AI19" s="74">
        <f>SUMIFS(приходи!$L:$L,приходи!$E:$E,'ПП Юли'!$C$19,приходи!$M:$M,'ПП Юли'!AI2)</f>
        <v>0</v>
      </c>
      <c r="AJ19" s="61">
        <f t="shared" si="2"/>
        <v>120.73199999999999</v>
      </c>
      <c r="AK19" s="69">
        <f t="shared" si="3"/>
        <v>-120.73199999999999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Юли'!$C$20,приходи!$M:$M,'ПП Юли'!E2)</f>
        <v>0</v>
      </c>
      <c r="F20" s="74">
        <f>SUMIFS(приходи!$L:$L,приходи!$E:$E,'ПП Юли'!$C$20,приходи!$M:$M,'ПП Юли'!F2)</f>
        <v>0</v>
      </c>
      <c r="G20" s="74">
        <f>SUMIFS(приходи!$L:$L,приходи!$E:$E,'ПП Юли'!$C$20,приходи!$M:$M,'ПП Юли'!G2)</f>
        <v>0</v>
      </c>
      <c r="H20" s="74">
        <f>SUMIFS(приходи!$L:$L,приходи!$E:$E,'ПП Юли'!$C$20,приходи!$M:$M,'ПП Юли'!H2)</f>
        <v>0</v>
      </c>
      <c r="I20" s="74">
        <f>SUMIFS(приходи!$L:$L,приходи!$E:$E,'ПП Юли'!$C$20,приходи!$M:$M,'ПП Юли'!I2)</f>
        <v>0</v>
      </c>
      <c r="J20" s="76">
        <f>SUMIFS(приходи!$L:$L,приходи!$E:$E,'ПП Юли'!$C$20,приходи!$M:$M,'ПП Юли'!J2)</f>
        <v>0</v>
      </c>
      <c r="K20" s="76">
        <f>SUMIFS(приходи!$L:$L,приходи!$E:$E,'ПП Юли'!$C$20,приходи!$M:$M,'ПП Юли'!K2)</f>
        <v>0</v>
      </c>
      <c r="L20" s="74">
        <f>SUMIFS(приходи!$L:$L,приходи!$E:$E,'ПП Юли'!$C$20,приходи!$M:$M,'ПП Юли'!L2)</f>
        <v>0</v>
      </c>
      <c r="M20" s="74">
        <f>SUMIFS(приходи!$L:$L,приходи!$E:$E,'ПП Юли'!$C$20,приходи!$M:$M,'ПП Юли'!M2)</f>
        <v>0</v>
      </c>
      <c r="N20" s="74">
        <f>SUMIFS(приходи!$L:$L,приходи!$E:$E,'ПП Юли'!$C$20,приходи!$M:$M,'ПП Юли'!N2)</f>
        <v>0</v>
      </c>
      <c r="O20" s="74">
        <f>SUMIFS(приходи!$L:$L,приходи!$E:$E,'ПП Юли'!$C$20,приходи!$M:$M,'ПП Юли'!O2)</f>
        <v>0</v>
      </c>
      <c r="P20" s="74">
        <f>SUMIFS(приходи!$L:$L,приходи!$E:$E,'ПП Юли'!$C$20,приходи!$M:$M,'ПП Юли'!P2)</f>
        <v>0</v>
      </c>
      <c r="Q20" s="76">
        <f>SUMIFS(приходи!$L:$L,приходи!$E:$E,'ПП Юли'!$C$20,приходи!$M:$M,'ПП Юли'!Q2)</f>
        <v>0</v>
      </c>
      <c r="R20" s="76">
        <f>SUMIFS(приходи!$L:$L,приходи!$E:$E,'ПП Юли'!$C$20,приходи!$M:$M,'ПП Юли'!R2)</f>
        <v>0</v>
      </c>
      <c r="S20" s="74">
        <f>SUMIFS(приходи!$L:$L,приходи!$E:$E,'ПП Юли'!$C$20,приходи!$M:$M,'ПП Юли'!S2)</f>
        <v>0</v>
      </c>
      <c r="T20" s="74">
        <f>SUMIFS(приходи!$L:$L,приходи!$E:$E,'ПП Юли'!$C$20,приходи!$M:$M,'ПП Юли'!T2)</f>
        <v>0</v>
      </c>
      <c r="U20" s="74">
        <f>SUMIFS(приходи!$L:$L,приходи!$E:$E,'ПП Юли'!$C$20,приходи!$M:$M,'ПП Юли'!U2)</f>
        <v>0</v>
      </c>
      <c r="V20" s="74">
        <f>SUMIFS(приходи!$L:$L,приходи!$E:$E,'ПП Юли'!$C$20,приходи!$M:$M,'ПП Юли'!V2)</f>
        <v>0</v>
      </c>
      <c r="W20" s="74">
        <f>SUMIFS(приходи!$L:$L,приходи!$E:$E,'ПП Юли'!$C$20,приходи!$M:$M,'ПП Юли'!W2)</f>
        <v>0</v>
      </c>
      <c r="X20" s="76">
        <f>SUMIFS(приходи!$L:$L,приходи!$E:$E,'ПП Юли'!$C$20,приходи!$M:$M,'ПП Юли'!X2)</f>
        <v>0</v>
      </c>
      <c r="Y20" s="76">
        <f>SUMIFS(приходи!$L:$L,приходи!$E:$E,'ПП Юли'!$C$20,приходи!$M:$M,'ПП Юли'!Y2)</f>
        <v>0</v>
      </c>
      <c r="Z20" s="74">
        <f>SUMIFS(приходи!$L:$L,приходи!$E:$E,'ПП Юли'!$C$20,приходи!$M:$M,'ПП Юли'!Z2)</f>
        <v>0</v>
      </c>
      <c r="AA20" s="74">
        <f>SUMIFS(приходи!$L:$L,приходи!$E:$E,'ПП Юли'!$C$20,приходи!$M:$M,'ПП Юли'!AA2)</f>
        <v>0</v>
      </c>
      <c r="AB20" s="74">
        <f>SUMIFS(приходи!$L:$L,приходи!$E:$E,'ПП Юли'!$C$20,приходи!$M:$M,'ПП Юли'!AB2)</f>
        <v>0</v>
      </c>
      <c r="AC20" s="74">
        <f>SUMIFS(приходи!$L:$L,приходи!$E:$E,'ПП Юли'!$C$20,приходи!$M:$M,'ПП Юли'!AC2)</f>
        <v>0</v>
      </c>
      <c r="AD20" s="74">
        <f>SUMIFS(приходи!$L:$L,приходи!$E:$E,'ПП Юли'!$C$20,приходи!$M:$M,'ПП Юли'!AD2)</f>
        <v>0</v>
      </c>
      <c r="AE20" s="76">
        <f>SUMIFS(приходи!$L:$L,приходи!$E:$E,'ПП Юли'!$C$20,приходи!$M:$M,'ПП Юли'!AE2)</f>
        <v>0</v>
      </c>
      <c r="AF20" s="76">
        <f>SUMIFS(приходи!$L:$L,приходи!$E:$E,'ПП Юли'!$C$20,приходи!$M:$M,'ПП Юли'!AF2)</f>
        <v>0</v>
      </c>
      <c r="AG20" s="74">
        <f>SUMIFS(приходи!$L:$L,приходи!$E:$E,'ПП Юли'!$C$20,приходи!$M:$M,'ПП Юли'!AG2)</f>
        <v>0</v>
      </c>
      <c r="AH20" s="74">
        <f>SUMIFS(приходи!$L:$L,приходи!$E:$E,'ПП Юли'!$C$20,приходи!$M:$M,'ПП Юли'!AH2)</f>
        <v>0</v>
      </c>
      <c r="AI20" s="74">
        <f>SUMIFS(приходи!$L:$L,приходи!$E:$E,'ПП Юли'!$C$20,приходи!$M:$M,'ПП Юли'!AI2)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Юли'!$C$21,приходи!$M:$M,'ПП Юли'!E2)</f>
        <v>0</v>
      </c>
      <c r="F21" s="74">
        <f>SUMIFS(приходи!$L:$L,приходи!$E:$E,'ПП Юли'!$C$21,приходи!$M:$M,'ПП Юли'!F2)</f>
        <v>0</v>
      </c>
      <c r="G21" s="74">
        <f>SUMIFS(приходи!$L:$L,приходи!$E:$E,'ПП Юли'!$C$21,приходи!$M:$M,'ПП Юли'!G2)</f>
        <v>0</v>
      </c>
      <c r="H21" s="74">
        <f>SUMIFS(приходи!$L:$L,приходи!$E:$E,'ПП Юли'!$C$21,приходи!$M:$M,'ПП Юли'!H2)</f>
        <v>0</v>
      </c>
      <c r="I21" s="74">
        <f>SUMIFS(приходи!$L:$L,приходи!$E:$E,'ПП Юли'!$C$21,приходи!$M:$M,'ПП Юли'!I2)</f>
        <v>0</v>
      </c>
      <c r="J21" s="76">
        <f>SUMIFS(приходи!$L:$L,приходи!$E:$E,'ПП Юли'!$C$21,приходи!$M:$M,'ПП Юли'!J2)</f>
        <v>0</v>
      </c>
      <c r="K21" s="76">
        <f>SUMIFS(приходи!$L:$L,приходи!$E:$E,'ПП Юли'!$C$21,приходи!$M:$M,'ПП Юли'!K2)</f>
        <v>0</v>
      </c>
      <c r="L21" s="74">
        <f>SUMIFS(приходи!$L:$L,приходи!$E:$E,'ПП Юли'!$C$21,приходи!$M:$M,'ПП Юли'!L2)</f>
        <v>0</v>
      </c>
      <c r="M21" s="74">
        <f>SUMIFS(приходи!$L:$L,приходи!$E:$E,'ПП Юли'!$C$21,приходи!$M:$M,'ПП Юли'!M2)</f>
        <v>0</v>
      </c>
      <c r="N21" s="74">
        <f>SUMIFS(приходи!$L:$L,приходи!$E:$E,'ПП Юли'!$C$21,приходи!$M:$M,'ПП Юли'!N2)</f>
        <v>0</v>
      </c>
      <c r="O21" s="74">
        <f>SUMIFS(приходи!$L:$L,приходи!$E:$E,'ПП Юли'!$C$21,приходи!$M:$M,'ПП Юли'!O2)</f>
        <v>0</v>
      </c>
      <c r="P21" s="74">
        <f>SUMIFS(приходи!$L:$L,приходи!$E:$E,'ПП Юли'!$C$21,приходи!$M:$M,'ПП Юли'!P2)</f>
        <v>0</v>
      </c>
      <c r="Q21" s="76">
        <f>SUMIFS(приходи!$L:$L,приходи!$E:$E,'ПП Юли'!$C$21,приходи!$M:$M,'ПП Юли'!Q2)</f>
        <v>0</v>
      </c>
      <c r="R21" s="76">
        <f>SUMIFS(приходи!$L:$L,приходи!$E:$E,'ПП Юли'!$C$21,приходи!$M:$M,'ПП Юли'!R2)</f>
        <v>0</v>
      </c>
      <c r="S21" s="74">
        <f>SUMIFS(приходи!$L:$L,приходи!$E:$E,'ПП Юли'!$C$21,приходи!$M:$M,'ПП Юли'!S2)</f>
        <v>0</v>
      </c>
      <c r="T21" s="74">
        <f>SUMIFS(приходи!$L:$L,приходи!$E:$E,'ПП Юли'!$C$21,приходи!$M:$M,'ПП Юли'!T2)</f>
        <v>0</v>
      </c>
      <c r="U21" s="74">
        <f>SUMIFS(приходи!$L:$L,приходи!$E:$E,'ПП Юли'!$C$21,приходи!$M:$M,'ПП Юли'!U2)</f>
        <v>0</v>
      </c>
      <c r="V21" s="74">
        <f>SUMIFS(приходи!$L:$L,приходи!$E:$E,'ПП Юли'!$C$21,приходи!$M:$M,'ПП Юли'!V2)</f>
        <v>0</v>
      </c>
      <c r="W21" s="74">
        <f>SUMIFS(приходи!$L:$L,приходи!$E:$E,'ПП Юли'!$C$21,приходи!$M:$M,'ПП Юли'!W2)</f>
        <v>0</v>
      </c>
      <c r="X21" s="76">
        <f>SUMIFS(приходи!$L:$L,приходи!$E:$E,'ПП Юли'!$C$21,приходи!$M:$M,'ПП Юли'!X2)</f>
        <v>0</v>
      </c>
      <c r="Y21" s="76">
        <f>SUMIFS(приходи!$L:$L,приходи!$E:$E,'ПП Юли'!$C$21,приходи!$M:$M,'ПП Юли'!Y2)</f>
        <v>0</v>
      </c>
      <c r="Z21" s="74">
        <f>SUMIFS(приходи!$L:$L,приходи!$E:$E,'ПП Юли'!$C$21,приходи!$M:$M,'ПП Юли'!Z2)</f>
        <v>0</v>
      </c>
      <c r="AA21" s="74">
        <f>SUMIFS(приходи!$L:$L,приходи!$E:$E,'ПП Юли'!$C$21,приходи!$M:$M,'ПП Юли'!AA2)</f>
        <v>0</v>
      </c>
      <c r="AB21" s="74">
        <f>SUMIFS(приходи!$L:$L,приходи!$E:$E,'ПП Юли'!$C$21,приходи!$M:$M,'ПП Юли'!AB2)</f>
        <v>0</v>
      </c>
      <c r="AC21" s="74">
        <f>SUMIFS(приходи!$L:$L,приходи!$E:$E,'ПП Юли'!$C$21,приходи!$M:$M,'ПП Юли'!AC2)</f>
        <v>0</v>
      </c>
      <c r="AD21" s="74">
        <f>SUMIFS(приходи!$L:$L,приходи!$E:$E,'ПП Юли'!$C$21,приходи!$M:$M,'ПП Юли'!AD2)</f>
        <v>0</v>
      </c>
      <c r="AE21" s="76">
        <f>SUMIFS(приходи!$L:$L,приходи!$E:$E,'ПП Юли'!$C$21,приходи!$M:$M,'ПП Юли'!AE2)</f>
        <v>0</v>
      </c>
      <c r="AF21" s="76">
        <f>SUMIFS(приходи!$L:$L,приходи!$E:$E,'ПП Юли'!$C$21,приходи!$M:$M,'ПП Юли'!AF2)</f>
        <v>0</v>
      </c>
      <c r="AG21" s="74">
        <f>SUMIFS(приходи!$L:$L,приходи!$E:$E,'ПП Юли'!$C$21,приходи!$M:$M,'ПП Юли'!AG2)</f>
        <v>0</v>
      </c>
      <c r="AH21" s="74">
        <f>SUMIFS(приходи!$L:$L,приходи!$E:$E,'ПП Юли'!$C$21,приходи!$M:$M,'ПП Юли'!AH2)</f>
        <v>0</v>
      </c>
      <c r="AI21" s="74">
        <f>SUMIFS(приходи!$L:$L,приходи!$E:$E,'ПП Юли'!$C$21,приходи!$M:$M,'ПП Юли'!AI2)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Юли'!$C$22,приходи!$M:$M,'ПП Юли'!E2)</f>
        <v>0</v>
      </c>
      <c r="F22" s="74">
        <f>SUMIFS(приходи!$L:$L,приходи!$E:$E,'ПП Юли'!$C$22,приходи!$M:$M,'ПП Юли'!F2)</f>
        <v>0</v>
      </c>
      <c r="G22" s="74">
        <f>SUMIFS(приходи!$L:$L,приходи!$E:$E,'ПП Юли'!$C$22,приходи!$M:$M,'ПП Юли'!G2)</f>
        <v>0</v>
      </c>
      <c r="H22" s="74">
        <f>SUMIFS(приходи!$L:$L,приходи!$E:$E,'ПП Юли'!$C$22,приходи!$M:$M,'ПП Юли'!H2)</f>
        <v>0</v>
      </c>
      <c r="I22" s="74">
        <f>SUMIFS(приходи!$L:$L,приходи!$E:$E,'ПП Юли'!$C$22,приходи!$M:$M,'ПП Юли'!I2)</f>
        <v>0</v>
      </c>
      <c r="J22" s="76">
        <f>SUMIFS(приходи!$L:$L,приходи!$E:$E,'ПП Юли'!$C$22,приходи!$M:$M,'ПП Юли'!J2)</f>
        <v>0</v>
      </c>
      <c r="K22" s="76">
        <f>SUMIFS(приходи!$L:$L,приходи!$E:$E,'ПП Юли'!$C$22,приходи!$M:$M,'ПП Юли'!K2)</f>
        <v>0</v>
      </c>
      <c r="L22" s="74">
        <f>SUMIFS(приходи!$L:$L,приходи!$E:$E,'ПП Юли'!$C$22,приходи!$M:$M,'ПП Юли'!L2)</f>
        <v>0</v>
      </c>
      <c r="M22" s="74">
        <f>SUMIFS(приходи!$L:$L,приходи!$E:$E,'ПП Юли'!$C$22,приходи!$M:$M,'ПП Юли'!M2)</f>
        <v>0</v>
      </c>
      <c r="N22" s="74">
        <f>SUMIFS(приходи!$L:$L,приходи!$E:$E,'ПП Юли'!$C$22,приходи!$M:$M,'ПП Юли'!N2)</f>
        <v>0</v>
      </c>
      <c r="O22" s="74">
        <f>SUMIFS(приходи!$L:$L,приходи!$E:$E,'ПП Юли'!$C$22,приходи!$M:$M,'ПП Юли'!O2)</f>
        <v>0</v>
      </c>
      <c r="P22" s="74">
        <f>SUMIFS(приходи!$L:$L,приходи!$E:$E,'ПП Юли'!$C$22,приходи!$M:$M,'ПП Юли'!P2)</f>
        <v>0</v>
      </c>
      <c r="Q22" s="76">
        <f>SUMIFS(приходи!$L:$L,приходи!$E:$E,'ПП Юли'!$C$22,приходи!$M:$M,'ПП Юли'!Q2)</f>
        <v>0</v>
      </c>
      <c r="R22" s="76">
        <f>SUMIFS(приходи!$L:$L,приходи!$E:$E,'ПП Юли'!$C$22,приходи!$M:$M,'ПП Юли'!R2)</f>
        <v>0</v>
      </c>
      <c r="S22" s="74">
        <f>SUMIFS(приходи!$L:$L,приходи!$E:$E,'ПП Юли'!$C$22,приходи!$M:$M,'ПП Юли'!S2)</f>
        <v>0</v>
      </c>
      <c r="T22" s="74">
        <f>SUMIFS(приходи!$L:$L,приходи!$E:$E,'ПП Юли'!$C$22,приходи!$M:$M,'ПП Юли'!T2)</f>
        <v>0</v>
      </c>
      <c r="U22" s="74">
        <f>SUMIFS(приходи!$L:$L,приходи!$E:$E,'ПП Юли'!$C$22,приходи!$M:$M,'ПП Юли'!U2)</f>
        <v>0</v>
      </c>
      <c r="V22" s="74">
        <f>SUMIFS(приходи!$L:$L,приходи!$E:$E,'ПП Юли'!$C$22,приходи!$M:$M,'ПП Юли'!V2)</f>
        <v>0</v>
      </c>
      <c r="W22" s="74">
        <f>SUMIFS(приходи!$L:$L,приходи!$E:$E,'ПП Юли'!$C$22,приходи!$M:$M,'ПП Юли'!W2)</f>
        <v>0</v>
      </c>
      <c r="X22" s="76">
        <f>SUMIFS(приходи!$L:$L,приходи!$E:$E,'ПП Юли'!$C$22,приходи!$M:$M,'ПП Юли'!X2)</f>
        <v>0</v>
      </c>
      <c r="Y22" s="76">
        <f>SUMIFS(приходи!$L:$L,приходи!$E:$E,'ПП Юли'!$C$22,приходи!$M:$M,'ПП Юли'!Y2)</f>
        <v>0</v>
      </c>
      <c r="Z22" s="74">
        <f>SUMIFS(приходи!$L:$L,приходи!$E:$E,'ПП Юли'!$C$22,приходи!$M:$M,'ПП Юли'!Z2)</f>
        <v>0</v>
      </c>
      <c r="AA22" s="74">
        <f>SUMIFS(приходи!$L:$L,приходи!$E:$E,'ПП Юли'!$C$22,приходи!$M:$M,'ПП Юли'!AA2)</f>
        <v>0</v>
      </c>
      <c r="AB22" s="74">
        <f>SUMIFS(приходи!$L:$L,приходи!$E:$E,'ПП Юли'!$C$22,приходи!$M:$M,'ПП Юли'!AB2)</f>
        <v>0</v>
      </c>
      <c r="AC22" s="74">
        <f>SUMIFS(приходи!$L:$L,приходи!$E:$E,'ПП Юли'!$C$22,приходи!$M:$M,'ПП Юли'!AC2)</f>
        <v>0</v>
      </c>
      <c r="AD22" s="74">
        <f>SUMIFS(приходи!$L:$L,приходи!$E:$E,'ПП Юли'!$C$22,приходи!$M:$M,'ПП Юли'!AD2)</f>
        <v>0</v>
      </c>
      <c r="AE22" s="76">
        <f>SUMIFS(приходи!$L:$L,приходи!$E:$E,'ПП Юли'!$C$22,приходи!$M:$M,'ПП Юли'!AE2)</f>
        <v>0</v>
      </c>
      <c r="AF22" s="76">
        <f>SUMIFS(приходи!$L:$L,приходи!$E:$E,'ПП Юли'!$C$22,приходи!$M:$M,'ПП Юли'!AF2)</f>
        <v>0</v>
      </c>
      <c r="AG22" s="74">
        <f>SUMIFS(приходи!$L:$L,приходи!$E:$E,'ПП Юли'!$C$22,приходи!$M:$M,'ПП Юли'!AG2)</f>
        <v>0</v>
      </c>
      <c r="AH22" s="74">
        <f>SUMIFS(приходи!$L:$L,приходи!$E:$E,'ПП Юли'!$C$22,приходи!$M:$M,'ПП Юли'!AH2)</f>
        <v>0</v>
      </c>
      <c r="AI22" s="74">
        <f>SUMIFS(приходи!$L:$L,приходи!$E:$E,'ПП Юли'!$C$22,приходи!$M:$M,'ПП Юли'!AI2)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AI23" si="11">SUM(D24,D29,D36,D41,D42)</f>
        <v>7071432.5928076003</v>
      </c>
      <c r="E23" s="54">
        <f t="shared" si="11"/>
        <v>92672.05419848999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301194</v>
      </c>
      <c r="M23" s="54">
        <f t="shared" si="11"/>
        <v>295063.34671900002</v>
      </c>
      <c r="N23" s="54">
        <f t="shared" si="11"/>
        <v>157019.840037774</v>
      </c>
      <c r="O23" s="54">
        <f t="shared" si="11"/>
        <v>1166402.2892795</v>
      </c>
      <c r="P23" s="54">
        <f t="shared" si="11"/>
        <v>1385536.9839999999</v>
      </c>
      <c r="Q23" s="54">
        <f t="shared" si="11"/>
        <v>0</v>
      </c>
      <c r="R23" s="54">
        <f t="shared" si="11"/>
        <v>0</v>
      </c>
      <c r="S23" s="54">
        <f t="shared" si="11"/>
        <v>80902.356034900004</v>
      </c>
      <c r="T23" s="54">
        <f t="shared" si="11"/>
        <v>146430.27460109998</v>
      </c>
      <c r="U23" s="54">
        <f t="shared" si="11"/>
        <v>144634.79</v>
      </c>
      <c r="V23" s="54">
        <f t="shared" si="11"/>
        <v>164789.41</v>
      </c>
      <c r="W23" s="54">
        <f t="shared" si="11"/>
        <v>57348</v>
      </c>
      <c r="X23" s="54">
        <f t="shared" si="11"/>
        <v>0</v>
      </c>
      <c r="Y23" s="54">
        <f t="shared" si="11"/>
        <v>0</v>
      </c>
      <c r="Z23" s="54">
        <f t="shared" si="11"/>
        <v>59138.950000000004</v>
      </c>
      <c r="AA23" s="54">
        <f t="shared" si="11"/>
        <v>134314.99495900099</v>
      </c>
      <c r="AB23" s="54">
        <f t="shared" si="11"/>
        <v>3424802.3539999994</v>
      </c>
      <c r="AC23" s="54">
        <f t="shared" si="11"/>
        <v>304658.01</v>
      </c>
      <c r="AD23" s="54">
        <f t="shared" si="11"/>
        <v>862654.22</v>
      </c>
      <c r="AE23" s="54">
        <f t="shared" si="11"/>
        <v>0</v>
      </c>
      <c r="AF23" s="54">
        <f t="shared" si="11"/>
        <v>0</v>
      </c>
      <c r="AG23" s="54">
        <f t="shared" si="11"/>
        <v>103839.56600000001</v>
      </c>
      <c r="AH23" s="54">
        <f t="shared" si="11"/>
        <v>776241.85</v>
      </c>
      <c r="AI23" s="54">
        <f t="shared" si="11"/>
        <v>94575.540000000008</v>
      </c>
      <c r="AJ23" s="54">
        <f t="shared" si="2"/>
        <v>9752218.8298297636</v>
      </c>
      <c r="AK23" s="54">
        <f t="shared" si="3"/>
        <v>-2680786.2370221633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6587769.2758099996</v>
      </c>
      <c r="E24" s="73">
        <f t="shared" ref="E24:AI24" si="13">SUM(E25:E28)</f>
        <v>92672.05419848999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0</v>
      </c>
      <c r="J24" s="77">
        <f t="shared" si="13"/>
        <v>0</v>
      </c>
      <c r="K24" s="77">
        <f t="shared" si="13"/>
        <v>0</v>
      </c>
      <c r="L24" s="73">
        <f t="shared" si="13"/>
        <v>301194</v>
      </c>
      <c r="M24" s="73">
        <f t="shared" si="13"/>
        <v>90400.632362999997</v>
      </c>
      <c r="N24" s="73">
        <f t="shared" si="13"/>
        <v>157019.840037774</v>
      </c>
      <c r="O24" s="73">
        <f t="shared" si="13"/>
        <v>940424.13327949983</v>
      </c>
      <c r="P24" s="73">
        <f t="shared" si="13"/>
        <v>1385536.9839999999</v>
      </c>
      <c r="Q24" s="77">
        <f t="shared" si="13"/>
        <v>0</v>
      </c>
      <c r="R24" s="77">
        <f t="shared" si="13"/>
        <v>0</v>
      </c>
      <c r="S24" s="73">
        <f t="shared" si="13"/>
        <v>79564.923174900003</v>
      </c>
      <c r="T24" s="73">
        <f t="shared" si="13"/>
        <v>146123.25460109999</v>
      </c>
      <c r="U24" s="73">
        <f t="shared" si="13"/>
        <v>144634.79</v>
      </c>
      <c r="V24" s="73">
        <f t="shared" si="13"/>
        <v>163733.41</v>
      </c>
      <c r="W24" s="73">
        <f t="shared" si="13"/>
        <v>57348</v>
      </c>
      <c r="X24" s="77">
        <f t="shared" si="13"/>
        <v>0</v>
      </c>
      <c r="Y24" s="77">
        <f t="shared" si="13"/>
        <v>0</v>
      </c>
      <c r="Z24" s="73">
        <f t="shared" si="13"/>
        <v>59138.950000000004</v>
      </c>
      <c r="AA24" s="73">
        <f t="shared" si="13"/>
        <v>122104.16495900099</v>
      </c>
      <c r="AB24" s="73">
        <f t="shared" si="13"/>
        <v>3424802.3539999994</v>
      </c>
      <c r="AC24" s="73">
        <f t="shared" si="13"/>
        <v>304658.01</v>
      </c>
      <c r="AD24" s="73">
        <f t="shared" si="13"/>
        <v>862654.22</v>
      </c>
      <c r="AE24" s="77">
        <f t="shared" si="13"/>
        <v>0</v>
      </c>
      <c r="AF24" s="77">
        <f t="shared" si="13"/>
        <v>0</v>
      </c>
      <c r="AG24" s="73">
        <f t="shared" si="13"/>
        <v>94663.55</v>
      </c>
      <c r="AH24" s="73">
        <f t="shared" si="13"/>
        <v>776241.85</v>
      </c>
      <c r="AI24" s="73">
        <f t="shared" si="13"/>
        <v>94575.540000000008</v>
      </c>
      <c r="AJ24" s="61">
        <f t="shared" si="2"/>
        <v>9297490.6606137622</v>
      </c>
      <c r="AK24" s="58">
        <f t="shared" si="3"/>
        <v>-2709721.3848037627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>
        <v>11368856.242799999</v>
      </c>
      <c r="E25" s="75"/>
      <c r="F25" s="75"/>
      <c r="G25" s="75"/>
      <c r="H25" s="75"/>
      <c r="I25" s="75"/>
      <c r="J25" s="78"/>
      <c r="K25" s="78"/>
      <c r="L25" s="75"/>
      <c r="M25" s="75"/>
      <c r="N25" s="75"/>
      <c r="O25" s="75"/>
      <c r="P25" s="75"/>
      <c r="Q25" s="78"/>
      <c r="R25" s="78"/>
      <c r="S25" s="75"/>
      <c r="T25" s="75"/>
      <c r="U25" s="75"/>
      <c r="V25" s="75"/>
      <c r="W25" s="75"/>
      <c r="X25" s="78"/>
      <c r="Y25" s="78"/>
      <c r="Z25" s="75"/>
      <c r="AA25" s="75"/>
      <c r="AB25" s="75"/>
      <c r="AC25" s="75"/>
      <c r="AD25" s="75"/>
      <c r="AE25" s="78"/>
      <c r="AF25" s="78"/>
      <c r="AG25" s="75"/>
      <c r="AH25" s="75"/>
      <c r="AI25" s="75"/>
      <c r="AJ25" s="66">
        <f t="shared" si="2"/>
        <v>0</v>
      </c>
      <c r="AK25" s="67">
        <f t="shared" si="3"/>
        <v>11368856.242799999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v>5508174.8758100001</v>
      </c>
      <c r="E26" s="74">
        <f>SUMIFS(разходи!$L:$L,разходи!$E:$E,'ПП Юли'!$C$26,разходи!$M:$M,'ПП Юли'!E2)</f>
        <v>0</v>
      </c>
      <c r="F26" s="74">
        <f>SUMIFS(разходи!$L:$L,разходи!$E:$E,'ПП Юли'!$C$26,разходи!$M:$M,'ПП Юли'!F2)</f>
        <v>0</v>
      </c>
      <c r="G26" s="74">
        <f>SUMIFS(разходи!$L:$L,разходи!$E:$E,'ПП Юли'!$C$26,разходи!$M:$M,'ПП Юли'!G2)</f>
        <v>0</v>
      </c>
      <c r="H26" s="74">
        <f>SUMIFS(разходи!$L:$L,разходи!$E:$E,'ПП Юли'!$C$26,разходи!$M:$M,'ПП Юли'!H2)</f>
        <v>0</v>
      </c>
      <c r="I26" s="74">
        <f>SUMIFS(разходи!$L:$L,разходи!$E:$E,'ПП Юли'!$C$26,разходи!$M:$M,'ПП Юли'!I2)</f>
        <v>0</v>
      </c>
      <c r="J26" s="76">
        <f>SUMIFS(разходи!$L:$L,разходи!$E:$E,'ПП Юли'!$C$26,разходи!$M:$M,'ПП Юли'!J2)</f>
        <v>0</v>
      </c>
      <c r="K26" s="76">
        <f>SUMIFS(разходи!$L:$L,разходи!$E:$E,'ПП Юли'!$C$26,разходи!$M:$M,'ПП Юли'!K2)</f>
        <v>0</v>
      </c>
      <c r="L26" s="74">
        <f>SUMIFS(разходи!$L:$L,разходи!$E:$E,'ПП Юли'!$C$26,разходи!$M:$M,'ПП Юли'!L2)</f>
        <v>0</v>
      </c>
      <c r="M26" s="74">
        <f>SUMIFS(разходи!$L:$L,разходи!$E:$E,'ПП Юли'!$C$26,разходи!$M:$M,'ПП Юли'!M2)</f>
        <v>0</v>
      </c>
      <c r="N26" s="74">
        <f>SUMIFS(разходи!$L:$L,разходи!$E:$E,'ПП Юли'!$C$26,разходи!$M:$M,'ПП Юли'!N2)</f>
        <v>0</v>
      </c>
      <c r="O26" s="74">
        <f>SUMIFS(разходи!$L:$L,разходи!$E:$E,'ПП Юли'!$C$26,разходи!$M:$M,'ПП Юли'!O2)</f>
        <v>529433.46899999992</v>
      </c>
      <c r="P26" s="74">
        <f>SUMIFS(разходи!$L:$L,разходи!$E:$E,'ПП Юли'!$C$26,разходи!$M:$M,'ПП Юли'!P2)</f>
        <v>1319850.1839999999</v>
      </c>
      <c r="Q26" s="76">
        <f>SUMIFS(разходи!$L:$L,разходи!$E:$E,'ПП Юли'!$C$26,разходи!$M:$M,'ПП Юли'!Q2)</f>
        <v>0</v>
      </c>
      <c r="R26" s="76">
        <f>SUMIFS(разходи!$L:$L,разходи!$E:$E,'ПП Юли'!$C$26,разходи!$M:$M,'ПП Юли'!R2)</f>
        <v>0</v>
      </c>
      <c r="S26" s="74">
        <f>SUMIFS(разходи!$L:$L,разходи!$E:$E,'ПП Юли'!$C$26,разходи!$M:$M,'ПП Юли'!S2)</f>
        <v>0</v>
      </c>
      <c r="T26" s="74">
        <f>SUMIFS(разходи!$L:$L,разходи!$E:$E,'ПП Юли'!$C$26,разходи!$M:$M,'ПП Юли'!T2)</f>
        <v>0</v>
      </c>
      <c r="U26" s="74">
        <f>SUMIFS(разходи!$L:$L,разходи!$E:$E,'ПП Юли'!$C$26,разходи!$M:$M,'ПП Юли'!U2)</f>
        <v>0</v>
      </c>
      <c r="V26" s="74">
        <f>SUMIFS(разходи!$L:$L,разходи!$E:$E,'ПП Юли'!$C$26,разходи!$M:$M,'ПП Юли'!V2)</f>
        <v>0</v>
      </c>
      <c r="W26" s="74">
        <f>SUMIFS(разходи!$L:$L,разходи!$E:$E,'ПП Юли'!$C$26,разходи!$M:$M,'ПП Юли'!W2)</f>
        <v>0</v>
      </c>
      <c r="X26" s="76">
        <f>SUMIFS(разходи!$L:$L,разходи!$E:$E,'ПП Юли'!$C$26,разходи!$M:$M,'ПП Юли'!X2)</f>
        <v>0</v>
      </c>
      <c r="Y26" s="76">
        <f>SUMIFS(разходи!$L:$L,разходи!$E:$E,'ПП Юли'!$C$26,разходи!$M:$M,'ПП Юли'!Y2)</f>
        <v>0</v>
      </c>
      <c r="Z26" s="74">
        <f>SUMIFS(разходи!$L:$L,разходи!$E:$E,'ПП Юли'!$C$26,разходи!$M:$M,'ПП Юли'!Z2)</f>
        <v>0</v>
      </c>
      <c r="AA26" s="74">
        <f>SUMIFS(разходи!$L:$L,разходи!$E:$E,'ПП Юли'!$C$26,разходи!$M:$M,'ПП Юли'!AA2)</f>
        <v>0</v>
      </c>
      <c r="AB26" s="74">
        <f>SUMIFS(разходи!$L:$L,разходи!$E:$E,'ПП Юли'!$C$26,разходи!$M:$M,'ПП Юли'!AB2)</f>
        <v>3190325.0199999996</v>
      </c>
      <c r="AC26" s="74">
        <f>SUMIFS(разходи!$L:$L,разходи!$E:$E,'ПП Юли'!$C$26,разходи!$M:$M,'ПП Юли'!AC2)</f>
        <v>0</v>
      </c>
      <c r="AD26" s="74">
        <f>SUMIFS(разходи!$L:$L,разходи!$E:$E,'ПП Юли'!$C$26,разходи!$M:$M,'ПП Юли'!AD2)</f>
        <v>670737.02</v>
      </c>
      <c r="AE26" s="76">
        <f>SUMIFS(разходи!$L:$L,разходи!$E:$E,'ПП Юли'!$C$26,разходи!$M:$M,'ПП Юли'!AE2)</f>
        <v>0</v>
      </c>
      <c r="AF26" s="76">
        <f>SUMIFS(разходи!$L:$L,разходи!$E:$E,'ПП Юли'!$C$26,разходи!$M:$M,'ПП Юли'!AF2)</f>
        <v>0</v>
      </c>
      <c r="AG26" s="74">
        <f>SUMIFS(разходи!$L:$L,разходи!$E:$E,'ПП Юли'!$C$26,разходи!$M:$M,'ПП Юли'!AG2)</f>
        <v>0</v>
      </c>
      <c r="AH26" s="74">
        <f>SUMIFS(разходи!$L:$L,разходи!$E:$E,'ПП Юли'!$C$26,разходи!$M:$M,'ПП Юли'!AH2)</f>
        <v>703485.48</v>
      </c>
      <c r="AI26" s="74">
        <f>SUMIFS(разходи!$L:$L,разходи!$E:$E,'ПП Юли'!$C$26,разходи!$M:$M,'ПП Юли'!AI2)</f>
        <v>0</v>
      </c>
      <c r="AJ26" s="61">
        <f t="shared" si="2"/>
        <v>6413831.1730000004</v>
      </c>
      <c r="AK26" s="69">
        <f t="shared" si="3"/>
        <v>-905656.2971900003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1065556.8</v>
      </c>
      <c r="E27" s="74">
        <f>SUMIFS(разходи!$L:$L,разходи!$E:$E,'ПП Юли'!$C$27,разходи!$M:$M,'ПП Юли'!E2)</f>
        <v>92672.05419848999</v>
      </c>
      <c r="F27" s="74">
        <f>SUMIFS(разходи!$L:$L,разходи!$E:$E,'ПП Юли'!$C$27,разходи!$M:$M,'ПП Юли'!F2)</f>
        <v>0</v>
      </c>
      <c r="G27" s="74">
        <f>SUMIFS(разходи!$L:$L,разходи!$E:$E,'ПП Юли'!$C$27,разходи!$M:$M,'ПП Юли'!G2)</f>
        <v>0</v>
      </c>
      <c r="H27" s="74">
        <f>SUMIFS(разходи!$L:$L,разходи!$E:$E,'ПП Юли'!$C$27,разходи!$M:$M,'ПП Юли'!H2)</f>
        <v>0</v>
      </c>
      <c r="I27" s="74">
        <f>SUMIFS(разходи!$L:$L,разходи!$E:$E,'ПП Юли'!$C$27,разходи!$M:$M,'ПП Юли'!I2)</f>
        <v>0</v>
      </c>
      <c r="J27" s="76">
        <f>SUMIFS(разходи!$L:$L,разходи!$E:$E,'ПП Юли'!$C$27,разходи!$M:$M,'ПП Юли'!J2)</f>
        <v>0</v>
      </c>
      <c r="K27" s="76">
        <f>SUMIFS(разходи!$L:$L,разходи!$E:$E,'ПП Юли'!$C$27,разходи!$M:$M,'ПП Юли'!K2)</f>
        <v>0</v>
      </c>
      <c r="L27" s="74">
        <f>SUMIFS(разходи!$L:$L,разходи!$E:$E,'ПП Юли'!$C$27,разходи!$M:$M,'ПП Юли'!L2)</f>
        <v>301194</v>
      </c>
      <c r="M27" s="74">
        <f>SUMIFS(разходи!$L:$L,разходи!$E:$E,'ПП Юли'!$C$27,разходи!$M:$M,'ПП Юли'!M2)</f>
        <v>90400.632362999997</v>
      </c>
      <c r="N27" s="74">
        <f>SUMIFS(разходи!$L:$L,разходи!$E:$E,'ПП Юли'!$C$27,разходи!$M:$M,'ПП Юли'!N2)</f>
        <v>157019.840037774</v>
      </c>
      <c r="O27" s="74">
        <f>SUMIFS(разходи!$L:$L,разходи!$E:$E,'ПП Юли'!$C$27,разходи!$M:$M,'ПП Юли'!O2)</f>
        <v>410990.66427949996</v>
      </c>
      <c r="P27" s="74">
        <f>SUMIFS(разходи!$L:$L,разходи!$E:$E,'ПП Юли'!$C$27,разходи!$M:$M,'ПП Юли'!P2)</f>
        <v>65686.8</v>
      </c>
      <c r="Q27" s="76">
        <f>SUMIFS(разходи!$L:$L,разходи!$E:$E,'ПП Юли'!$C$27,разходи!$M:$M,'ПП Юли'!Q2)</f>
        <v>0</v>
      </c>
      <c r="R27" s="76">
        <f>SUMIFS(разходи!$L:$L,разходи!$E:$E,'ПП Юли'!$C$27,разходи!$M:$M,'ПП Юли'!R2)</f>
        <v>0</v>
      </c>
      <c r="S27" s="74">
        <f>SUMIFS(разходи!$L:$L,разходи!$E:$E,'ПП Юли'!$C$27,разходи!$M:$M,'ПП Юли'!S2)</f>
        <v>79564.923174900003</v>
      </c>
      <c r="T27" s="74">
        <f>SUMIFS(разходи!$L:$L,разходи!$E:$E,'ПП Юли'!$C$27,разходи!$M:$M,'ПП Юли'!T2)</f>
        <v>146123.25460109999</v>
      </c>
      <c r="U27" s="74">
        <f>SUMIFS(разходи!$L:$L,разходи!$E:$E,'ПП Юли'!$C$27,разходи!$M:$M,'ПП Юли'!U2)</f>
        <v>144634.79</v>
      </c>
      <c r="V27" s="74">
        <f>SUMIFS(разходи!$L:$L,разходи!$E:$E,'ПП Юли'!$C$27,разходи!$M:$M,'ПП Юли'!V2)</f>
        <v>163733.41</v>
      </c>
      <c r="W27" s="74">
        <f>SUMIFS(разходи!$L:$L,разходи!$E:$E,'ПП Юли'!$C$27,разходи!$M:$M,'ПП Юли'!W2)</f>
        <v>57348</v>
      </c>
      <c r="X27" s="76">
        <f>SUMIFS(разходи!$L:$L,разходи!$E:$E,'ПП Юли'!$C$27,разходи!$M:$M,'ПП Юли'!X2)</f>
        <v>0</v>
      </c>
      <c r="Y27" s="76">
        <f>SUMIFS(разходи!$L:$L,разходи!$E:$E,'ПП Юли'!$C$27,разходи!$M:$M,'ПП Юли'!Y2)</f>
        <v>0</v>
      </c>
      <c r="Z27" s="74">
        <f>SUMIFS(разходи!$L:$L,разходи!$E:$E,'ПП Юли'!$C$27,разходи!$M:$M,'ПП Юли'!Z2)</f>
        <v>59138.950000000004</v>
      </c>
      <c r="AA27" s="74">
        <f>SUMIFS(разходи!$L:$L,разходи!$E:$E,'ПП Юли'!$C$27,разходи!$M:$M,'ПП Юли'!AA2)</f>
        <v>122104.16495900099</v>
      </c>
      <c r="AB27" s="74">
        <f>SUMIFS(разходи!$L:$L,разходи!$E:$E,'ПП Юли'!$C$27,разходи!$M:$M,'ПП Юли'!AB2)</f>
        <v>99101.29</v>
      </c>
      <c r="AC27" s="74">
        <f>SUMIFS(разходи!$L:$L,разходи!$E:$E,'ПП Юли'!$C$27,разходи!$M:$M,'ПП Юли'!AC2)</f>
        <v>304658.01</v>
      </c>
      <c r="AD27" s="74">
        <f>SUMIFS(разходи!$L:$L,разходи!$E:$E,'ПП Юли'!$C$27,разходи!$M:$M,'ПП Юли'!AD2)</f>
        <v>191917.2</v>
      </c>
      <c r="AE27" s="76">
        <f>SUMIFS(разходи!$L:$L,разходи!$E:$E,'ПП Юли'!$C$27,разходи!$M:$M,'ПП Юли'!AE2)</f>
        <v>0</v>
      </c>
      <c r="AF27" s="76">
        <f>SUMIFS(разходи!$L:$L,разходи!$E:$E,'ПП Юли'!$C$27,разходи!$M:$M,'ПП Юли'!AF2)</f>
        <v>0</v>
      </c>
      <c r="AG27" s="74">
        <f>SUMIFS(разходи!$L:$L,разходи!$E:$E,'ПП Юли'!$C$27,разходи!$M:$M,'ПП Юли'!AG2)</f>
        <v>94663.55</v>
      </c>
      <c r="AH27" s="74">
        <f>SUMIFS(разходи!$L:$L,разходи!$E:$E,'ПП Юли'!$C$27,разходи!$M:$M,'ПП Юли'!AH2)</f>
        <v>72756.37</v>
      </c>
      <c r="AI27" s="74">
        <f>SUMIFS(разходи!$L:$L,разходи!$E:$E,'ПП Юли'!$C$27,разходи!$M:$M,'ПП Юли'!AI2)</f>
        <v>94575.540000000008</v>
      </c>
      <c r="AJ27" s="61">
        <f t="shared" si="2"/>
        <v>2748283.4436137648</v>
      </c>
      <c r="AK27" s="69">
        <f t="shared" si="3"/>
        <v>-1682726.6436137648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>
        <v>14037.6</v>
      </c>
      <c r="E28" s="74">
        <f>SUMIFS(разходи!$L:$L,разходи!$E:$E,'ПП Юли'!$C$28,разходи!$M:$M,'ПП Юли'!E2)</f>
        <v>0</v>
      </c>
      <c r="F28" s="74">
        <f>SUMIFS(разходи!$L:$L,разходи!$E:$E,'ПП Юли'!$C$28,разходи!$M:$M,'ПП Юли'!F2)</f>
        <v>0</v>
      </c>
      <c r="G28" s="74">
        <f>SUMIFS(разходи!$L:$L,разходи!$E:$E,'ПП Юли'!$C$28,разходи!$M:$M,'ПП Юли'!G2)</f>
        <v>0</v>
      </c>
      <c r="H28" s="74">
        <f>SUMIFS(разходи!$L:$L,разходи!$E:$E,'ПП Юли'!$C$28,разходи!$M:$M,'ПП Юли'!H2)</f>
        <v>0</v>
      </c>
      <c r="I28" s="74">
        <f>SUMIFS(разходи!$L:$L,разходи!$E:$E,'ПП Юли'!$C$28,разходи!$M:$M,'ПП Юли'!I2)</f>
        <v>0</v>
      </c>
      <c r="J28" s="76">
        <f>SUMIFS(разходи!$L:$L,разходи!$E:$E,'ПП Юли'!$C$28,разходи!$M:$M,'ПП Юли'!J2)</f>
        <v>0</v>
      </c>
      <c r="K28" s="76">
        <f>SUMIFS(разходи!$L:$L,разходи!$E:$E,'ПП Юли'!$C$28,разходи!$M:$M,'ПП Юли'!K2)</f>
        <v>0</v>
      </c>
      <c r="L28" s="74">
        <f>SUMIFS(разходи!$L:$L,разходи!$E:$E,'ПП Юли'!$C$28,разходи!$M:$M,'ПП Юли'!L2)</f>
        <v>0</v>
      </c>
      <c r="M28" s="74">
        <f>SUMIFS(разходи!$L:$L,разходи!$E:$E,'ПП Юли'!$C$28,разходи!$M:$M,'ПП Юли'!M2)</f>
        <v>0</v>
      </c>
      <c r="N28" s="74">
        <f>SUMIFS(разходи!$L:$L,разходи!$E:$E,'ПП Юли'!$C$28,разходи!$M:$M,'ПП Юли'!N2)</f>
        <v>0</v>
      </c>
      <c r="O28" s="74">
        <f>SUMIFS(разходи!$L:$L,разходи!$E:$E,'ПП Юли'!$C$28,разходи!$M:$M,'ПП Юли'!O2)</f>
        <v>0</v>
      </c>
      <c r="P28" s="74">
        <f>SUMIFS(разходи!$L:$L,разходи!$E:$E,'ПП Юли'!$C$28,разходи!$M:$M,'ПП Юли'!P2)</f>
        <v>0</v>
      </c>
      <c r="Q28" s="76">
        <f>SUMIFS(разходи!$L:$L,разходи!$E:$E,'ПП Юли'!$C$28,разходи!$M:$M,'ПП Юли'!Q2)</f>
        <v>0</v>
      </c>
      <c r="R28" s="76">
        <f>SUMIFS(разходи!$L:$L,разходи!$E:$E,'ПП Юли'!$C$28,разходи!$M:$M,'ПП Юли'!R2)</f>
        <v>0</v>
      </c>
      <c r="S28" s="74">
        <f>SUMIFS(разходи!$L:$L,разходи!$E:$E,'ПП Юли'!$C$28,разходи!$M:$M,'ПП Юли'!S2)</f>
        <v>0</v>
      </c>
      <c r="T28" s="74">
        <f>SUMIFS(разходи!$L:$L,разходи!$E:$E,'ПП Юли'!$C$28,разходи!$M:$M,'ПП Юли'!T2)</f>
        <v>0</v>
      </c>
      <c r="U28" s="74">
        <f>SUMIFS(разходи!$L:$L,разходи!$E:$E,'ПП Юли'!$C$28,разходи!$M:$M,'ПП Юли'!U2)</f>
        <v>0</v>
      </c>
      <c r="V28" s="74">
        <f>SUMIFS(разходи!$L:$L,разходи!$E:$E,'ПП Юли'!$C$28,разходи!$M:$M,'ПП Юли'!V2)</f>
        <v>0</v>
      </c>
      <c r="W28" s="74">
        <f>SUMIFS(разходи!$L:$L,разходи!$E:$E,'ПП Юли'!$C$28,разходи!$M:$M,'ПП Юли'!W2)</f>
        <v>0</v>
      </c>
      <c r="X28" s="76">
        <f>SUMIFS(разходи!$L:$L,разходи!$E:$E,'ПП Юли'!$C$28,разходи!$M:$M,'ПП Юли'!X2)</f>
        <v>0</v>
      </c>
      <c r="Y28" s="76">
        <f>SUMIFS(разходи!$L:$L,разходи!$E:$E,'ПП Юли'!$C$28,разходи!$M:$M,'ПП Юли'!Y2)</f>
        <v>0</v>
      </c>
      <c r="Z28" s="74">
        <f>SUMIFS(разходи!$L:$L,разходи!$E:$E,'ПП Юли'!$C$28,разходи!$M:$M,'ПП Юли'!Z2)</f>
        <v>0</v>
      </c>
      <c r="AA28" s="74">
        <f>SUMIFS(разходи!$L:$L,разходи!$E:$E,'ПП Юли'!$C$28,разходи!$M:$M,'ПП Юли'!AA2)</f>
        <v>0</v>
      </c>
      <c r="AB28" s="74">
        <f>SUMIFS(разходи!$L:$L,разходи!$E:$E,'ПП Юли'!$C$28,разходи!$M:$M,'ПП Юли'!AB2)</f>
        <v>135376.04399999999</v>
      </c>
      <c r="AC28" s="74">
        <f>SUMIFS(разходи!$L:$L,разходи!$E:$E,'ПП Юли'!$C$28,разходи!$M:$M,'ПП Юли'!AC2)</f>
        <v>0</v>
      </c>
      <c r="AD28" s="74">
        <f>SUMIFS(разходи!$L:$L,разходи!$E:$E,'ПП Юли'!$C$28,разходи!$M:$M,'ПП Юли'!AD2)</f>
        <v>0</v>
      </c>
      <c r="AE28" s="76">
        <f>SUMIFS(разходи!$L:$L,разходи!$E:$E,'ПП Юли'!$C$28,разходи!$M:$M,'ПП Юли'!AE2)</f>
        <v>0</v>
      </c>
      <c r="AF28" s="76">
        <f>SUMIFS(разходи!$L:$L,разходи!$E:$E,'ПП Юли'!$C$28,разходи!$M:$M,'ПП Юли'!AF2)</f>
        <v>0</v>
      </c>
      <c r="AG28" s="74">
        <f>SUMIFS(разходи!$L:$L,разходи!$E:$E,'ПП Юли'!$C$28,разходи!$M:$M,'ПП Юли'!AG2)</f>
        <v>0</v>
      </c>
      <c r="AH28" s="74">
        <f>SUMIFS(разходи!$L:$L,разходи!$E:$E,'ПП Юли'!$C$28,разходи!$M:$M,'ПП Юли'!AH2)</f>
        <v>0</v>
      </c>
      <c r="AI28" s="74">
        <f>SUMIFS(разходи!$L:$L,разходи!$E:$E,'ПП Юли'!$C$28,разходи!$M:$M,'ПП Юли'!AI2)</f>
        <v>0</v>
      </c>
      <c r="AJ28" s="61">
        <f t="shared" si="2"/>
        <v>135376.04399999999</v>
      </c>
      <c r="AK28" s="69">
        <f t="shared" si="3"/>
        <v>-121338.44399999999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199832.69550800003</v>
      </c>
      <c r="E29" s="74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6">
        <f t="shared" si="15"/>
        <v>0</v>
      </c>
      <c r="K29" s="76">
        <f t="shared" si="15"/>
        <v>0</v>
      </c>
      <c r="L29" s="74">
        <f t="shared" si="15"/>
        <v>0</v>
      </c>
      <c r="M29" s="74">
        <f t="shared" si="15"/>
        <v>162934.78691600001</v>
      </c>
      <c r="N29" s="74">
        <f t="shared" si="15"/>
        <v>0</v>
      </c>
      <c r="O29" s="74">
        <f t="shared" si="15"/>
        <v>197131.16399999999</v>
      </c>
      <c r="P29" s="74">
        <f t="shared" si="15"/>
        <v>0</v>
      </c>
      <c r="Q29" s="76">
        <f t="shared" si="15"/>
        <v>0</v>
      </c>
      <c r="R29" s="76">
        <f t="shared" si="15"/>
        <v>0</v>
      </c>
      <c r="S29" s="74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6">
        <f t="shared" si="15"/>
        <v>0</v>
      </c>
      <c r="Y29" s="76">
        <f t="shared" si="15"/>
        <v>0</v>
      </c>
      <c r="Z29" s="74">
        <f t="shared" si="15"/>
        <v>0</v>
      </c>
      <c r="AA29" s="74">
        <f t="shared" si="15"/>
        <v>0</v>
      </c>
      <c r="AB29" s="74">
        <f t="shared" si="15"/>
        <v>0</v>
      </c>
      <c r="AC29" s="74">
        <f t="shared" si="15"/>
        <v>0</v>
      </c>
      <c r="AD29" s="74">
        <f t="shared" si="15"/>
        <v>0</v>
      </c>
      <c r="AE29" s="76">
        <f t="shared" si="15"/>
        <v>0</v>
      </c>
      <c r="AF29" s="76">
        <f t="shared" si="15"/>
        <v>0</v>
      </c>
      <c r="AG29" s="74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360065.950916</v>
      </c>
      <c r="AK29" s="62">
        <f t="shared" si="3"/>
        <v>-160233.25540799997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>
        <v>197376.24750800003</v>
      </c>
      <c r="E30" s="74">
        <f>SUMIFS(разходи!$L:$L,разходи!$E:$E,'ПП Юли'!$C$30,разходи!$M:$M,'ПП Юли'!E2)</f>
        <v>0</v>
      </c>
      <c r="F30" s="74">
        <f>SUMIFS(разходи!$L:$L,разходи!$E:$E,'ПП Юли'!$C$30,разходи!$M:$M,'ПП Юли'!F2)</f>
        <v>0</v>
      </c>
      <c r="G30" s="74">
        <f>SUMIFS(разходи!$L:$L,разходи!$E:$E,'ПП Юли'!$C$30,разходи!$M:$M,'ПП Юли'!G2)</f>
        <v>0</v>
      </c>
      <c r="H30" s="74">
        <f>SUMIFS(разходи!$L:$L,разходи!$E:$E,'ПП Юли'!$C$30,разходи!$M:$M,'ПП Юли'!H2)</f>
        <v>0</v>
      </c>
      <c r="I30" s="74">
        <f>SUMIFS(разходи!$L:$L,разходи!$E:$E,'ПП Юли'!$C$30,разходи!$M:$M,'ПП Юли'!I2)</f>
        <v>0</v>
      </c>
      <c r="J30" s="76">
        <f>SUMIFS(разходи!$L:$L,разходи!$E:$E,'ПП Юли'!$C$30,разходи!$M:$M,'ПП Юли'!J2)</f>
        <v>0</v>
      </c>
      <c r="K30" s="76">
        <f>SUMIFS(разходи!$L:$L,разходи!$E:$E,'ПП Юли'!$C$30,разходи!$M:$M,'ПП Юли'!K2)</f>
        <v>0</v>
      </c>
      <c r="L30" s="74">
        <f>SUMIFS(разходи!$L:$L,разходи!$E:$E,'ПП Юли'!$C$30,разходи!$M:$M,'ПП Юли'!L2)</f>
        <v>0</v>
      </c>
      <c r="M30" s="74">
        <f>SUMIFS(разходи!$L:$L,разходи!$E:$E,'ПП Юли'!$C$30,разходи!$M:$M,'ПП Юли'!M2)</f>
        <v>162656.54</v>
      </c>
      <c r="N30" s="74">
        <f>SUMIFS(разходи!$L:$L,разходи!$E:$E,'ПП Юли'!$C$30,разходи!$M:$M,'ПП Юли'!N2)</f>
        <v>0</v>
      </c>
      <c r="O30" s="74">
        <f>SUMIFS(разходи!$L:$L,разходи!$E:$E,'ПП Юли'!$C$30,разходи!$M:$M,'ПП Юли'!O2)</f>
        <v>194113.52399999998</v>
      </c>
      <c r="P30" s="74">
        <f>SUMIFS(разходи!$L:$L,разходи!$E:$E,'ПП Юли'!$C$30,разходи!$M:$M,'ПП Юли'!P2)</f>
        <v>0</v>
      </c>
      <c r="Q30" s="76">
        <f>SUMIFS(разходи!$L:$L,разходи!$E:$E,'ПП Юли'!$C$30,разходи!$M:$M,'ПП Юли'!Q2)</f>
        <v>0</v>
      </c>
      <c r="R30" s="76">
        <f>SUMIFS(разходи!$L:$L,разходи!$E:$E,'ПП Юли'!$C$30,разходи!$M:$M,'ПП Юли'!R2)</f>
        <v>0</v>
      </c>
      <c r="S30" s="74">
        <f>SUMIFS(разходи!$L:$L,разходи!$E:$E,'ПП Юли'!$C$30,разходи!$M:$M,'ПП Юли'!S2)</f>
        <v>0</v>
      </c>
      <c r="T30" s="74">
        <f>SUMIFS(разходи!$L:$L,разходи!$E:$E,'ПП Юли'!$C$30,разходи!$M:$M,'ПП Юли'!T2)</f>
        <v>0</v>
      </c>
      <c r="U30" s="74">
        <f>SUMIFS(разходи!$L:$L,разходи!$E:$E,'ПП Юли'!$C$30,разходи!$M:$M,'ПП Юли'!U2)</f>
        <v>0</v>
      </c>
      <c r="V30" s="74">
        <f>SUMIFS(разходи!$L:$L,разходи!$E:$E,'ПП Юли'!$C$30,разходи!$M:$M,'ПП Юли'!V2)</f>
        <v>0</v>
      </c>
      <c r="W30" s="74">
        <f>SUMIFS(разходи!$L:$L,разходи!$E:$E,'ПП Юли'!$C$30,разходи!$M:$M,'ПП Юли'!W2)</f>
        <v>0</v>
      </c>
      <c r="X30" s="76">
        <f>SUMIFS(разходи!$L:$L,разходи!$E:$E,'ПП Юли'!$C$30,разходи!$M:$M,'ПП Юли'!X2)</f>
        <v>0</v>
      </c>
      <c r="Y30" s="76">
        <f>SUMIFS(разходи!$L:$L,разходи!$E:$E,'ПП Юли'!$C$30,разходи!$M:$M,'ПП Юли'!Y2)</f>
        <v>0</v>
      </c>
      <c r="Z30" s="74">
        <f>SUMIFS(разходи!$L:$L,разходи!$E:$E,'ПП Юли'!$C$30,разходи!$M:$M,'ПП Юли'!Z2)</f>
        <v>0</v>
      </c>
      <c r="AA30" s="74">
        <f>SUMIFS(разходи!$L:$L,разходи!$E:$E,'ПП Юли'!$C$30,разходи!$M:$M,'ПП Юли'!AA2)</f>
        <v>0</v>
      </c>
      <c r="AB30" s="74">
        <f>SUMIFS(разходи!$L:$L,разходи!$E:$E,'ПП Юли'!$C$30,разходи!$M:$M,'ПП Юли'!AB2)</f>
        <v>0</v>
      </c>
      <c r="AC30" s="74">
        <f>SUMIFS(разходи!$L:$L,разходи!$E:$E,'ПП Юли'!$C$30,разходи!$M:$M,'ПП Юли'!AC2)</f>
        <v>0</v>
      </c>
      <c r="AD30" s="74">
        <f>SUMIFS(разходи!$L:$L,разходи!$E:$E,'ПП Юли'!$C$30,разходи!$M:$M,'ПП Юли'!AD2)</f>
        <v>0</v>
      </c>
      <c r="AE30" s="76">
        <f>SUMIFS(разходи!$L:$L,разходи!$E:$E,'ПП Юли'!$C$30,разходи!$M:$M,'ПП Юли'!AE2)</f>
        <v>0</v>
      </c>
      <c r="AF30" s="76">
        <f>SUMIFS(разходи!$L:$L,разходи!$E:$E,'ПП Юли'!$C$30,разходи!$M:$M,'ПП Юли'!AF2)</f>
        <v>0</v>
      </c>
      <c r="AG30" s="74">
        <f>SUMIFS(разходи!$L:$L,разходи!$E:$E,'ПП Юли'!$C$30,разходи!$M:$M,'ПП Юли'!AG2)</f>
        <v>0</v>
      </c>
      <c r="AH30" s="74">
        <f>SUMIFS(разходи!$L:$L,разходи!$E:$E,'ПП Юли'!$C$30,разходи!$M:$M,'ПП Юли'!AH2)</f>
        <v>0</v>
      </c>
      <c r="AI30" s="74">
        <f>SUMIFS(разходи!$L:$L,разходи!$E:$E,'ПП Юли'!$C$30,разходи!$M:$M,'ПП Юли'!AI2)</f>
        <v>0</v>
      </c>
      <c r="AJ30" s="61">
        <f t="shared" si="2"/>
        <v>356770.06400000001</v>
      </c>
      <c r="AK30" s="69">
        <f t="shared" si="3"/>
        <v>-159393.81649199998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4">
        <f>SUMIFS(разходи!$L:$L,разходи!$E:$E,'ПП Юли'!$C$31,разходи!$M:$M,'ПП Юли'!E2)</f>
        <v>0</v>
      </c>
      <c r="F31" s="74">
        <f>SUMIFS(разходи!$L:$L,разходи!$E:$E,'ПП Юли'!$C$31,разходи!$M:$M,'ПП Юли'!F2)</f>
        <v>0</v>
      </c>
      <c r="G31" s="74">
        <f>SUMIFS(разходи!$L:$L,разходи!$E:$E,'ПП Юли'!$C$31,разходи!$M:$M,'ПП Юли'!G2)</f>
        <v>0</v>
      </c>
      <c r="H31" s="74">
        <f>SUMIFS(разходи!$L:$L,разходи!$E:$E,'ПП Юли'!$C$31,разходи!$M:$M,'ПП Юли'!H2)</f>
        <v>0</v>
      </c>
      <c r="I31" s="74">
        <f>SUMIFS(разходи!$L:$L,разходи!$E:$E,'ПП Юли'!$C$31,разходи!$M:$M,'ПП Юли'!I2)</f>
        <v>0</v>
      </c>
      <c r="J31" s="76">
        <f>SUMIFS(разходи!$L:$L,разходи!$E:$E,'ПП Юли'!$C$31,разходи!$M:$M,'ПП Юли'!J2)</f>
        <v>0</v>
      </c>
      <c r="K31" s="76">
        <f>SUMIFS(разходи!$L:$L,разходи!$E:$E,'ПП Юли'!$C$31,разходи!$M:$M,'ПП Юли'!K2)</f>
        <v>0</v>
      </c>
      <c r="L31" s="74">
        <f>SUMIFS(разходи!$L:$L,разходи!$E:$E,'ПП Юли'!$C$31,разходи!$M:$M,'ПП Юли'!L2)</f>
        <v>0</v>
      </c>
      <c r="M31" s="74">
        <f>SUMIFS(разходи!$L:$L,разходи!$E:$E,'ПП Юли'!$C$31,разходи!$M:$M,'ПП Юли'!M2)</f>
        <v>0</v>
      </c>
      <c r="N31" s="74">
        <f>SUMIFS(разходи!$L:$L,разходи!$E:$E,'ПП Юли'!$C$31,разходи!$M:$M,'ПП Юли'!N2)</f>
        <v>0</v>
      </c>
      <c r="O31" s="74">
        <f>SUMIFS(разходи!$L:$L,разходи!$E:$E,'ПП Юли'!$C$31,разходи!$M:$M,'ПП Юли'!O2)</f>
        <v>0</v>
      </c>
      <c r="P31" s="74">
        <f>SUMIFS(разходи!$L:$L,разходи!$E:$E,'ПП Юли'!$C$31,разходи!$M:$M,'ПП Юли'!P2)</f>
        <v>0</v>
      </c>
      <c r="Q31" s="76">
        <f>SUMIFS(разходи!$L:$L,разходи!$E:$E,'ПП Юли'!$C$31,разходи!$M:$M,'ПП Юли'!Q2)</f>
        <v>0</v>
      </c>
      <c r="R31" s="76">
        <f>SUMIFS(разходи!$L:$L,разходи!$E:$E,'ПП Юли'!$C$31,разходи!$M:$M,'ПП Юли'!R2)</f>
        <v>0</v>
      </c>
      <c r="S31" s="74">
        <f>SUMIFS(разходи!$L:$L,разходи!$E:$E,'ПП Юли'!$C$31,разходи!$M:$M,'ПП Юли'!S2)</f>
        <v>0</v>
      </c>
      <c r="T31" s="74">
        <f>SUMIFS(разходи!$L:$L,разходи!$E:$E,'ПП Юли'!$C$31,разходи!$M:$M,'ПП Юли'!T2)</f>
        <v>0</v>
      </c>
      <c r="U31" s="74">
        <f>SUMIFS(разходи!$L:$L,разходи!$E:$E,'ПП Юли'!$C$31,разходи!$M:$M,'ПП Юли'!U2)</f>
        <v>0</v>
      </c>
      <c r="V31" s="74">
        <f>SUMIFS(разходи!$L:$L,разходи!$E:$E,'ПП Юли'!$C$31,разходи!$M:$M,'ПП Юли'!V2)</f>
        <v>0</v>
      </c>
      <c r="W31" s="74">
        <f>SUMIFS(разходи!$L:$L,разходи!$E:$E,'ПП Юли'!$C$31,разходи!$M:$M,'ПП Юли'!W2)</f>
        <v>0</v>
      </c>
      <c r="X31" s="76">
        <f>SUMIFS(разходи!$L:$L,разходи!$E:$E,'ПП Юли'!$C$31,разходи!$M:$M,'ПП Юли'!X2)</f>
        <v>0</v>
      </c>
      <c r="Y31" s="76">
        <f>SUMIFS(разходи!$L:$L,разходи!$E:$E,'ПП Юли'!$C$31,разходи!$M:$M,'ПП Юли'!Y2)</f>
        <v>0</v>
      </c>
      <c r="Z31" s="74">
        <f>SUMIFS(разходи!$L:$L,разходи!$E:$E,'ПП Юли'!$C$31,разходи!$M:$M,'ПП Юли'!Z2)</f>
        <v>0</v>
      </c>
      <c r="AA31" s="74">
        <f>SUMIFS(разходи!$L:$L,разходи!$E:$E,'ПП Юли'!$C$31,разходи!$M:$M,'ПП Юли'!AA2)</f>
        <v>0</v>
      </c>
      <c r="AB31" s="74">
        <f>SUMIFS(разходи!$L:$L,разходи!$E:$E,'ПП Юли'!$C$31,разходи!$M:$M,'ПП Юли'!AB2)</f>
        <v>0</v>
      </c>
      <c r="AC31" s="74">
        <f>SUMIFS(разходи!$L:$L,разходи!$E:$E,'ПП Юли'!$C$31,разходи!$M:$M,'ПП Юли'!AC2)</f>
        <v>0</v>
      </c>
      <c r="AD31" s="74">
        <f>SUMIFS(разходи!$L:$L,разходи!$E:$E,'ПП Юли'!$C$31,разходи!$M:$M,'ПП Юли'!AD2)</f>
        <v>0</v>
      </c>
      <c r="AE31" s="76">
        <f>SUMIFS(разходи!$L:$L,разходи!$E:$E,'ПП Юли'!$C$31,разходи!$M:$M,'ПП Юли'!AE2)</f>
        <v>0</v>
      </c>
      <c r="AF31" s="76">
        <f>SUMIFS(разходи!$L:$L,разходи!$E:$E,'ПП Юли'!$C$31,разходи!$M:$M,'ПП Юли'!AF2)</f>
        <v>0</v>
      </c>
      <c r="AG31" s="74">
        <f>SUMIFS(разходи!$L:$L,разходи!$E:$E,'ПП Юли'!$C$31,разходи!$M:$M,'ПП Юли'!AG2)</f>
        <v>0</v>
      </c>
      <c r="AH31" s="74">
        <f>SUMIFS(разходи!$L:$L,разходи!$E:$E,'ПП Юли'!$C$31,разходи!$M:$M,'ПП Юли'!AH2)</f>
        <v>0</v>
      </c>
      <c r="AI31" s="74">
        <f>SUMIFS(разходи!$L:$L,разходи!$E:$E,'ПП Юли'!$C$31,разходи!$M:$M,'ПП Юли'!AI2)</f>
        <v>0</v>
      </c>
      <c r="AJ31" s="61">
        <f t="shared" si="2"/>
        <v>0</v>
      </c>
      <c r="AK31" s="69">
        <f t="shared" si="3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/>
      <c r="E32" s="74">
        <f>SUMIFS(разходи!$L:$L,разходи!$E:$E,'ПП Юли'!$C$32,разходи!$M:$M,'ПП Юли'!E2)</f>
        <v>0</v>
      </c>
      <c r="F32" s="74">
        <f>SUMIFS(разходи!$L:$L,разходи!$E:$E,'ПП Юли'!$C$32,разходи!$M:$M,'ПП Юли'!F2)</f>
        <v>0</v>
      </c>
      <c r="G32" s="74">
        <f>SUMIFS(разходи!$L:$L,разходи!$E:$E,'ПП Юли'!$C$32,разходи!$M:$M,'ПП Юли'!G2)</f>
        <v>0</v>
      </c>
      <c r="H32" s="74">
        <f>SUMIFS(разходи!$L:$L,разходи!$E:$E,'ПП Юли'!$C$32,разходи!$M:$M,'ПП Юли'!H2)</f>
        <v>0</v>
      </c>
      <c r="I32" s="74">
        <f>SUMIFS(разходи!$L:$L,разходи!$E:$E,'ПП Юли'!$C$32,разходи!$M:$M,'ПП Юли'!I2)</f>
        <v>0</v>
      </c>
      <c r="J32" s="76">
        <f>SUMIFS(разходи!$L:$L,разходи!$E:$E,'ПП Юли'!$C$32,разходи!$M:$M,'ПП Юли'!J2)</f>
        <v>0</v>
      </c>
      <c r="K32" s="76">
        <f>SUMIFS(разходи!$L:$L,разходи!$E:$E,'ПП Юли'!$C$32,разходи!$M:$M,'ПП Юли'!K2)</f>
        <v>0</v>
      </c>
      <c r="L32" s="74">
        <f>SUMIFS(разходи!$L:$L,разходи!$E:$E,'ПП Юли'!$C$32,разходи!$M:$M,'ПП Юли'!L2)</f>
        <v>0</v>
      </c>
      <c r="M32" s="74">
        <f>SUMIFS(разходи!$L:$L,разходи!$E:$E,'ПП Юли'!$C$32,разходи!$M:$M,'ПП Юли'!M2)</f>
        <v>0</v>
      </c>
      <c r="N32" s="74">
        <f>SUMIFS(разходи!$L:$L,разходи!$E:$E,'ПП Юли'!$C$32,разходи!$M:$M,'ПП Юли'!N2)</f>
        <v>0</v>
      </c>
      <c r="O32" s="74">
        <f>SUMIFS(разходи!$L:$L,разходи!$E:$E,'ПП Юли'!$C$32,разходи!$M:$M,'ПП Юли'!O2)</f>
        <v>0</v>
      </c>
      <c r="P32" s="74">
        <f>SUMIFS(разходи!$L:$L,разходи!$E:$E,'ПП Юли'!$C$32,разходи!$M:$M,'ПП Юли'!P2)</f>
        <v>0</v>
      </c>
      <c r="Q32" s="76">
        <f>SUMIFS(разходи!$L:$L,разходи!$E:$E,'ПП Юли'!$C$32,разходи!$M:$M,'ПП Юли'!Q2)</f>
        <v>0</v>
      </c>
      <c r="R32" s="76">
        <f>SUMIFS(разходи!$L:$L,разходи!$E:$E,'ПП Юли'!$C$32,разходи!$M:$M,'ПП Юли'!R2)</f>
        <v>0</v>
      </c>
      <c r="S32" s="74">
        <f>SUMIFS(разходи!$L:$L,разходи!$E:$E,'ПП Юли'!$C$32,разходи!$M:$M,'ПП Юли'!S2)</f>
        <v>0</v>
      </c>
      <c r="T32" s="74">
        <f>SUMIFS(разходи!$L:$L,разходи!$E:$E,'ПП Юли'!$C$32,разходи!$M:$M,'ПП Юли'!T2)</f>
        <v>0</v>
      </c>
      <c r="U32" s="74">
        <f>SUMIFS(разходи!$L:$L,разходи!$E:$E,'ПП Юли'!$C$32,разходи!$M:$M,'ПП Юли'!U2)</f>
        <v>0</v>
      </c>
      <c r="V32" s="74">
        <f>SUMIFS(разходи!$L:$L,разходи!$E:$E,'ПП Юли'!$C$32,разходи!$M:$M,'ПП Юли'!V2)</f>
        <v>0</v>
      </c>
      <c r="W32" s="74">
        <f>SUMIFS(разходи!$L:$L,разходи!$E:$E,'ПП Юли'!$C$32,разходи!$M:$M,'ПП Юли'!W2)</f>
        <v>0</v>
      </c>
      <c r="X32" s="76">
        <f>SUMIFS(разходи!$L:$L,разходи!$E:$E,'ПП Юли'!$C$32,разходи!$M:$M,'ПП Юли'!X2)</f>
        <v>0</v>
      </c>
      <c r="Y32" s="76">
        <f>SUMIFS(разходи!$L:$L,разходи!$E:$E,'ПП Юли'!$C$32,разходи!$M:$M,'ПП Юли'!Y2)</f>
        <v>0</v>
      </c>
      <c r="Z32" s="74">
        <f>SUMIFS(разходи!$L:$L,разходи!$E:$E,'ПП Юли'!$C$32,разходи!$M:$M,'ПП Юли'!Z2)</f>
        <v>0</v>
      </c>
      <c r="AA32" s="74">
        <f>SUMIFS(разходи!$L:$L,разходи!$E:$E,'ПП Юли'!$C$32,разходи!$M:$M,'ПП Юли'!AA2)</f>
        <v>0</v>
      </c>
      <c r="AB32" s="74">
        <f>SUMIFS(разходи!$L:$L,разходи!$E:$E,'ПП Юли'!$C$32,разходи!$M:$M,'ПП Юли'!AB2)</f>
        <v>0</v>
      </c>
      <c r="AC32" s="74">
        <f>SUMIFS(разходи!$L:$L,разходи!$E:$E,'ПП Юли'!$C$32,разходи!$M:$M,'ПП Юли'!AC2)</f>
        <v>0</v>
      </c>
      <c r="AD32" s="74">
        <f>SUMIFS(разходи!$L:$L,разходи!$E:$E,'ПП Юли'!$C$32,разходи!$M:$M,'ПП Юли'!AD2)</f>
        <v>0</v>
      </c>
      <c r="AE32" s="76">
        <f>SUMIFS(разходи!$L:$L,разходи!$E:$E,'ПП Юли'!$C$32,разходи!$M:$M,'ПП Юли'!AE2)</f>
        <v>0</v>
      </c>
      <c r="AF32" s="76">
        <f>SUMIFS(разходи!$L:$L,разходи!$E:$E,'ПП Юли'!$C$32,разходи!$M:$M,'ПП Юли'!AF2)</f>
        <v>0</v>
      </c>
      <c r="AG32" s="74">
        <f>SUMIFS(разходи!$L:$L,разходи!$E:$E,'ПП Юли'!$C$32,разходи!$M:$M,'ПП Юли'!AG2)</f>
        <v>0</v>
      </c>
      <c r="AH32" s="74">
        <f>SUMIFS(разходи!$L:$L,разходи!$E:$E,'ПП Юли'!$C$32,разходи!$M:$M,'ПП Юли'!AH2)</f>
        <v>0</v>
      </c>
      <c r="AI32" s="74">
        <f>SUMIFS(разходи!$L:$L,разходи!$E:$E,'ПП Юли'!$C$32,разходи!$M:$M,'ПП Юли'!AI2)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2456.4480000000003</v>
      </c>
      <c r="E33" s="74">
        <f>SUMIFS(разходи!$L:$L,разходи!$E:$E,'ПП Юли'!$C$33,разходи!$M:$M,'ПП Юли'!E2)</f>
        <v>0</v>
      </c>
      <c r="F33" s="74">
        <f>SUMIFS(разходи!$L:$L,разходи!$E:$E,'ПП Юли'!$C$33,разходи!$M:$M,'ПП Юли'!F2)</f>
        <v>0</v>
      </c>
      <c r="G33" s="74">
        <f>SUMIFS(разходи!$L:$L,разходи!$E:$E,'ПП Юли'!$C$33,разходи!$M:$M,'ПП Юли'!G2)</f>
        <v>0</v>
      </c>
      <c r="H33" s="74">
        <f>SUMIFS(разходи!$L:$L,разходи!$E:$E,'ПП Юли'!$C$33,разходи!$M:$M,'ПП Юли'!H2)</f>
        <v>0</v>
      </c>
      <c r="I33" s="74">
        <f>SUMIFS(разходи!$L:$L,разходи!$E:$E,'ПП Юли'!$C$33,разходи!$M:$M,'ПП Юли'!I2)</f>
        <v>0</v>
      </c>
      <c r="J33" s="76">
        <f>SUMIFS(разходи!$L:$L,разходи!$E:$E,'ПП Юли'!$C$33,разходи!$M:$M,'ПП Юли'!J2)</f>
        <v>0</v>
      </c>
      <c r="K33" s="76">
        <f>SUMIFS(разходи!$L:$L,разходи!$E:$E,'ПП Юли'!$C$33,разходи!$M:$M,'ПП Юли'!K2)</f>
        <v>0</v>
      </c>
      <c r="L33" s="74">
        <f>SUMIFS(разходи!$L:$L,разходи!$E:$E,'ПП Юли'!$C$33,разходи!$M:$M,'ПП Юли'!L2)</f>
        <v>0</v>
      </c>
      <c r="M33" s="74">
        <f>SUMIFS(разходи!$L:$L,разходи!$E:$E,'ПП Юли'!$C$33,разходи!$M:$M,'ПП Юли'!M2)</f>
        <v>0</v>
      </c>
      <c r="N33" s="74">
        <f>SUMIFS(разходи!$L:$L,разходи!$E:$E,'ПП Юли'!$C$33,разходи!$M:$M,'ПП Юли'!N2)</f>
        <v>0</v>
      </c>
      <c r="O33" s="74">
        <f>SUMIFS(разходи!$L:$L,разходи!$E:$E,'ПП Юли'!$C$33,разходи!$M:$M,'ПП Юли'!O2)</f>
        <v>1190.2439999999999</v>
      </c>
      <c r="P33" s="74">
        <f>SUMIFS(разходи!$L:$L,разходи!$E:$E,'ПП Юли'!$C$33,разходи!$M:$M,'ПП Юли'!P2)</f>
        <v>0</v>
      </c>
      <c r="Q33" s="76">
        <f>SUMIFS(разходи!$L:$L,разходи!$E:$E,'ПП Юли'!$C$33,разходи!$M:$M,'ПП Юли'!Q2)</f>
        <v>0</v>
      </c>
      <c r="R33" s="76">
        <f>SUMIFS(разходи!$L:$L,разходи!$E:$E,'ПП Юли'!$C$33,разходи!$M:$M,'ПП Юли'!R2)</f>
        <v>0</v>
      </c>
      <c r="S33" s="74">
        <f>SUMIFS(разходи!$L:$L,разходи!$E:$E,'ПП Юли'!$C$33,разходи!$M:$M,'ПП Юли'!S2)</f>
        <v>0</v>
      </c>
      <c r="T33" s="74">
        <f>SUMIFS(разходи!$L:$L,разходи!$E:$E,'ПП Юли'!$C$33,разходи!$M:$M,'ПП Юли'!T2)</f>
        <v>0</v>
      </c>
      <c r="U33" s="74">
        <f>SUMIFS(разходи!$L:$L,разходи!$E:$E,'ПП Юли'!$C$33,разходи!$M:$M,'ПП Юли'!U2)</f>
        <v>0</v>
      </c>
      <c r="V33" s="74">
        <f>SUMIFS(разходи!$L:$L,разходи!$E:$E,'ПП Юли'!$C$33,разходи!$M:$M,'ПП Юли'!V2)</f>
        <v>0</v>
      </c>
      <c r="W33" s="74">
        <f>SUMIFS(разходи!$L:$L,разходи!$E:$E,'ПП Юли'!$C$33,разходи!$M:$M,'ПП Юли'!W2)</f>
        <v>0</v>
      </c>
      <c r="X33" s="76">
        <f>SUMIFS(разходи!$L:$L,разходи!$E:$E,'ПП Юли'!$C$33,разходи!$M:$M,'ПП Юли'!X2)</f>
        <v>0</v>
      </c>
      <c r="Y33" s="76">
        <f>SUMIFS(разходи!$L:$L,разходи!$E:$E,'ПП Юли'!$C$33,разходи!$M:$M,'ПП Юли'!Y2)</f>
        <v>0</v>
      </c>
      <c r="Z33" s="74">
        <f>SUMIFS(разходи!$L:$L,разходи!$E:$E,'ПП Юли'!$C$33,разходи!$M:$M,'ПП Юли'!Z2)</f>
        <v>0</v>
      </c>
      <c r="AA33" s="74">
        <f>SUMIFS(разходи!$L:$L,разходи!$E:$E,'ПП Юли'!$C$33,разходи!$M:$M,'ПП Юли'!AA2)</f>
        <v>0</v>
      </c>
      <c r="AB33" s="74">
        <f>SUMIFS(разходи!$L:$L,разходи!$E:$E,'ПП Юли'!$C$33,разходи!$M:$M,'ПП Юли'!AB2)</f>
        <v>0</v>
      </c>
      <c r="AC33" s="74">
        <f>SUMIFS(разходи!$L:$L,разходи!$E:$E,'ПП Юли'!$C$33,разходи!$M:$M,'ПП Юли'!AC2)</f>
        <v>0</v>
      </c>
      <c r="AD33" s="74">
        <f>SUMIFS(разходи!$L:$L,разходи!$E:$E,'ПП Юли'!$C$33,разходи!$M:$M,'ПП Юли'!AD2)</f>
        <v>0</v>
      </c>
      <c r="AE33" s="76">
        <f>SUMIFS(разходи!$L:$L,разходи!$E:$E,'ПП Юли'!$C$33,разходи!$M:$M,'ПП Юли'!AE2)</f>
        <v>0</v>
      </c>
      <c r="AF33" s="76">
        <f>SUMIFS(разходи!$L:$L,разходи!$E:$E,'ПП Юли'!$C$33,разходи!$M:$M,'ПП Юли'!AF2)</f>
        <v>0</v>
      </c>
      <c r="AG33" s="74">
        <f>SUMIFS(разходи!$L:$L,разходи!$E:$E,'ПП Юли'!$C$33,разходи!$M:$M,'ПП Юли'!AG2)</f>
        <v>0</v>
      </c>
      <c r="AH33" s="74">
        <f>SUMIFS(разходи!$L:$L,разходи!$E:$E,'ПП Юли'!$C$33,разходи!$M:$M,'ПП Юли'!AH2)</f>
        <v>0</v>
      </c>
      <c r="AI33" s="74">
        <f>SUMIFS(разходи!$L:$L,разходи!$E:$E,'ПП Юли'!$C$33,разходи!$M:$M,'ПП Юли'!AI2)</f>
        <v>0</v>
      </c>
      <c r="AJ33" s="61">
        <f t="shared" si="2"/>
        <v>1190.2439999999999</v>
      </c>
      <c r="AK33" s="69">
        <f t="shared" si="3"/>
        <v>1266.2040000000004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Юли'!$C$34,разходи!$M:$M,'ПП Юли'!E2)</f>
        <v>0</v>
      </c>
      <c r="F34" s="74">
        <f>SUMIFS(разходи!$L:$L,разходи!$E:$E,'ПП Юли'!$C$34,разходи!$M:$M,'ПП Юли'!F2)</f>
        <v>0</v>
      </c>
      <c r="G34" s="74">
        <f>SUMIFS(разходи!$L:$L,разходи!$E:$E,'ПП Юли'!$C$34,разходи!$M:$M,'ПП Юли'!G2)</f>
        <v>0</v>
      </c>
      <c r="H34" s="74">
        <f>SUMIFS(разходи!$L:$L,разходи!$E:$E,'ПП Юли'!$C$34,разходи!$M:$M,'ПП Юли'!H2)</f>
        <v>0</v>
      </c>
      <c r="I34" s="74">
        <f>SUMIFS(разходи!$L:$L,разходи!$E:$E,'ПП Юли'!$C$34,разходи!$M:$M,'ПП Юли'!I2)</f>
        <v>0</v>
      </c>
      <c r="J34" s="76">
        <f>SUMIFS(разходи!$L:$L,разходи!$E:$E,'ПП Юли'!$C$34,разходи!$M:$M,'ПП Юли'!J2)</f>
        <v>0</v>
      </c>
      <c r="K34" s="76">
        <f>SUMIFS(разходи!$L:$L,разходи!$E:$E,'ПП Юли'!$C$34,разходи!$M:$M,'ПП Юли'!K2)</f>
        <v>0</v>
      </c>
      <c r="L34" s="74">
        <f>SUMIFS(разходи!$L:$L,разходи!$E:$E,'ПП Юли'!$C$34,разходи!$M:$M,'ПП Юли'!L2)</f>
        <v>0</v>
      </c>
      <c r="M34" s="74">
        <f>SUMIFS(разходи!$L:$L,разходи!$E:$E,'ПП Юли'!$C$34,разходи!$M:$M,'ПП Юли'!M2)</f>
        <v>278.246916</v>
      </c>
      <c r="N34" s="74">
        <f>SUMIFS(разходи!$L:$L,разходи!$E:$E,'ПП Юли'!$C$34,разходи!$M:$M,'ПП Юли'!N2)</f>
        <v>0</v>
      </c>
      <c r="O34" s="74">
        <f>SUMIFS(разходи!$L:$L,разходи!$E:$E,'ПП Юли'!$C$34,разходи!$M:$M,'ПП Юли'!O2)</f>
        <v>1083.8520000000001</v>
      </c>
      <c r="P34" s="74">
        <f>SUMIFS(разходи!$L:$L,разходи!$E:$E,'ПП Юли'!$C$34,разходи!$M:$M,'ПП Юли'!P2)</f>
        <v>0</v>
      </c>
      <c r="Q34" s="76">
        <f>SUMIFS(разходи!$L:$L,разходи!$E:$E,'ПП Юли'!$C$34,разходи!$M:$M,'ПП Юли'!Q2)</f>
        <v>0</v>
      </c>
      <c r="R34" s="76">
        <f>SUMIFS(разходи!$L:$L,разходи!$E:$E,'ПП Юли'!$C$34,разходи!$M:$M,'ПП Юли'!R2)</f>
        <v>0</v>
      </c>
      <c r="S34" s="74">
        <f>SUMIFS(разходи!$L:$L,разходи!$E:$E,'ПП Юли'!$C$34,разходи!$M:$M,'ПП Юли'!S2)</f>
        <v>0</v>
      </c>
      <c r="T34" s="74">
        <f>SUMIFS(разходи!$L:$L,разходи!$E:$E,'ПП Юли'!$C$34,разходи!$M:$M,'ПП Юли'!T2)</f>
        <v>0</v>
      </c>
      <c r="U34" s="74">
        <f>SUMIFS(разходи!$L:$L,разходи!$E:$E,'ПП Юли'!$C$34,разходи!$M:$M,'ПП Юли'!U2)</f>
        <v>0</v>
      </c>
      <c r="V34" s="74">
        <f>SUMIFS(разходи!$L:$L,разходи!$E:$E,'ПП Юли'!$C$34,разходи!$M:$M,'ПП Юли'!V2)</f>
        <v>0</v>
      </c>
      <c r="W34" s="74">
        <f>SUMIFS(разходи!$L:$L,разходи!$E:$E,'ПП Юли'!$C$34,разходи!$M:$M,'ПП Юли'!W2)</f>
        <v>0</v>
      </c>
      <c r="X34" s="76">
        <f>SUMIFS(разходи!$L:$L,разходи!$E:$E,'ПП Юли'!$C$34,разходи!$M:$M,'ПП Юли'!X2)</f>
        <v>0</v>
      </c>
      <c r="Y34" s="76">
        <f>SUMIFS(разходи!$L:$L,разходи!$E:$E,'ПП Юли'!$C$34,разходи!$M:$M,'ПП Юли'!Y2)</f>
        <v>0</v>
      </c>
      <c r="Z34" s="74">
        <f>SUMIFS(разходи!$L:$L,разходи!$E:$E,'ПП Юли'!$C$34,разходи!$M:$M,'ПП Юли'!Z2)</f>
        <v>0</v>
      </c>
      <c r="AA34" s="74">
        <f>SUMIFS(разходи!$L:$L,разходи!$E:$E,'ПП Юли'!$C$34,разходи!$M:$M,'ПП Юли'!AA2)</f>
        <v>0</v>
      </c>
      <c r="AB34" s="74">
        <f>SUMIFS(разходи!$L:$L,разходи!$E:$E,'ПП Юли'!$C$34,разходи!$M:$M,'ПП Юли'!AB2)</f>
        <v>0</v>
      </c>
      <c r="AC34" s="74">
        <f>SUMIFS(разходи!$L:$L,разходи!$E:$E,'ПП Юли'!$C$34,разходи!$M:$M,'ПП Юли'!AC2)</f>
        <v>0</v>
      </c>
      <c r="AD34" s="74">
        <f>SUMIFS(разходи!$L:$L,разходи!$E:$E,'ПП Юли'!$C$34,разходи!$M:$M,'ПП Юли'!AD2)</f>
        <v>0</v>
      </c>
      <c r="AE34" s="76">
        <f>SUMIFS(разходи!$L:$L,разходи!$E:$E,'ПП Юли'!$C$34,разходи!$M:$M,'ПП Юли'!AE2)</f>
        <v>0</v>
      </c>
      <c r="AF34" s="76">
        <f>SUMIFS(разходи!$L:$L,разходи!$E:$E,'ПП Юли'!$C$34,разходи!$M:$M,'ПП Юли'!AF2)</f>
        <v>0</v>
      </c>
      <c r="AG34" s="74">
        <f>SUMIFS(разходи!$L:$L,разходи!$E:$E,'ПП Юли'!$C$34,разходи!$M:$M,'ПП Юли'!AG2)</f>
        <v>0</v>
      </c>
      <c r="AH34" s="74">
        <f>SUMIFS(разходи!$L:$L,разходи!$E:$E,'ПП Юли'!$C$34,разходи!$M:$M,'ПП Юли'!AH2)</f>
        <v>0</v>
      </c>
      <c r="AI34" s="74">
        <f>SUMIFS(разходи!$L:$L,разходи!$E:$E,'ПП Юли'!$C$34,разходи!$M:$M,'ПП Юли'!AI2)</f>
        <v>0</v>
      </c>
      <c r="AJ34" s="61">
        <f t="shared" si="2"/>
        <v>1362.0989160000001</v>
      </c>
      <c r="AK34" s="69">
        <f t="shared" si="3"/>
        <v>-1362.0989160000001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Юли'!$C$35,разходи!$M:$M,'ПП Юли'!E2)</f>
        <v>0</v>
      </c>
      <c r="F35" s="74">
        <f>SUMIFS(разходи!$L:$L,разходи!$E:$E,'ПП Юли'!$C$35,разходи!$M:$M,'ПП Юли'!F2)</f>
        <v>0</v>
      </c>
      <c r="G35" s="74">
        <f>SUMIFS(разходи!$L:$L,разходи!$E:$E,'ПП Юли'!$C$35,разходи!$M:$M,'ПП Юли'!G2)</f>
        <v>0</v>
      </c>
      <c r="H35" s="74">
        <f>SUMIFS(разходи!$L:$L,разходи!$E:$E,'ПП Юли'!$C$35,разходи!$M:$M,'ПП Юли'!H2)</f>
        <v>0</v>
      </c>
      <c r="I35" s="74">
        <f>SUMIFS(разходи!$L:$L,разходи!$E:$E,'ПП Юли'!$C$35,разходи!$M:$M,'ПП Юли'!I2)</f>
        <v>0</v>
      </c>
      <c r="J35" s="76">
        <f>SUMIFS(разходи!$L:$L,разходи!$E:$E,'ПП Юли'!$C$35,разходи!$M:$M,'ПП Юли'!J2)</f>
        <v>0</v>
      </c>
      <c r="K35" s="76">
        <f>SUMIFS(разходи!$L:$L,разходи!$E:$E,'ПП Юли'!$C$35,разходи!$M:$M,'ПП Юли'!K2)</f>
        <v>0</v>
      </c>
      <c r="L35" s="74">
        <f>SUMIFS(разходи!$L:$L,разходи!$E:$E,'ПП Юли'!$C$35,разходи!$M:$M,'ПП Юли'!L2)</f>
        <v>0</v>
      </c>
      <c r="M35" s="74">
        <f>SUMIFS(разходи!$L:$L,разходи!$E:$E,'ПП Юли'!$C$35,разходи!$M:$M,'ПП Юли'!M2)</f>
        <v>0</v>
      </c>
      <c r="N35" s="74">
        <f>SUMIFS(разходи!$L:$L,разходи!$E:$E,'ПП Юли'!$C$35,разходи!$M:$M,'ПП Юли'!N2)</f>
        <v>0</v>
      </c>
      <c r="O35" s="74">
        <f>SUMIFS(разходи!$L:$L,разходи!$E:$E,'ПП Юли'!$C$35,разходи!$M:$M,'ПП Юли'!O2)</f>
        <v>743.54399999999998</v>
      </c>
      <c r="P35" s="74">
        <f>SUMIFS(разходи!$L:$L,разходи!$E:$E,'ПП Юли'!$C$35,разходи!$M:$M,'ПП Юли'!P2)</f>
        <v>0</v>
      </c>
      <c r="Q35" s="76">
        <f>SUMIFS(разходи!$L:$L,разходи!$E:$E,'ПП Юли'!$C$35,разходи!$M:$M,'ПП Юли'!Q2)</f>
        <v>0</v>
      </c>
      <c r="R35" s="76">
        <f>SUMIFS(разходи!$L:$L,разходи!$E:$E,'ПП Юли'!$C$35,разходи!$M:$M,'ПП Юли'!R2)</f>
        <v>0</v>
      </c>
      <c r="S35" s="74">
        <f>SUMIFS(разходи!$L:$L,разходи!$E:$E,'ПП Юли'!$C$35,разходи!$M:$M,'ПП Юли'!S2)</f>
        <v>0</v>
      </c>
      <c r="T35" s="74">
        <f>SUMIFS(разходи!$L:$L,разходи!$E:$E,'ПП Юли'!$C$35,разходи!$M:$M,'ПП Юли'!T2)</f>
        <v>0</v>
      </c>
      <c r="U35" s="74">
        <f>SUMIFS(разходи!$L:$L,разходи!$E:$E,'ПП Юли'!$C$35,разходи!$M:$M,'ПП Юли'!U2)</f>
        <v>0</v>
      </c>
      <c r="V35" s="74">
        <f>SUMIFS(разходи!$L:$L,разходи!$E:$E,'ПП Юли'!$C$35,разходи!$M:$M,'ПП Юли'!V2)</f>
        <v>0</v>
      </c>
      <c r="W35" s="74">
        <f>SUMIFS(разходи!$L:$L,разходи!$E:$E,'ПП Юли'!$C$35,разходи!$M:$M,'ПП Юли'!W2)</f>
        <v>0</v>
      </c>
      <c r="X35" s="76">
        <f>SUMIFS(разходи!$L:$L,разходи!$E:$E,'ПП Юли'!$C$35,разходи!$M:$M,'ПП Юли'!X2)</f>
        <v>0</v>
      </c>
      <c r="Y35" s="76">
        <f>SUMIFS(разходи!$L:$L,разходи!$E:$E,'ПП Юли'!$C$35,разходи!$M:$M,'ПП Юли'!Y2)</f>
        <v>0</v>
      </c>
      <c r="Z35" s="74">
        <f>SUMIFS(разходи!$L:$L,разходи!$E:$E,'ПП Юли'!$C$35,разходи!$M:$M,'ПП Юли'!Z2)</f>
        <v>0</v>
      </c>
      <c r="AA35" s="74">
        <f>SUMIFS(разходи!$L:$L,разходи!$E:$E,'ПП Юли'!$C$35,разходи!$M:$M,'ПП Юли'!AA2)</f>
        <v>0</v>
      </c>
      <c r="AB35" s="74">
        <f>SUMIFS(разходи!$L:$L,разходи!$E:$E,'ПП Юли'!$C$35,разходи!$M:$M,'ПП Юли'!AB2)</f>
        <v>0</v>
      </c>
      <c r="AC35" s="74">
        <f>SUMIFS(разходи!$L:$L,разходи!$E:$E,'ПП Юли'!$C$35,разходи!$M:$M,'ПП Юли'!AC2)</f>
        <v>0</v>
      </c>
      <c r="AD35" s="74">
        <f>SUMIFS(разходи!$L:$L,разходи!$E:$E,'ПП Юли'!$C$35,разходи!$M:$M,'ПП Юли'!AD2)</f>
        <v>0</v>
      </c>
      <c r="AE35" s="76">
        <f>SUMIFS(разходи!$L:$L,разходи!$E:$E,'ПП Юли'!$C$35,разходи!$M:$M,'ПП Юли'!AE2)</f>
        <v>0</v>
      </c>
      <c r="AF35" s="76">
        <f>SUMIFS(разходи!$L:$L,разходи!$E:$E,'ПП Юли'!$C$35,разходи!$M:$M,'ПП Юли'!AF2)</f>
        <v>0</v>
      </c>
      <c r="AG35" s="74">
        <f>SUMIFS(разходи!$L:$L,разходи!$E:$E,'ПП Юли'!$C$35,разходи!$M:$M,'ПП Юли'!AG2)</f>
        <v>0</v>
      </c>
      <c r="AH35" s="74">
        <f>SUMIFS(разходи!$L:$L,разходи!$E:$E,'ПП Юли'!$C$35,разходи!$M:$M,'ПП Юли'!AH2)</f>
        <v>0</v>
      </c>
      <c r="AI35" s="74">
        <f>SUMIFS(разходи!$L:$L,разходи!$E:$E,'ПП Юли'!$C$35,разходи!$M:$M,'ПП Юли'!AI2)</f>
        <v>0</v>
      </c>
      <c r="AJ35" s="61">
        <f t="shared" ref="AJ35:AJ66" si="16">SUM(E35:AI35)</f>
        <v>743.54399999999998</v>
      </c>
      <c r="AK35" s="69">
        <f t="shared" si="3"/>
        <v>-743.54399999999998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>
        <f t="shared" ref="D36:AI36" si="17">SUM(D37:D40)</f>
        <v>16359.793329600001</v>
      </c>
      <c r="E36" s="74">
        <f t="shared" si="17"/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6">
        <f t="shared" si="17"/>
        <v>0</v>
      </c>
      <c r="K36" s="76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28846.991999999998</v>
      </c>
      <c r="P36" s="74">
        <f t="shared" si="17"/>
        <v>0</v>
      </c>
      <c r="Q36" s="76">
        <f t="shared" si="17"/>
        <v>0</v>
      </c>
      <c r="R36" s="76">
        <f t="shared" si="17"/>
        <v>0</v>
      </c>
      <c r="S36" s="74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6">
        <f t="shared" si="17"/>
        <v>0</v>
      </c>
      <c r="Y36" s="76">
        <f t="shared" si="17"/>
        <v>0</v>
      </c>
      <c r="Z36" s="74">
        <f t="shared" si="17"/>
        <v>0</v>
      </c>
      <c r="AA36" s="74">
        <f t="shared" si="17"/>
        <v>0</v>
      </c>
      <c r="AB36" s="74">
        <f t="shared" si="17"/>
        <v>0</v>
      </c>
      <c r="AC36" s="74">
        <f t="shared" si="17"/>
        <v>0</v>
      </c>
      <c r="AD36" s="74">
        <f t="shared" si="17"/>
        <v>0</v>
      </c>
      <c r="AE36" s="76">
        <f t="shared" si="17"/>
        <v>0</v>
      </c>
      <c r="AF36" s="76">
        <f t="shared" si="17"/>
        <v>0</v>
      </c>
      <c r="AG36" s="74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28846.991999999998</v>
      </c>
      <c r="AK36" s="62">
        <f t="shared" si="3"/>
        <v>-12487.198670399997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>
        <v>16359.793329600001</v>
      </c>
      <c r="E37" s="74">
        <f>SUMIFS(разходи!$L:$L,разходи!$E:$E,'ПП Юли'!$C$37,разходи!$M:$M,'ПП Юли'!E2)</f>
        <v>0</v>
      </c>
      <c r="F37" s="74">
        <f>SUMIFS(разходи!$L:$L,разходи!$E:$E,'ПП Юли'!$C$37,разходи!$M:$M,'ПП Юли'!F2)</f>
        <v>0</v>
      </c>
      <c r="G37" s="74">
        <f>SUMIFS(разходи!$L:$L,разходи!$E:$E,'ПП Юли'!$C$37,разходи!$M:$M,'ПП Юли'!G2)</f>
        <v>0</v>
      </c>
      <c r="H37" s="74">
        <f>SUMIFS(разходи!$L:$L,разходи!$E:$E,'ПП Юли'!$C$37,разходи!$M:$M,'ПП Юли'!H2)</f>
        <v>0</v>
      </c>
      <c r="I37" s="74">
        <f>SUMIFS(разходи!$L:$L,разходи!$E:$E,'ПП Юли'!$C$37,разходи!$M:$M,'ПП Юли'!I2)</f>
        <v>0</v>
      </c>
      <c r="J37" s="76">
        <f>SUMIFS(разходи!$L:$L,разходи!$E:$E,'ПП Юли'!$C$37,разходи!$M:$M,'ПП Юли'!J2)</f>
        <v>0</v>
      </c>
      <c r="K37" s="76">
        <f>SUMIFS(разходи!$L:$L,разходи!$E:$E,'ПП Юли'!$C$37,разходи!$M:$M,'ПП Юли'!K2)</f>
        <v>0</v>
      </c>
      <c r="L37" s="74">
        <f>SUMIFS(разходи!$L:$L,разходи!$E:$E,'ПП Юли'!$C$37,разходи!$M:$M,'ПП Юли'!L2)</f>
        <v>0</v>
      </c>
      <c r="M37" s="74">
        <f>SUMIFS(разходи!$L:$L,разходи!$E:$E,'ПП Юли'!$C$37,разходи!$M:$M,'ПП Юли'!M2)</f>
        <v>0</v>
      </c>
      <c r="N37" s="74">
        <f>SUMIFS(разходи!$L:$L,разходи!$E:$E,'ПП Юли'!$C$37,разходи!$M:$M,'ПП Юли'!N2)</f>
        <v>0</v>
      </c>
      <c r="O37" s="74">
        <f>SUMIFS(разходи!$L:$L,разходи!$E:$E,'ПП Юли'!$C$37,разходи!$M:$M,'ПП Юли'!O2)</f>
        <v>12488.051999999998</v>
      </c>
      <c r="P37" s="74">
        <f>SUMIFS(разходи!$L:$L,разходи!$E:$E,'ПП Юли'!$C$37,разходи!$M:$M,'ПП Юли'!P2)</f>
        <v>0</v>
      </c>
      <c r="Q37" s="76">
        <f>SUMIFS(разходи!$L:$L,разходи!$E:$E,'ПП Юли'!$C$37,разходи!$M:$M,'ПП Юли'!Q2)</f>
        <v>0</v>
      </c>
      <c r="R37" s="76">
        <f>SUMIFS(разходи!$L:$L,разходи!$E:$E,'ПП Юли'!$C$37,разходи!$M:$M,'ПП Юли'!R2)</f>
        <v>0</v>
      </c>
      <c r="S37" s="74">
        <f>SUMIFS(разходи!$L:$L,разходи!$E:$E,'ПП Юли'!$C$37,разходи!$M:$M,'ПП Юли'!S2)</f>
        <v>0</v>
      </c>
      <c r="T37" s="74">
        <f>SUMIFS(разходи!$L:$L,разходи!$E:$E,'ПП Юли'!$C$37,разходи!$M:$M,'ПП Юли'!T2)</f>
        <v>0</v>
      </c>
      <c r="U37" s="74">
        <f>SUMIFS(разходи!$L:$L,разходи!$E:$E,'ПП Юли'!$C$37,разходи!$M:$M,'ПП Юли'!U2)</f>
        <v>0</v>
      </c>
      <c r="V37" s="74">
        <f>SUMIFS(разходи!$L:$L,разходи!$E:$E,'ПП Юли'!$C$37,разходи!$M:$M,'ПП Юли'!V2)</f>
        <v>0</v>
      </c>
      <c r="W37" s="74">
        <f>SUMIFS(разходи!$L:$L,разходи!$E:$E,'ПП Юли'!$C$37,разходи!$M:$M,'ПП Юли'!W2)</f>
        <v>0</v>
      </c>
      <c r="X37" s="76">
        <f>SUMIFS(разходи!$L:$L,разходи!$E:$E,'ПП Юли'!$C$37,разходи!$M:$M,'ПП Юли'!X2)</f>
        <v>0</v>
      </c>
      <c r="Y37" s="76">
        <f>SUMIFS(разходи!$L:$L,разходи!$E:$E,'ПП Юли'!$C$37,разходи!$M:$M,'ПП Юли'!Y2)</f>
        <v>0</v>
      </c>
      <c r="Z37" s="74">
        <f>SUMIFS(разходи!$L:$L,разходи!$E:$E,'ПП Юли'!$C$37,разходи!$M:$M,'ПП Юли'!Z2)</f>
        <v>0</v>
      </c>
      <c r="AA37" s="74">
        <f>SUMIFS(разходи!$L:$L,разходи!$E:$E,'ПП Юли'!$C$37,разходи!$M:$M,'ПП Юли'!AA2)</f>
        <v>0</v>
      </c>
      <c r="AB37" s="74">
        <f>SUMIFS(разходи!$L:$L,разходи!$E:$E,'ПП Юли'!$C$37,разходи!$M:$M,'ПП Юли'!AB2)</f>
        <v>0</v>
      </c>
      <c r="AC37" s="74">
        <f>SUMIFS(разходи!$L:$L,разходи!$E:$E,'ПП Юли'!$C$37,разходи!$M:$M,'ПП Юли'!AC2)</f>
        <v>0</v>
      </c>
      <c r="AD37" s="74">
        <f>SUMIFS(разходи!$L:$L,разходи!$E:$E,'ПП Юли'!$C$37,разходи!$M:$M,'ПП Юли'!AD2)</f>
        <v>0</v>
      </c>
      <c r="AE37" s="76">
        <f>SUMIFS(разходи!$L:$L,разходи!$E:$E,'ПП Юли'!$C$37,разходи!$M:$M,'ПП Юли'!AE2)</f>
        <v>0</v>
      </c>
      <c r="AF37" s="76">
        <f>SUMIFS(разходи!$L:$L,разходи!$E:$E,'ПП Юли'!$C$37,разходи!$M:$M,'ПП Юли'!AF2)</f>
        <v>0</v>
      </c>
      <c r="AG37" s="74">
        <f>SUMIFS(разходи!$L:$L,разходи!$E:$E,'ПП Юли'!$C$37,разходи!$M:$M,'ПП Юли'!AG2)</f>
        <v>0</v>
      </c>
      <c r="AH37" s="74">
        <f>SUMIFS(разходи!$L:$L,разходи!$E:$E,'ПП Юли'!$C$37,разходи!$M:$M,'ПП Юли'!AH2)</f>
        <v>0</v>
      </c>
      <c r="AI37" s="74">
        <f>SUMIFS(разходи!$L:$L,разходи!$E:$E,'ПП Юли'!$C$37,разходи!$M:$M,'ПП Юли'!AI2)</f>
        <v>0</v>
      </c>
      <c r="AJ37" s="61">
        <f t="shared" si="16"/>
        <v>12488.051999999998</v>
      </c>
      <c r="AK37" s="69">
        <f t="shared" si="3"/>
        <v>3871.7413296000032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4">
        <f>SUMIFS(разходи!$L:$L,разходи!$E:$E,'ПП Юли'!$C$38,разходи!$M:$M,'ПП Юли'!E2)</f>
        <v>0</v>
      </c>
      <c r="F38" s="74">
        <f>SUMIFS(разходи!$L:$L,разходи!$E:$E,'ПП Юли'!$C$38,разходи!$M:$M,'ПП Юли'!F2)</f>
        <v>0</v>
      </c>
      <c r="G38" s="74">
        <f>SUMIFS(разходи!$L:$L,разходи!$E:$E,'ПП Юли'!$C$38,разходи!$M:$M,'ПП Юли'!G2)</f>
        <v>0</v>
      </c>
      <c r="H38" s="74">
        <f>SUMIFS(разходи!$L:$L,разходи!$E:$E,'ПП Юли'!$C$38,разходи!$M:$M,'ПП Юли'!H2)</f>
        <v>0</v>
      </c>
      <c r="I38" s="74">
        <f>SUMIFS(разходи!$L:$L,разходи!$E:$E,'ПП Юли'!$C$38,разходи!$M:$M,'ПП Юли'!I2)</f>
        <v>0</v>
      </c>
      <c r="J38" s="76">
        <f>SUMIFS(разходи!$L:$L,разходи!$E:$E,'ПП Юли'!$C$38,разходи!$M:$M,'ПП Юли'!J2)</f>
        <v>0</v>
      </c>
      <c r="K38" s="76">
        <f>SUMIFS(разходи!$L:$L,разходи!$E:$E,'ПП Юли'!$C$38,разходи!$M:$M,'ПП Юли'!K2)</f>
        <v>0</v>
      </c>
      <c r="L38" s="74">
        <f>SUMIFS(разходи!$L:$L,разходи!$E:$E,'ПП Юли'!$C$38,разходи!$M:$M,'ПП Юли'!L2)</f>
        <v>0</v>
      </c>
      <c r="M38" s="74">
        <f>SUMIFS(разходи!$L:$L,разходи!$E:$E,'ПП Юли'!$C$38,разходи!$M:$M,'ПП Юли'!M2)</f>
        <v>0</v>
      </c>
      <c r="N38" s="74">
        <f>SUMIFS(разходи!$L:$L,разходи!$E:$E,'ПП Юли'!$C$38,разходи!$M:$M,'ПП Юли'!N2)</f>
        <v>0</v>
      </c>
      <c r="O38" s="74">
        <f>SUMIFS(разходи!$L:$L,разходи!$E:$E,'ПП Юли'!$C$38,разходи!$M:$M,'ПП Юли'!O2)</f>
        <v>17654.471999999998</v>
      </c>
      <c r="P38" s="74">
        <f>SUMIFS(разходи!$L:$L,разходи!$E:$E,'ПП Юли'!$C$38,разходи!$M:$M,'ПП Юли'!P2)</f>
        <v>0</v>
      </c>
      <c r="Q38" s="76">
        <f>SUMIFS(разходи!$L:$L,разходи!$E:$E,'ПП Юли'!$C$38,разходи!$M:$M,'ПП Юли'!Q2)</f>
        <v>0</v>
      </c>
      <c r="R38" s="76">
        <f>SUMIFS(разходи!$L:$L,разходи!$E:$E,'ПП Юли'!$C$38,разходи!$M:$M,'ПП Юли'!R2)</f>
        <v>0</v>
      </c>
      <c r="S38" s="74">
        <f>SUMIFS(разходи!$L:$L,разходи!$E:$E,'ПП Юли'!$C$38,разходи!$M:$M,'ПП Юли'!S2)</f>
        <v>0</v>
      </c>
      <c r="T38" s="74">
        <f>SUMIFS(разходи!$L:$L,разходи!$E:$E,'ПП Юли'!$C$38,разходи!$M:$M,'ПП Юли'!T2)</f>
        <v>0</v>
      </c>
      <c r="U38" s="74">
        <f>SUMIFS(разходи!$L:$L,разходи!$E:$E,'ПП Юли'!$C$38,разходи!$M:$M,'ПП Юли'!U2)</f>
        <v>0</v>
      </c>
      <c r="V38" s="74">
        <f>SUMIFS(разходи!$L:$L,разходи!$E:$E,'ПП Юли'!$C$38,разходи!$M:$M,'ПП Юли'!V2)</f>
        <v>0</v>
      </c>
      <c r="W38" s="74">
        <f>SUMIFS(разходи!$L:$L,разходи!$E:$E,'ПП Юли'!$C$38,разходи!$M:$M,'ПП Юли'!W2)</f>
        <v>0</v>
      </c>
      <c r="X38" s="76">
        <f>SUMIFS(разходи!$L:$L,разходи!$E:$E,'ПП Юли'!$C$38,разходи!$M:$M,'ПП Юли'!X2)</f>
        <v>0</v>
      </c>
      <c r="Y38" s="76">
        <f>SUMIFS(разходи!$L:$L,разходи!$E:$E,'ПП Юли'!$C$38,разходи!$M:$M,'ПП Юли'!Y2)</f>
        <v>0</v>
      </c>
      <c r="Z38" s="74">
        <f>SUMIFS(разходи!$L:$L,разходи!$E:$E,'ПП Юли'!$C$38,разходи!$M:$M,'ПП Юли'!Z2)</f>
        <v>0</v>
      </c>
      <c r="AA38" s="74">
        <f>SUMIFS(разходи!$L:$L,разходи!$E:$E,'ПП Юли'!$C$38,разходи!$M:$M,'ПП Юли'!AA2)</f>
        <v>0</v>
      </c>
      <c r="AB38" s="74">
        <f>SUMIFS(разходи!$L:$L,разходи!$E:$E,'ПП Юли'!$C$38,разходи!$M:$M,'ПП Юли'!AB2)</f>
        <v>0</v>
      </c>
      <c r="AC38" s="74">
        <f>SUMIFS(разходи!$L:$L,разходи!$E:$E,'ПП Юли'!$C$38,разходи!$M:$M,'ПП Юли'!AC2)</f>
        <v>0</v>
      </c>
      <c r="AD38" s="74">
        <f>SUMIFS(разходи!$L:$L,разходи!$E:$E,'ПП Юли'!$C$38,разходи!$M:$M,'ПП Юли'!AD2)</f>
        <v>0</v>
      </c>
      <c r="AE38" s="76">
        <f>SUMIFS(разходи!$L:$L,разходи!$E:$E,'ПП Юли'!$C$38,разходи!$M:$M,'ПП Юли'!AE2)</f>
        <v>0</v>
      </c>
      <c r="AF38" s="76">
        <f>SUMIFS(разходи!$L:$L,разходи!$E:$E,'ПП Юли'!$C$38,разходи!$M:$M,'ПП Юли'!AF2)</f>
        <v>0</v>
      </c>
      <c r="AG38" s="74">
        <f>SUMIFS(разходи!$L:$L,разходи!$E:$E,'ПП Юли'!$C$38,разходи!$M:$M,'ПП Юли'!AG2)</f>
        <v>0</v>
      </c>
      <c r="AH38" s="74">
        <f>SUMIFS(разходи!$L:$L,разходи!$E:$E,'ПП Юли'!$C$38,разходи!$M:$M,'ПП Юли'!AH2)</f>
        <v>0</v>
      </c>
      <c r="AI38" s="74">
        <f>SUMIFS(разходи!$L:$L,разходи!$E:$E,'ПП Юли'!$C$38,разходи!$M:$M,'ПП Юли'!AI2)</f>
        <v>0</v>
      </c>
      <c r="AJ38" s="61">
        <f t="shared" si="16"/>
        <v>17654.471999999998</v>
      </c>
      <c r="AK38" s="69">
        <f t="shared" si="3"/>
        <v>-17654.471999999998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Юли'!$C$39,разходи!$M:$M,'ПП Юли'!E2)</f>
        <v>0</v>
      </c>
      <c r="F39" s="74">
        <f>SUMIFS(разходи!$L:$L,разходи!$E:$E,'ПП Юли'!$C$39,разходи!$M:$M,'ПП Юли'!F2)</f>
        <v>0</v>
      </c>
      <c r="G39" s="74">
        <f>SUMIFS(разходи!$L:$L,разходи!$E:$E,'ПП Юли'!$C$39,разходи!$M:$M,'ПП Юли'!G2)</f>
        <v>0</v>
      </c>
      <c r="H39" s="74">
        <f>SUMIFS(разходи!$L:$L,разходи!$E:$E,'ПП Юли'!$C$39,разходи!$M:$M,'ПП Юли'!H2)</f>
        <v>0</v>
      </c>
      <c r="I39" s="74">
        <f>SUMIFS(разходи!$L:$L,разходи!$E:$E,'ПП Юли'!$C$39,разходи!$M:$M,'ПП Юли'!I2)</f>
        <v>0</v>
      </c>
      <c r="J39" s="76">
        <f>SUMIFS(разходи!$L:$L,разходи!$E:$E,'ПП Юли'!$C$39,разходи!$M:$M,'ПП Юли'!J2)</f>
        <v>0</v>
      </c>
      <c r="K39" s="76">
        <f>SUMIFS(разходи!$L:$L,разходи!$E:$E,'ПП Юли'!$C$39,разходи!$M:$M,'ПП Юли'!K2)</f>
        <v>0</v>
      </c>
      <c r="L39" s="74">
        <f>SUMIFS(разходи!$L:$L,разходи!$E:$E,'ПП Юли'!$C$39,разходи!$M:$M,'ПП Юли'!L2)</f>
        <v>0</v>
      </c>
      <c r="M39" s="74">
        <f>SUMIFS(разходи!$L:$L,разходи!$E:$E,'ПП Юли'!$C$39,разходи!$M:$M,'ПП Юли'!M2)</f>
        <v>0</v>
      </c>
      <c r="N39" s="74">
        <f>SUMIFS(разходи!$L:$L,разходи!$E:$E,'ПП Юли'!$C$39,разходи!$M:$M,'ПП Юли'!N2)</f>
        <v>0</v>
      </c>
      <c r="O39" s="74">
        <f>SUMIFS(разходи!$L:$L,разходи!$E:$E,'ПП Юли'!$C$39,разходи!$M:$M,'ПП Юли'!O2)</f>
        <v>817.16399999999999</v>
      </c>
      <c r="P39" s="74">
        <f>SUMIFS(разходи!$L:$L,разходи!$E:$E,'ПП Юли'!$C$39,разходи!$M:$M,'ПП Юли'!P2)</f>
        <v>0</v>
      </c>
      <c r="Q39" s="76">
        <f>SUMIFS(разходи!$L:$L,разходи!$E:$E,'ПП Юли'!$C$39,разходи!$M:$M,'ПП Юли'!Q2)</f>
        <v>0</v>
      </c>
      <c r="R39" s="76">
        <f>SUMIFS(разходи!$L:$L,разходи!$E:$E,'ПП Юли'!$C$39,разходи!$M:$M,'ПП Юли'!R2)</f>
        <v>0</v>
      </c>
      <c r="S39" s="74">
        <f>SUMIFS(разходи!$L:$L,разходи!$E:$E,'ПП Юли'!$C$39,разходи!$M:$M,'ПП Юли'!S2)</f>
        <v>0</v>
      </c>
      <c r="T39" s="74">
        <f>SUMIFS(разходи!$L:$L,разходи!$E:$E,'ПП Юли'!$C$39,разходи!$M:$M,'ПП Юли'!T2)</f>
        <v>0</v>
      </c>
      <c r="U39" s="74">
        <f>SUMIFS(разходи!$L:$L,разходи!$E:$E,'ПП Юли'!$C$39,разходи!$M:$M,'ПП Юли'!U2)</f>
        <v>0</v>
      </c>
      <c r="V39" s="74">
        <f>SUMIFS(разходи!$L:$L,разходи!$E:$E,'ПП Юли'!$C$39,разходи!$M:$M,'ПП Юли'!V2)</f>
        <v>0</v>
      </c>
      <c r="W39" s="74">
        <f>SUMIFS(разходи!$L:$L,разходи!$E:$E,'ПП Юли'!$C$39,разходи!$M:$M,'ПП Юли'!W2)</f>
        <v>0</v>
      </c>
      <c r="X39" s="76">
        <f>SUMIFS(разходи!$L:$L,разходи!$E:$E,'ПП Юли'!$C$39,разходи!$M:$M,'ПП Юли'!X2)</f>
        <v>0</v>
      </c>
      <c r="Y39" s="76">
        <f>SUMIFS(разходи!$L:$L,разходи!$E:$E,'ПП Юли'!$C$39,разходи!$M:$M,'ПП Юли'!Y2)</f>
        <v>0</v>
      </c>
      <c r="Z39" s="74">
        <f>SUMIFS(разходи!$L:$L,разходи!$E:$E,'ПП Юли'!$C$39,разходи!$M:$M,'ПП Юли'!Z2)</f>
        <v>0</v>
      </c>
      <c r="AA39" s="74">
        <f>SUMIFS(разходи!$L:$L,разходи!$E:$E,'ПП Юли'!$C$39,разходи!$M:$M,'ПП Юли'!AA2)</f>
        <v>0</v>
      </c>
      <c r="AB39" s="74">
        <f>SUMIFS(разходи!$L:$L,разходи!$E:$E,'ПП Юли'!$C$39,разходи!$M:$M,'ПП Юли'!AB2)</f>
        <v>0</v>
      </c>
      <c r="AC39" s="74">
        <f>SUMIFS(разходи!$L:$L,разходи!$E:$E,'ПП Юли'!$C$39,разходи!$M:$M,'ПП Юли'!AC2)</f>
        <v>0</v>
      </c>
      <c r="AD39" s="74">
        <f>SUMIFS(разходи!$L:$L,разходи!$E:$E,'ПП Юли'!$C$39,разходи!$M:$M,'ПП Юли'!AD2)</f>
        <v>0</v>
      </c>
      <c r="AE39" s="76">
        <f>SUMIFS(разходи!$L:$L,разходи!$E:$E,'ПП Юли'!$C$39,разходи!$M:$M,'ПП Юли'!AE2)</f>
        <v>0</v>
      </c>
      <c r="AF39" s="76">
        <f>SUMIFS(разходи!$L:$L,разходи!$E:$E,'ПП Юли'!$C$39,разходи!$M:$M,'ПП Юли'!AF2)</f>
        <v>0</v>
      </c>
      <c r="AG39" s="74">
        <f>SUMIFS(разходи!$L:$L,разходи!$E:$E,'ПП Юли'!$C$39,разходи!$M:$M,'ПП Юли'!AG2)</f>
        <v>0</v>
      </c>
      <c r="AH39" s="74">
        <f>SUMIFS(разходи!$L:$L,разходи!$E:$E,'ПП Юли'!$C$39,разходи!$M:$M,'ПП Юли'!AH2)</f>
        <v>0</v>
      </c>
      <c r="AI39" s="74">
        <f>SUMIFS(разходи!$L:$L,разходи!$E:$E,'ПП Юли'!$C$39,разходи!$M:$M,'ПП Юли'!AI2)</f>
        <v>0</v>
      </c>
      <c r="AJ39" s="61">
        <f t="shared" si="16"/>
        <v>817.16399999999999</v>
      </c>
      <c r="AK39" s="69">
        <f t="shared" si="3"/>
        <v>-817.16399999999999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4">
        <f>SUMIFS(разходи!$L:$L,разходи!$E:$E,'ПП Юли'!$C$40,разходи!$M:$M,'ПП Юли'!E2)</f>
        <v>0</v>
      </c>
      <c r="F40" s="74">
        <f>SUMIFS(разходи!$L:$L,разходи!$E:$E,'ПП Юли'!$C$40,разходи!$M:$M,'ПП Юли'!F2)</f>
        <v>0</v>
      </c>
      <c r="G40" s="74">
        <f>SUMIFS(разходи!$L:$L,разходи!$E:$E,'ПП Юли'!$C$40,разходи!$M:$M,'ПП Юли'!G2)</f>
        <v>0</v>
      </c>
      <c r="H40" s="74">
        <f>SUMIFS(разходи!$L:$L,разходи!$E:$E,'ПП Юли'!$C$40,разходи!$M:$M,'ПП Юли'!H2)</f>
        <v>0</v>
      </c>
      <c r="I40" s="74">
        <f>SUMIFS(разходи!$L:$L,разходи!$E:$E,'ПП Юли'!$C$40,разходи!$M:$M,'ПП Юли'!I2)</f>
        <v>0</v>
      </c>
      <c r="J40" s="76">
        <f>SUMIFS(разходи!$L:$L,разходи!$E:$E,'ПП Юли'!$C$40,разходи!$M:$M,'ПП Юли'!J2)</f>
        <v>0</v>
      </c>
      <c r="K40" s="76">
        <f>SUMIFS(разходи!$L:$L,разходи!$E:$E,'ПП Юли'!$C$40,разходи!$M:$M,'ПП Юли'!K2)</f>
        <v>0</v>
      </c>
      <c r="L40" s="74">
        <f>SUMIFS(разходи!$L:$L,разходи!$E:$E,'ПП Юли'!$C$40,разходи!$M:$M,'ПП Юли'!L2)</f>
        <v>0</v>
      </c>
      <c r="M40" s="74">
        <f>SUMIFS(разходи!$L:$L,разходи!$E:$E,'ПП Юли'!$C$40,разходи!$M:$M,'ПП Юли'!M2)</f>
        <v>0</v>
      </c>
      <c r="N40" s="74">
        <f>SUMIFS(разходи!$L:$L,разходи!$E:$E,'ПП Юли'!$C$40,разходи!$M:$M,'ПП Юли'!N2)</f>
        <v>0</v>
      </c>
      <c r="O40" s="74">
        <f>SUMIFS(разходи!$L:$L,разходи!$E:$E,'ПП Юли'!$C$40,разходи!$M:$M,'ПП Юли'!O2)</f>
        <v>-2112.6959999999999</v>
      </c>
      <c r="P40" s="74">
        <f>SUMIFS(разходи!$L:$L,разходи!$E:$E,'ПП Юли'!$C$40,разходи!$M:$M,'ПП Юли'!P2)</f>
        <v>0</v>
      </c>
      <c r="Q40" s="76">
        <f>SUMIFS(разходи!$L:$L,разходи!$E:$E,'ПП Юли'!$C$40,разходи!$M:$M,'ПП Юли'!Q2)</f>
        <v>0</v>
      </c>
      <c r="R40" s="76">
        <f>SUMIFS(разходи!$L:$L,разходи!$E:$E,'ПП Юли'!$C$40,разходи!$M:$M,'ПП Юли'!R2)</f>
        <v>0</v>
      </c>
      <c r="S40" s="74">
        <f>SUMIFS(разходи!$L:$L,разходи!$E:$E,'ПП Юли'!$C$40,разходи!$M:$M,'ПП Юли'!S2)</f>
        <v>0</v>
      </c>
      <c r="T40" s="74">
        <f>SUMIFS(разходи!$L:$L,разходи!$E:$E,'ПП Юли'!$C$40,разходи!$M:$M,'ПП Юли'!T2)</f>
        <v>0</v>
      </c>
      <c r="U40" s="74">
        <f>SUMIFS(разходи!$L:$L,разходи!$E:$E,'ПП Юли'!$C$40,разходи!$M:$M,'ПП Юли'!U2)</f>
        <v>0</v>
      </c>
      <c r="V40" s="74">
        <f>SUMIFS(разходи!$L:$L,разходи!$E:$E,'ПП Юли'!$C$40,разходи!$M:$M,'ПП Юли'!V2)</f>
        <v>0</v>
      </c>
      <c r="W40" s="74">
        <f>SUMIFS(разходи!$L:$L,разходи!$E:$E,'ПП Юли'!$C$40,разходи!$M:$M,'ПП Юли'!W2)</f>
        <v>0</v>
      </c>
      <c r="X40" s="76">
        <f>SUMIFS(разходи!$L:$L,разходи!$E:$E,'ПП Юли'!$C$40,разходи!$M:$M,'ПП Юли'!X2)</f>
        <v>0</v>
      </c>
      <c r="Y40" s="76">
        <f>SUMIFS(разходи!$L:$L,разходи!$E:$E,'ПП Юли'!$C$40,разходи!$M:$M,'ПП Юли'!Y2)</f>
        <v>0</v>
      </c>
      <c r="Z40" s="74">
        <f>SUMIFS(разходи!$L:$L,разходи!$E:$E,'ПП Юли'!$C$40,разходи!$M:$M,'ПП Юли'!Z2)</f>
        <v>0</v>
      </c>
      <c r="AA40" s="74">
        <f>SUMIFS(разходи!$L:$L,разходи!$E:$E,'ПП Юли'!$C$40,разходи!$M:$M,'ПП Юли'!AA2)</f>
        <v>0</v>
      </c>
      <c r="AB40" s="74">
        <f>SUMIFS(разходи!$L:$L,разходи!$E:$E,'ПП Юли'!$C$40,разходи!$M:$M,'ПП Юли'!AB2)</f>
        <v>0</v>
      </c>
      <c r="AC40" s="74">
        <f>SUMIFS(разходи!$L:$L,разходи!$E:$E,'ПП Юли'!$C$40,разходи!$M:$M,'ПП Юли'!AC2)</f>
        <v>0</v>
      </c>
      <c r="AD40" s="74">
        <f>SUMIFS(разходи!$L:$L,разходи!$E:$E,'ПП Юли'!$C$40,разходи!$M:$M,'ПП Юли'!AD2)</f>
        <v>0</v>
      </c>
      <c r="AE40" s="76">
        <f>SUMIFS(разходи!$L:$L,разходи!$E:$E,'ПП Юли'!$C$40,разходи!$M:$M,'ПП Юли'!AE2)</f>
        <v>0</v>
      </c>
      <c r="AF40" s="76">
        <f>SUMIFS(разходи!$L:$L,разходи!$E:$E,'ПП Юли'!$C$40,разходи!$M:$M,'ПП Юли'!AF2)</f>
        <v>0</v>
      </c>
      <c r="AG40" s="74">
        <f>SUMIFS(разходи!$L:$L,разходи!$E:$E,'ПП Юли'!$C$40,разходи!$M:$M,'ПП Юли'!AG2)</f>
        <v>0</v>
      </c>
      <c r="AH40" s="74">
        <f>SUMIFS(разходи!$L:$L,разходи!$E:$E,'ПП Юли'!$C$40,разходи!$M:$M,'ПП Юли'!AH2)</f>
        <v>0</v>
      </c>
      <c r="AI40" s="74">
        <f>SUMIFS(разходи!$L:$L,разходи!$E:$E,'ПП Юли'!$C$40,разходи!$M:$M,'ПП Юли'!AI2)</f>
        <v>0</v>
      </c>
      <c r="AJ40" s="61">
        <f t="shared" si="16"/>
        <v>-2112.6959999999999</v>
      </c>
      <c r="AK40" s="69">
        <f t="shared" si="3"/>
        <v>2112.6959999999999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v>209003.24304000003</v>
      </c>
      <c r="E41" s="74">
        <f>SUMIFS(разходи!$L:$L,разходи!$E:$E,'ПП Юли'!$C$41,разходи!$M:$M,'ПП Юли'!E2)</f>
        <v>0</v>
      </c>
      <c r="F41" s="74">
        <f>SUMIFS(разходи!$L:$L,разходи!$E:$E,'ПП Юли'!$C$41,разходи!$M:$M,'ПП Юли'!F2)</f>
        <v>0</v>
      </c>
      <c r="G41" s="74">
        <f>SUMIFS(разходи!$L:$L,разходи!$E:$E,'ПП Юли'!$C$41,разходи!$M:$M,'ПП Юли'!G2)</f>
        <v>0</v>
      </c>
      <c r="H41" s="74">
        <f>SUMIFS(разходи!$L:$L,разходи!$E:$E,'ПП Юли'!$C$41,разходи!$M:$M,'ПП Юли'!H2)</f>
        <v>0</v>
      </c>
      <c r="I41" s="74">
        <f>SUMIFS(разходи!$L:$L,разходи!$E:$E,'ПП Юли'!$C$41,разходи!$M:$M,'ПП Юли'!I2)</f>
        <v>0</v>
      </c>
      <c r="J41" s="76">
        <f>SUMIFS(разходи!$L:$L,разходи!$E:$E,'ПП Юли'!$C$41,разходи!$M:$M,'ПП Юли'!J2)</f>
        <v>0</v>
      </c>
      <c r="K41" s="76">
        <f>SUMIFS(разходи!$L:$L,разходи!$E:$E,'ПП Юли'!$C$41,разходи!$M:$M,'ПП Юли'!K2)</f>
        <v>0</v>
      </c>
      <c r="L41" s="74">
        <f>SUMIFS(разходи!$L:$L,разходи!$E:$E,'ПП Юли'!$C$41,разходи!$M:$M,'ПП Юли'!L2)</f>
        <v>0</v>
      </c>
      <c r="M41" s="74">
        <f>SUMIFS(разходи!$L:$L,разходи!$E:$E,'ПП Юли'!$C$41,разходи!$M:$M,'ПП Юли'!M2)</f>
        <v>29238.907439999995</v>
      </c>
      <c r="N41" s="74">
        <f>SUMIFS(разходи!$L:$L,разходи!$E:$E,'ПП Юли'!$C$41,разходи!$M:$M,'ПП Юли'!N2)</f>
        <v>0</v>
      </c>
      <c r="O41" s="74">
        <f>SUMIFS(разходи!$L:$L,разходи!$E:$E,'ПП Юли'!$C$41,разходи!$M:$M,'ПП Юли'!O2)</f>
        <v>0</v>
      </c>
      <c r="P41" s="74">
        <f>SUMIFS(разходи!$L:$L,разходи!$E:$E,'ПП Юли'!$C$41,разходи!$M:$M,'ПП Юли'!P2)</f>
        <v>0</v>
      </c>
      <c r="Q41" s="76">
        <f>SUMIFS(разходи!$L:$L,разходи!$E:$E,'ПП Юли'!$C$41,разходи!$M:$M,'ПП Юли'!Q2)</f>
        <v>0</v>
      </c>
      <c r="R41" s="76">
        <f>SUMIFS(разходи!$L:$L,разходи!$E:$E,'ПП Юли'!$C$41,разходи!$M:$M,'ПП Юли'!R2)</f>
        <v>0</v>
      </c>
      <c r="S41" s="74">
        <f>SUMIFS(разходи!$L:$L,разходи!$E:$E,'ПП Юли'!$C$41,разходи!$M:$M,'ПП Юли'!S2)</f>
        <v>0</v>
      </c>
      <c r="T41" s="74">
        <f>SUMIFS(разходи!$L:$L,разходи!$E:$E,'ПП Юли'!$C$41,разходи!$M:$M,'ПП Юли'!T2)</f>
        <v>0</v>
      </c>
      <c r="U41" s="74">
        <f>SUMIFS(разходи!$L:$L,разходи!$E:$E,'ПП Юли'!$C$41,разходи!$M:$M,'ПП Юли'!U2)</f>
        <v>0</v>
      </c>
      <c r="V41" s="74">
        <f>SUMIFS(разходи!$L:$L,разходи!$E:$E,'ПП Юли'!$C$41,разходи!$M:$M,'ПП Юли'!V2)</f>
        <v>0</v>
      </c>
      <c r="W41" s="74">
        <f>SUMIFS(разходи!$L:$L,разходи!$E:$E,'ПП Юли'!$C$41,разходи!$M:$M,'ПП Юли'!W2)</f>
        <v>0</v>
      </c>
      <c r="X41" s="76">
        <f>SUMIFS(разходи!$L:$L,разходи!$E:$E,'ПП Юли'!$C$41,разходи!$M:$M,'ПП Юли'!X2)</f>
        <v>0</v>
      </c>
      <c r="Y41" s="76">
        <f>SUMIFS(разходи!$L:$L,разходи!$E:$E,'ПП Юли'!$C$41,разходи!$M:$M,'ПП Юли'!Y2)</f>
        <v>0</v>
      </c>
      <c r="Z41" s="74">
        <f>SUMIFS(разходи!$L:$L,разходи!$E:$E,'ПП Юли'!$C$41,разходи!$M:$M,'ПП Юли'!Z2)</f>
        <v>0</v>
      </c>
      <c r="AA41" s="74">
        <f>SUMIFS(разходи!$L:$L,разходи!$E:$E,'ПП Юли'!$C$41,разходи!$M:$M,'ПП Юли'!AA2)</f>
        <v>0</v>
      </c>
      <c r="AB41" s="74">
        <f>SUMIFS(разходи!$L:$L,разходи!$E:$E,'ПП Юли'!$C$41,разходи!$M:$M,'ПП Юли'!AB2)</f>
        <v>0</v>
      </c>
      <c r="AC41" s="74">
        <f>SUMIFS(разходи!$L:$L,разходи!$E:$E,'ПП Юли'!$C$41,разходи!$M:$M,'ПП Юли'!AC2)</f>
        <v>0</v>
      </c>
      <c r="AD41" s="74">
        <f>SUMIFS(разходи!$L:$L,разходи!$E:$E,'ПП Юли'!$C$41,разходи!$M:$M,'ПП Юли'!AD2)</f>
        <v>0</v>
      </c>
      <c r="AE41" s="76">
        <f>SUMIFS(разходи!$L:$L,разходи!$E:$E,'ПП Юли'!$C$41,разходи!$M:$M,'ПП Юли'!AE2)</f>
        <v>0</v>
      </c>
      <c r="AF41" s="76">
        <f>SUMIFS(разходи!$L:$L,разходи!$E:$E,'ПП Юли'!$C$41,разходи!$M:$M,'ПП Юли'!AF2)</f>
        <v>0</v>
      </c>
      <c r="AG41" s="74">
        <f>SUMIFS(разходи!$L:$L,разходи!$E:$E,'ПП Юли'!$C$41,разходи!$M:$M,'ПП Юли'!AG2)</f>
        <v>0</v>
      </c>
      <c r="AH41" s="74">
        <f>SUMIFS(разходи!$L:$L,разходи!$E:$E,'ПП Юли'!$C$41,разходи!$M:$M,'ПП Юли'!AH2)</f>
        <v>0</v>
      </c>
      <c r="AI41" s="74">
        <f>SUMIFS(разходи!$L:$L,разходи!$E:$E,'ПП Юли'!$C$41,разходи!$M:$M,'ПП Юли'!AI2)</f>
        <v>0</v>
      </c>
      <c r="AJ41" s="61">
        <f t="shared" si="16"/>
        <v>29238.907439999995</v>
      </c>
      <c r="AK41" s="69">
        <f t="shared" si="3"/>
        <v>179764.33560000005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+D43+D48+D53+D56+D62</f>
        <v>58467.585120000003</v>
      </c>
      <c r="E42" s="74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0</v>
      </c>
      <c r="J42" s="76">
        <f t="shared" si="18"/>
        <v>0</v>
      </c>
      <c r="K42" s="76">
        <f t="shared" si="18"/>
        <v>0</v>
      </c>
      <c r="L42" s="74">
        <f t="shared" si="18"/>
        <v>0</v>
      </c>
      <c r="M42" s="74">
        <f t="shared" si="18"/>
        <v>12489.02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6">
        <f t="shared" si="18"/>
        <v>0</v>
      </c>
      <c r="R42" s="76">
        <f t="shared" si="18"/>
        <v>0</v>
      </c>
      <c r="S42" s="74">
        <f t="shared" si="18"/>
        <v>1337.4328599999999</v>
      </c>
      <c r="T42" s="74">
        <f t="shared" si="18"/>
        <v>307.02</v>
      </c>
      <c r="U42" s="74">
        <f t="shared" si="18"/>
        <v>0</v>
      </c>
      <c r="V42" s="74">
        <f t="shared" si="18"/>
        <v>1056</v>
      </c>
      <c r="W42" s="74">
        <f t="shared" si="18"/>
        <v>0</v>
      </c>
      <c r="X42" s="76">
        <f t="shared" si="18"/>
        <v>0</v>
      </c>
      <c r="Y42" s="76">
        <f t="shared" si="18"/>
        <v>0</v>
      </c>
      <c r="Z42" s="74">
        <f t="shared" si="18"/>
        <v>0</v>
      </c>
      <c r="AA42" s="74">
        <f t="shared" si="18"/>
        <v>12210.83</v>
      </c>
      <c r="AB42" s="74">
        <f t="shared" si="18"/>
        <v>0</v>
      </c>
      <c r="AC42" s="74">
        <f t="shared" si="18"/>
        <v>0</v>
      </c>
      <c r="AD42" s="74">
        <f t="shared" si="18"/>
        <v>0</v>
      </c>
      <c r="AE42" s="76">
        <f t="shared" si="18"/>
        <v>0</v>
      </c>
      <c r="AF42" s="76">
        <f t="shared" si="18"/>
        <v>0</v>
      </c>
      <c r="AG42" s="74">
        <f t="shared" si="18"/>
        <v>9176.0159999999996</v>
      </c>
      <c r="AH42" s="74">
        <f t="shared" si="18"/>
        <v>0</v>
      </c>
      <c r="AI42" s="74">
        <f t="shared" si="18"/>
        <v>0</v>
      </c>
      <c r="AJ42" s="61">
        <f t="shared" si="16"/>
        <v>36576.318859999999</v>
      </c>
      <c r="AK42" s="62">
        <f t="shared" si="3"/>
        <v>21891.266260000004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74">
        <f>SUM(D44:D47)</f>
        <v>9267.5851199999997</v>
      </c>
      <c r="E43" s="74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0</v>
      </c>
      <c r="J43" s="76">
        <f t="shared" si="19"/>
        <v>0</v>
      </c>
      <c r="K43" s="76">
        <f t="shared" si="19"/>
        <v>0</v>
      </c>
      <c r="L43" s="74">
        <f t="shared" si="19"/>
        <v>0</v>
      </c>
      <c r="M43" s="74">
        <f t="shared" si="19"/>
        <v>12489.02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6">
        <f t="shared" si="19"/>
        <v>0</v>
      </c>
      <c r="R43" s="76">
        <f t="shared" si="19"/>
        <v>0</v>
      </c>
      <c r="S43" s="74">
        <f t="shared" si="19"/>
        <v>0</v>
      </c>
      <c r="T43" s="74">
        <f t="shared" si="19"/>
        <v>307.02</v>
      </c>
      <c r="U43" s="74">
        <f t="shared" si="19"/>
        <v>0</v>
      </c>
      <c r="V43" s="74">
        <f t="shared" si="19"/>
        <v>1056</v>
      </c>
      <c r="W43" s="74">
        <f t="shared" si="19"/>
        <v>0</v>
      </c>
      <c r="X43" s="76">
        <f t="shared" si="19"/>
        <v>0</v>
      </c>
      <c r="Y43" s="76">
        <f t="shared" si="19"/>
        <v>0</v>
      </c>
      <c r="Z43" s="74">
        <f t="shared" si="19"/>
        <v>0</v>
      </c>
      <c r="AA43" s="74">
        <f t="shared" si="19"/>
        <v>0</v>
      </c>
      <c r="AB43" s="74">
        <f t="shared" si="19"/>
        <v>0</v>
      </c>
      <c r="AC43" s="74">
        <f t="shared" si="19"/>
        <v>0</v>
      </c>
      <c r="AD43" s="74">
        <f t="shared" si="19"/>
        <v>0</v>
      </c>
      <c r="AE43" s="76">
        <f t="shared" si="19"/>
        <v>0</v>
      </c>
      <c r="AF43" s="76">
        <f t="shared" si="19"/>
        <v>0</v>
      </c>
      <c r="AG43" s="74">
        <f t="shared" si="19"/>
        <v>39.395999999999994</v>
      </c>
      <c r="AH43" s="74">
        <f t="shared" si="19"/>
        <v>0</v>
      </c>
      <c r="AI43" s="74">
        <f t="shared" si="19"/>
        <v>0</v>
      </c>
      <c r="AJ43" s="61">
        <f t="shared" si="16"/>
        <v>13891.436000000002</v>
      </c>
      <c r="AK43" s="69">
        <f t="shared" si="3"/>
        <v>-4623.8508800000018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>
        <v>9267.5851199999997</v>
      </c>
      <c r="E44" s="74">
        <f>SUMIFS(разходи!$L:$L,разходи!$E:$E,'ПП Юли'!$C$44,разходи!$M:$M,'ПП Юли'!E2)</f>
        <v>0</v>
      </c>
      <c r="F44" s="74">
        <f>SUMIFS(разходи!$L:$L,разходи!$E:$E,'ПП Юли'!$C$44,разходи!$M:$M,'ПП Юли'!F2)</f>
        <v>0</v>
      </c>
      <c r="G44" s="74">
        <f>SUMIFS(разходи!$L:$L,разходи!$E:$E,'ПП Юли'!$C$44,разходи!$M:$M,'ПП Юли'!G2)</f>
        <v>0</v>
      </c>
      <c r="H44" s="74">
        <f>SUMIFS(разходи!$L:$L,разходи!$E:$E,'ПП Юли'!$C$44,разходи!$M:$M,'ПП Юли'!H2)</f>
        <v>0</v>
      </c>
      <c r="I44" s="74">
        <f>SUMIFS(разходи!$L:$L,разходи!$E:$E,'ПП Юли'!$C$44,разходи!$M:$M,'ПП Юли'!I2)</f>
        <v>0</v>
      </c>
      <c r="J44" s="76">
        <f>SUMIFS(разходи!$L:$L,разходи!$E:$E,'ПП Юли'!$C$44,разходи!$M:$M,'ПП Юли'!J2)</f>
        <v>0</v>
      </c>
      <c r="K44" s="76">
        <f>SUMIFS(разходи!$L:$L,разходи!$E:$E,'ПП Юли'!$C$44,разходи!$M:$M,'ПП Юли'!K2)</f>
        <v>0</v>
      </c>
      <c r="L44" s="74">
        <f>SUMIFS(разходи!$L:$L,разходи!$E:$E,'ПП Юли'!$C$44,разходи!$M:$M,'ПП Юли'!L2)</f>
        <v>0</v>
      </c>
      <c r="M44" s="74">
        <f>SUMIFS(разходи!$L:$L,разходи!$E:$E,'ПП Юли'!$C$44,разходи!$M:$M,'ПП Юли'!M2)</f>
        <v>12489.02</v>
      </c>
      <c r="N44" s="74">
        <f>SUMIFS(разходи!$L:$L,разходи!$E:$E,'ПП Юли'!$C$44,разходи!$M:$M,'ПП Юли'!N2)</f>
        <v>0</v>
      </c>
      <c r="O44" s="74">
        <f>SUMIFS(разходи!$L:$L,разходи!$E:$E,'ПП Юли'!$C$44,разходи!$M:$M,'ПП Юли'!O2)</f>
        <v>0</v>
      </c>
      <c r="P44" s="74">
        <f>SUMIFS(разходи!$L:$L,разходи!$E:$E,'ПП Юли'!$C$44,разходи!$M:$M,'ПП Юли'!P2)</f>
        <v>0</v>
      </c>
      <c r="Q44" s="76">
        <f>SUMIFS(разходи!$L:$L,разходи!$E:$E,'ПП Юли'!$C$44,разходи!$M:$M,'ПП Юли'!Q2)</f>
        <v>0</v>
      </c>
      <c r="R44" s="76">
        <f>SUMIFS(разходи!$L:$L,разходи!$E:$E,'ПП Юли'!$C$44,разходи!$M:$M,'ПП Юли'!R2)</f>
        <v>0</v>
      </c>
      <c r="S44" s="74">
        <f>SUMIFS(разходи!$L:$L,разходи!$E:$E,'ПП Юли'!$C$44,разходи!$M:$M,'ПП Юли'!S2)</f>
        <v>0</v>
      </c>
      <c r="T44" s="74">
        <f>SUMIFS(разходи!$L:$L,разходи!$E:$E,'ПП Юли'!$C$44,разходи!$M:$M,'ПП Юли'!T2)</f>
        <v>307.02</v>
      </c>
      <c r="U44" s="74">
        <f>SUMIFS(разходи!$L:$L,разходи!$E:$E,'ПП Юли'!$C$44,разходи!$M:$M,'ПП Юли'!U2)</f>
        <v>0</v>
      </c>
      <c r="V44" s="74">
        <f>SUMIFS(разходи!$L:$L,разходи!$E:$E,'ПП Юли'!$C$44,разходи!$M:$M,'ПП Юли'!V2)</f>
        <v>1056</v>
      </c>
      <c r="W44" s="74">
        <f>SUMIFS(разходи!$L:$L,разходи!$E:$E,'ПП Юли'!$C$44,разходи!$M:$M,'ПП Юли'!W2)</f>
        <v>0</v>
      </c>
      <c r="X44" s="76">
        <f>SUMIFS(разходи!$L:$L,разходи!$E:$E,'ПП Юли'!$C$44,разходи!$M:$M,'ПП Юли'!X2)</f>
        <v>0</v>
      </c>
      <c r="Y44" s="76">
        <f>SUMIFS(разходи!$L:$L,разходи!$E:$E,'ПП Юли'!$C$44,разходи!$M:$M,'ПП Юли'!Y2)</f>
        <v>0</v>
      </c>
      <c r="Z44" s="74">
        <f>SUMIFS(разходи!$L:$L,разходи!$E:$E,'ПП Юли'!$C$44,разходи!$M:$M,'ПП Юли'!Z2)</f>
        <v>0</v>
      </c>
      <c r="AA44" s="74">
        <f>SUMIFS(разходи!$L:$L,разходи!$E:$E,'ПП Юли'!$C$44,разходи!$M:$M,'ПП Юли'!AA2)</f>
        <v>0</v>
      </c>
      <c r="AB44" s="74">
        <f>SUMIFS(разходи!$L:$L,разходи!$E:$E,'ПП Юли'!$C$44,разходи!$M:$M,'ПП Юли'!AB2)</f>
        <v>0</v>
      </c>
      <c r="AC44" s="74">
        <f>SUMIFS(разходи!$L:$L,разходи!$E:$E,'ПП Юли'!$C$44,разходи!$M:$M,'ПП Юли'!AC2)</f>
        <v>0</v>
      </c>
      <c r="AD44" s="74">
        <f>SUMIFS(разходи!$L:$L,разходи!$E:$E,'ПП Юли'!$C$44,разходи!$M:$M,'ПП Юли'!AD2)</f>
        <v>0</v>
      </c>
      <c r="AE44" s="76">
        <f>SUMIFS(разходи!$L:$L,разходи!$E:$E,'ПП Юли'!$C$44,разходи!$M:$M,'ПП Юли'!AE2)</f>
        <v>0</v>
      </c>
      <c r="AF44" s="76">
        <f>SUMIFS(разходи!$L:$L,разходи!$E:$E,'ПП Юли'!$C$44,разходи!$M:$M,'ПП Юли'!AF2)</f>
        <v>0</v>
      </c>
      <c r="AG44" s="74">
        <f>SUMIFS(разходи!$L:$L,разходи!$E:$E,'ПП Юли'!$C$44,разходи!$M:$M,'ПП Юли'!AG2)</f>
        <v>39.395999999999994</v>
      </c>
      <c r="AH44" s="74">
        <f>SUMIFS(разходи!$L:$L,разходи!$E:$E,'ПП Юли'!$C$44,разходи!$M:$M,'ПП Юли'!AH2)</f>
        <v>0</v>
      </c>
      <c r="AI44" s="74">
        <f>SUMIFS(разходи!$L:$L,разходи!$E:$E,'ПП Юли'!$C$44,разходи!$M:$M,'ПП Юли'!AI2)</f>
        <v>0</v>
      </c>
      <c r="AJ44" s="61">
        <f t="shared" si="16"/>
        <v>13891.436000000002</v>
      </c>
      <c r="AK44" s="69">
        <f t="shared" si="3"/>
        <v>-4623.8508800000018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Юли'!$C$45,разходи!$M:$M,'ПП Юли'!E2)</f>
        <v>0</v>
      </c>
      <c r="F45" s="74">
        <f>SUMIFS(разходи!$L:$L,разходи!$E:$E,'ПП Юли'!$C$45,разходи!$M:$M,'ПП Юли'!F2)</f>
        <v>0</v>
      </c>
      <c r="G45" s="74">
        <f>SUMIFS(разходи!$L:$L,разходи!$E:$E,'ПП Юли'!$C$45,разходи!$M:$M,'ПП Юли'!G2)</f>
        <v>0</v>
      </c>
      <c r="H45" s="74">
        <f>SUMIFS(разходи!$L:$L,разходи!$E:$E,'ПП Юли'!$C$45,разходи!$M:$M,'ПП Юли'!H2)</f>
        <v>0</v>
      </c>
      <c r="I45" s="74">
        <f>SUMIFS(разходи!$L:$L,разходи!$E:$E,'ПП Юли'!$C$45,разходи!$M:$M,'ПП Юли'!I2)</f>
        <v>0</v>
      </c>
      <c r="J45" s="76">
        <f>SUMIFS(разходи!$L:$L,разходи!$E:$E,'ПП Юли'!$C$45,разходи!$M:$M,'ПП Юли'!J2)</f>
        <v>0</v>
      </c>
      <c r="K45" s="76">
        <f>SUMIFS(разходи!$L:$L,разходи!$E:$E,'ПП Юли'!$C$45,разходи!$M:$M,'ПП Юли'!K2)</f>
        <v>0</v>
      </c>
      <c r="L45" s="74">
        <f>SUMIFS(разходи!$L:$L,разходи!$E:$E,'ПП Юли'!$C$45,разходи!$M:$M,'ПП Юли'!L2)</f>
        <v>0</v>
      </c>
      <c r="M45" s="74">
        <f>SUMIFS(разходи!$L:$L,разходи!$E:$E,'ПП Юли'!$C$45,разходи!$M:$M,'ПП Юли'!M2)</f>
        <v>0</v>
      </c>
      <c r="N45" s="74">
        <f>SUMIFS(разходи!$L:$L,разходи!$E:$E,'ПП Юли'!$C$45,разходи!$M:$M,'ПП Юли'!N2)</f>
        <v>0</v>
      </c>
      <c r="O45" s="74">
        <f>SUMIFS(разходи!$L:$L,разходи!$E:$E,'ПП Юли'!$C$45,разходи!$M:$M,'ПП Юли'!O2)</f>
        <v>0</v>
      </c>
      <c r="P45" s="74">
        <f>SUMIFS(разходи!$L:$L,разходи!$E:$E,'ПП Юли'!$C$45,разходи!$M:$M,'ПП Юли'!P2)</f>
        <v>0</v>
      </c>
      <c r="Q45" s="76">
        <f>SUMIFS(разходи!$L:$L,разходи!$E:$E,'ПП Юли'!$C$45,разходи!$M:$M,'ПП Юли'!Q2)</f>
        <v>0</v>
      </c>
      <c r="R45" s="76">
        <f>SUMIFS(разходи!$L:$L,разходи!$E:$E,'ПП Юли'!$C$45,разходи!$M:$M,'ПП Юли'!R2)</f>
        <v>0</v>
      </c>
      <c r="S45" s="74">
        <f>SUMIFS(разходи!$L:$L,разходи!$E:$E,'ПП Юли'!$C$45,разходи!$M:$M,'ПП Юли'!S2)</f>
        <v>0</v>
      </c>
      <c r="T45" s="74">
        <f>SUMIFS(разходи!$L:$L,разходи!$E:$E,'ПП Юли'!$C$45,разходи!$M:$M,'ПП Юли'!T2)</f>
        <v>0</v>
      </c>
      <c r="U45" s="74">
        <f>SUMIFS(разходи!$L:$L,разходи!$E:$E,'ПП Юли'!$C$45,разходи!$M:$M,'ПП Юли'!U2)</f>
        <v>0</v>
      </c>
      <c r="V45" s="74">
        <f>SUMIFS(разходи!$L:$L,разходи!$E:$E,'ПП Юли'!$C$45,разходи!$M:$M,'ПП Юли'!V2)</f>
        <v>0</v>
      </c>
      <c r="W45" s="74">
        <f>SUMIFS(разходи!$L:$L,разходи!$E:$E,'ПП Юли'!$C$45,разходи!$M:$M,'ПП Юли'!W2)</f>
        <v>0</v>
      </c>
      <c r="X45" s="76">
        <f>SUMIFS(разходи!$L:$L,разходи!$E:$E,'ПП Юли'!$C$45,разходи!$M:$M,'ПП Юли'!X2)</f>
        <v>0</v>
      </c>
      <c r="Y45" s="76">
        <f>SUMIFS(разходи!$L:$L,разходи!$E:$E,'ПП Юли'!$C$45,разходи!$M:$M,'ПП Юли'!Y2)</f>
        <v>0</v>
      </c>
      <c r="Z45" s="74">
        <f>SUMIFS(разходи!$L:$L,разходи!$E:$E,'ПП Юли'!$C$45,разходи!$M:$M,'ПП Юли'!Z2)</f>
        <v>0</v>
      </c>
      <c r="AA45" s="74">
        <f>SUMIFS(разходи!$L:$L,разходи!$E:$E,'ПП Юли'!$C$45,разходи!$M:$M,'ПП Юли'!AA2)</f>
        <v>0</v>
      </c>
      <c r="AB45" s="74">
        <f>SUMIFS(разходи!$L:$L,разходи!$E:$E,'ПП Юли'!$C$45,разходи!$M:$M,'ПП Юли'!AB2)</f>
        <v>0</v>
      </c>
      <c r="AC45" s="74">
        <f>SUMIFS(разходи!$L:$L,разходи!$E:$E,'ПП Юли'!$C$45,разходи!$M:$M,'ПП Юли'!AC2)</f>
        <v>0</v>
      </c>
      <c r="AD45" s="74">
        <f>SUMIFS(разходи!$L:$L,разходи!$E:$E,'ПП Юли'!$C$45,разходи!$M:$M,'ПП Юли'!AD2)</f>
        <v>0</v>
      </c>
      <c r="AE45" s="76">
        <f>SUMIFS(разходи!$L:$L,разходи!$E:$E,'ПП Юли'!$C$45,разходи!$M:$M,'ПП Юли'!AE2)</f>
        <v>0</v>
      </c>
      <c r="AF45" s="76">
        <f>SUMIFS(разходи!$L:$L,разходи!$E:$E,'ПП Юли'!$C$45,разходи!$M:$M,'ПП Юли'!AF2)</f>
        <v>0</v>
      </c>
      <c r="AG45" s="74">
        <f>SUMIFS(разходи!$L:$L,разходи!$E:$E,'ПП Юли'!$C$45,разходи!$M:$M,'ПП Юли'!AG2)</f>
        <v>0</v>
      </c>
      <c r="AH45" s="74">
        <f>SUMIFS(разходи!$L:$L,разходи!$E:$E,'ПП Юли'!$C$45,разходи!$M:$M,'ПП Юли'!AH2)</f>
        <v>0</v>
      </c>
      <c r="AI45" s="74">
        <f>SUMIFS(разходи!$L:$L,разходи!$E:$E,'ПП Юли'!$C$45,разходи!$M:$M,'ПП Юли'!AI2)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Юли'!$C$46,разходи!$M:$M,'ПП Юли'!E2)</f>
        <v>0</v>
      </c>
      <c r="F46" s="74">
        <f>SUMIFS(разходи!$L:$L,разходи!$E:$E,'ПП Юли'!$C$46,разходи!$M:$M,'ПП Юли'!F2)</f>
        <v>0</v>
      </c>
      <c r="G46" s="74">
        <f>SUMIFS(разходи!$L:$L,разходи!$E:$E,'ПП Юли'!$C$46,разходи!$M:$M,'ПП Юли'!G2)</f>
        <v>0</v>
      </c>
      <c r="H46" s="74">
        <f>SUMIFS(разходи!$L:$L,разходи!$E:$E,'ПП Юли'!$C$46,разходи!$M:$M,'ПП Юли'!H2)</f>
        <v>0</v>
      </c>
      <c r="I46" s="74">
        <f>SUMIFS(разходи!$L:$L,разходи!$E:$E,'ПП Юли'!$C$46,разходи!$M:$M,'ПП Юли'!I2)</f>
        <v>0</v>
      </c>
      <c r="J46" s="76">
        <f>SUMIFS(разходи!$L:$L,разходи!$E:$E,'ПП Юли'!$C$46,разходи!$M:$M,'ПП Юли'!J2)</f>
        <v>0</v>
      </c>
      <c r="K46" s="76">
        <f>SUMIFS(разходи!$L:$L,разходи!$E:$E,'ПП Юли'!$C$46,разходи!$M:$M,'ПП Юли'!K2)</f>
        <v>0</v>
      </c>
      <c r="L46" s="74">
        <f>SUMIFS(разходи!$L:$L,разходи!$E:$E,'ПП Юли'!$C$46,разходи!$M:$M,'ПП Юли'!L2)</f>
        <v>0</v>
      </c>
      <c r="M46" s="74">
        <f>SUMIFS(разходи!$L:$L,разходи!$E:$E,'ПП Юли'!$C$46,разходи!$M:$M,'ПП Юли'!M2)</f>
        <v>0</v>
      </c>
      <c r="N46" s="74">
        <f>SUMIFS(разходи!$L:$L,разходи!$E:$E,'ПП Юли'!$C$46,разходи!$M:$M,'ПП Юли'!N2)</f>
        <v>0</v>
      </c>
      <c r="O46" s="74">
        <f>SUMIFS(разходи!$L:$L,разходи!$E:$E,'ПП Юли'!$C$46,разходи!$M:$M,'ПП Юли'!O2)</f>
        <v>0</v>
      </c>
      <c r="P46" s="74">
        <f>SUMIFS(разходи!$L:$L,разходи!$E:$E,'ПП Юли'!$C$46,разходи!$M:$M,'ПП Юли'!P2)</f>
        <v>0</v>
      </c>
      <c r="Q46" s="76">
        <f>SUMIFS(разходи!$L:$L,разходи!$E:$E,'ПП Юли'!$C$46,разходи!$M:$M,'ПП Юли'!Q2)</f>
        <v>0</v>
      </c>
      <c r="R46" s="76">
        <f>SUMIFS(разходи!$L:$L,разходи!$E:$E,'ПП Юли'!$C$46,разходи!$M:$M,'ПП Юли'!R2)</f>
        <v>0</v>
      </c>
      <c r="S46" s="74">
        <f>SUMIFS(разходи!$L:$L,разходи!$E:$E,'ПП Юли'!$C$46,разходи!$M:$M,'ПП Юли'!S2)</f>
        <v>0</v>
      </c>
      <c r="T46" s="74">
        <f>SUMIFS(разходи!$L:$L,разходи!$E:$E,'ПП Юли'!$C$46,разходи!$M:$M,'ПП Юли'!T2)</f>
        <v>0</v>
      </c>
      <c r="U46" s="74">
        <f>SUMIFS(разходи!$L:$L,разходи!$E:$E,'ПП Юли'!$C$46,разходи!$M:$M,'ПП Юли'!U2)</f>
        <v>0</v>
      </c>
      <c r="V46" s="74">
        <f>SUMIFS(разходи!$L:$L,разходи!$E:$E,'ПП Юли'!$C$46,разходи!$M:$M,'ПП Юли'!V2)</f>
        <v>0</v>
      </c>
      <c r="W46" s="74">
        <f>SUMIFS(разходи!$L:$L,разходи!$E:$E,'ПП Юли'!$C$46,разходи!$M:$M,'ПП Юли'!W2)</f>
        <v>0</v>
      </c>
      <c r="X46" s="76">
        <f>SUMIFS(разходи!$L:$L,разходи!$E:$E,'ПП Юли'!$C$46,разходи!$M:$M,'ПП Юли'!X2)</f>
        <v>0</v>
      </c>
      <c r="Y46" s="76">
        <f>SUMIFS(разходи!$L:$L,разходи!$E:$E,'ПП Юли'!$C$46,разходи!$M:$M,'ПП Юли'!Y2)</f>
        <v>0</v>
      </c>
      <c r="Z46" s="74">
        <f>SUMIFS(разходи!$L:$L,разходи!$E:$E,'ПП Юли'!$C$46,разходи!$M:$M,'ПП Юли'!Z2)</f>
        <v>0</v>
      </c>
      <c r="AA46" s="74">
        <f>SUMIFS(разходи!$L:$L,разходи!$E:$E,'ПП Юли'!$C$46,разходи!$M:$M,'ПП Юли'!AA2)</f>
        <v>0</v>
      </c>
      <c r="AB46" s="74">
        <f>SUMIFS(разходи!$L:$L,разходи!$E:$E,'ПП Юли'!$C$46,разходи!$M:$M,'ПП Юли'!AB2)</f>
        <v>0</v>
      </c>
      <c r="AC46" s="74">
        <f>SUMIFS(разходи!$L:$L,разходи!$E:$E,'ПП Юли'!$C$46,разходи!$M:$M,'ПП Юли'!AC2)</f>
        <v>0</v>
      </c>
      <c r="AD46" s="74">
        <f>SUMIFS(разходи!$L:$L,разходи!$E:$E,'ПП Юли'!$C$46,разходи!$M:$M,'ПП Юли'!AD2)</f>
        <v>0</v>
      </c>
      <c r="AE46" s="76">
        <f>SUMIFS(разходи!$L:$L,разходи!$E:$E,'ПП Юли'!$C$46,разходи!$M:$M,'ПП Юли'!AE2)</f>
        <v>0</v>
      </c>
      <c r="AF46" s="76">
        <f>SUMIFS(разходи!$L:$L,разходи!$E:$E,'ПП Юли'!$C$46,разходи!$M:$M,'ПП Юли'!AF2)</f>
        <v>0</v>
      </c>
      <c r="AG46" s="74">
        <f>SUMIFS(разходи!$L:$L,разходи!$E:$E,'ПП Юли'!$C$46,разходи!$M:$M,'ПП Юли'!AG2)</f>
        <v>0</v>
      </c>
      <c r="AH46" s="74">
        <f>SUMIFS(разходи!$L:$L,разходи!$E:$E,'ПП Юли'!$C$46,разходи!$M:$M,'ПП Юли'!AH2)</f>
        <v>0</v>
      </c>
      <c r="AI46" s="74">
        <f>SUMIFS(разходи!$L:$L,разходи!$E:$E,'ПП Юли'!$C$46,разходи!$M:$M,'ПП Юли'!AI2)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Юли'!$C$47,разходи!$M:$M,'ПП Юли'!E2)</f>
        <v>0</v>
      </c>
      <c r="F47" s="74">
        <f>SUMIFS(разходи!$L:$L,разходи!$E:$E,'ПП Юли'!$C$47,разходи!$M:$M,'ПП Юли'!F2)</f>
        <v>0</v>
      </c>
      <c r="G47" s="74">
        <f>SUMIFS(разходи!$L:$L,разходи!$E:$E,'ПП Юли'!$C$47,разходи!$M:$M,'ПП Юли'!G2)</f>
        <v>0</v>
      </c>
      <c r="H47" s="74">
        <f>SUMIFS(разходи!$L:$L,разходи!$E:$E,'ПП Юли'!$C$47,разходи!$M:$M,'ПП Юли'!H2)</f>
        <v>0</v>
      </c>
      <c r="I47" s="74">
        <f>SUMIFS(разходи!$L:$L,разходи!$E:$E,'ПП Юли'!$C$47,разходи!$M:$M,'ПП Юли'!I2)</f>
        <v>0</v>
      </c>
      <c r="J47" s="76">
        <f>SUMIFS(разходи!$L:$L,разходи!$E:$E,'ПП Юли'!$C$47,разходи!$M:$M,'ПП Юли'!J2)</f>
        <v>0</v>
      </c>
      <c r="K47" s="76">
        <f>SUMIFS(разходи!$L:$L,разходи!$E:$E,'ПП Юли'!$C$47,разходи!$M:$M,'ПП Юли'!K2)</f>
        <v>0</v>
      </c>
      <c r="L47" s="74">
        <f>SUMIFS(разходи!$L:$L,разходи!$E:$E,'ПП Юли'!$C$47,разходи!$M:$M,'ПП Юли'!L2)</f>
        <v>0</v>
      </c>
      <c r="M47" s="74">
        <f>SUMIFS(разходи!$L:$L,разходи!$E:$E,'ПП Юли'!$C$47,разходи!$M:$M,'ПП Юли'!M2)</f>
        <v>0</v>
      </c>
      <c r="N47" s="74">
        <f>SUMIFS(разходи!$L:$L,разходи!$E:$E,'ПП Юли'!$C$47,разходи!$M:$M,'ПП Юли'!N2)</f>
        <v>0</v>
      </c>
      <c r="O47" s="74">
        <f>SUMIFS(разходи!$L:$L,разходи!$E:$E,'ПП Юли'!$C$47,разходи!$M:$M,'ПП Юли'!O2)</f>
        <v>0</v>
      </c>
      <c r="P47" s="74">
        <f>SUMIFS(разходи!$L:$L,разходи!$E:$E,'ПП Юли'!$C$47,разходи!$M:$M,'ПП Юли'!P2)</f>
        <v>0</v>
      </c>
      <c r="Q47" s="76">
        <f>SUMIFS(разходи!$L:$L,разходи!$E:$E,'ПП Юли'!$C$47,разходи!$M:$M,'ПП Юли'!Q2)</f>
        <v>0</v>
      </c>
      <c r="R47" s="76">
        <f>SUMIFS(разходи!$L:$L,разходи!$E:$E,'ПП Юли'!$C$47,разходи!$M:$M,'ПП Юли'!R2)</f>
        <v>0</v>
      </c>
      <c r="S47" s="74">
        <f>SUMIFS(разходи!$L:$L,разходи!$E:$E,'ПП Юли'!$C$47,разходи!$M:$M,'ПП Юли'!S2)</f>
        <v>0</v>
      </c>
      <c r="T47" s="74">
        <f>SUMIFS(разходи!$L:$L,разходи!$E:$E,'ПП Юли'!$C$47,разходи!$M:$M,'ПП Юли'!T2)</f>
        <v>0</v>
      </c>
      <c r="U47" s="74">
        <f>SUMIFS(разходи!$L:$L,разходи!$E:$E,'ПП Юли'!$C$47,разходи!$M:$M,'ПП Юли'!U2)</f>
        <v>0</v>
      </c>
      <c r="V47" s="74">
        <f>SUMIFS(разходи!$L:$L,разходи!$E:$E,'ПП Юли'!$C$47,разходи!$M:$M,'ПП Юли'!V2)</f>
        <v>0</v>
      </c>
      <c r="W47" s="74">
        <f>SUMIFS(разходи!$L:$L,разходи!$E:$E,'ПП Юли'!$C$47,разходи!$M:$M,'ПП Юли'!W2)</f>
        <v>0</v>
      </c>
      <c r="X47" s="76">
        <f>SUMIFS(разходи!$L:$L,разходи!$E:$E,'ПП Юли'!$C$47,разходи!$M:$M,'ПП Юли'!X2)</f>
        <v>0</v>
      </c>
      <c r="Y47" s="76">
        <f>SUMIFS(разходи!$L:$L,разходи!$E:$E,'ПП Юли'!$C$47,разходи!$M:$M,'ПП Юли'!Y2)</f>
        <v>0</v>
      </c>
      <c r="Z47" s="74">
        <f>SUMIFS(разходи!$L:$L,разходи!$E:$E,'ПП Юли'!$C$47,разходи!$M:$M,'ПП Юли'!Z2)</f>
        <v>0</v>
      </c>
      <c r="AA47" s="74">
        <f>SUMIFS(разходи!$L:$L,разходи!$E:$E,'ПП Юли'!$C$47,разходи!$M:$M,'ПП Юли'!AA2)</f>
        <v>0</v>
      </c>
      <c r="AB47" s="74">
        <f>SUMIFS(разходи!$L:$L,разходи!$E:$E,'ПП Юли'!$C$47,разходи!$M:$M,'ПП Юли'!AB2)</f>
        <v>0</v>
      </c>
      <c r="AC47" s="74">
        <f>SUMIFS(разходи!$L:$L,разходи!$E:$E,'ПП Юли'!$C$47,разходи!$M:$M,'ПП Юли'!AC2)</f>
        <v>0</v>
      </c>
      <c r="AD47" s="74">
        <f>SUMIFS(разходи!$L:$L,разходи!$E:$E,'ПП Юли'!$C$47,разходи!$M:$M,'ПП Юли'!AD2)</f>
        <v>0</v>
      </c>
      <c r="AE47" s="76">
        <f>SUMIFS(разходи!$L:$L,разходи!$E:$E,'ПП Юли'!$C$47,разходи!$M:$M,'ПП Юли'!AE2)</f>
        <v>0</v>
      </c>
      <c r="AF47" s="76">
        <f>SUMIFS(разходи!$L:$L,разходи!$E:$E,'ПП Юли'!$C$47,разходи!$M:$M,'ПП Юли'!AF2)</f>
        <v>0</v>
      </c>
      <c r="AG47" s="74">
        <f>SUMIFS(разходи!$L:$L,разходи!$E:$E,'ПП Юли'!$C$47,разходи!$M:$M,'ПП Юли'!AG2)</f>
        <v>0</v>
      </c>
      <c r="AH47" s="74">
        <f>SUMIFS(разходи!$L:$L,разходи!$E:$E,'ПП Юли'!$C$47,разходи!$M:$M,'ПП Юли'!AH2)</f>
        <v>0</v>
      </c>
      <c r="AI47" s="74">
        <f>SUMIFS(разходи!$L:$L,разходи!$E:$E,'ПП Юли'!$C$47,разходи!$M:$M,'ПП Юли'!AI2)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4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0</v>
      </c>
      <c r="J48" s="76">
        <f t="shared" si="20"/>
        <v>0</v>
      </c>
      <c r="K48" s="76">
        <f t="shared" si="20"/>
        <v>0</v>
      </c>
      <c r="L48" s="74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6">
        <f t="shared" si="20"/>
        <v>0</v>
      </c>
      <c r="R48" s="76">
        <f t="shared" si="20"/>
        <v>0</v>
      </c>
      <c r="S48" s="74">
        <f t="shared" si="20"/>
        <v>296.29000000000002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6">
        <f t="shared" si="20"/>
        <v>0</v>
      </c>
      <c r="Y48" s="76">
        <f t="shared" si="20"/>
        <v>0</v>
      </c>
      <c r="Z48" s="74">
        <f t="shared" si="20"/>
        <v>0</v>
      </c>
      <c r="AA48" s="74">
        <f t="shared" si="20"/>
        <v>0</v>
      </c>
      <c r="AB48" s="74">
        <f t="shared" si="20"/>
        <v>0</v>
      </c>
      <c r="AC48" s="74">
        <f t="shared" si="20"/>
        <v>0</v>
      </c>
      <c r="AD48" s="74">
        <f t="shared" si="20"/>
        <v>0</v>
      </c>
      <c r="AE48" s="76">
        <f t="shared" si="20"/>
        <v>0</v>
      </c>
      <c r="AF48" s="76">
        <f t="shared" si="20"/>
        <v>0</v>
      </c>
      <c r="AG48" s="74">
        <f t="shared" si="20"/>
        <v>9136.619999999999</v>
      </c>
      <c r="AH48" s="74">
        <f t="shared" si="20"/>
        <v>0</v>
      </c>
      <c r="AI48" s="74">
        <f t="shared" si="20"/>
        <v>0</v>
      </c>
      <c r="AJ48" s="61">
        <f t="shared" si="16"/>
        <v>9432.91</v>
      </c>
      <c r="AK48" s="69">
        <f t="shared" si="3"/>
        <v>-9432.91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Юли'!$C$49,разходи!$M:$M,'ПП Юли'!E2)</f>
        <v>0</v>
      </c>
      <c r="F49" s="74">
        <f>SUMIFS(разходи!$L:$L,разходи!$E:$E,'ПП Юли'!$C$49,разходи!$M:$M,'ПП Юли'!F2)</f>
        <v>0</v>
      </c>
      <c r="G49" s="74">
        <f>SUMIFS(разходи!$L:$L,разходи!$E:$E,'ПП Юли'!$C$49,разходи!$M:$M,'ПП Юли'!G2)</f>
        <v>0</v>
      </c>
      <c r="H49" s="74">
        <f>SUMIFS(разходи!$L:$L,разходи!$E:$E,'ПП Юли'!$C$49,разходи!$M:$M,'ПП Юли'!H2)</f>
        <v>0</v>
      </c>
      <c r="I49" s="74">
        <f>SUMIFS(разходи!$L:$L,разходи!$E:$E,'ПП Юли'!$C$49,разходи!$M:$M,'ПП Юли'!I2)</f>
        <v>0</v>
      </c>
      <c r="J49" s="76">
        <f>SUMIFS(разходи!$L:$L,разходи!$E:$E,'ПП Юли'!$C$49,разходи!$M:$M,'ПП Юли'!J2)</f>
        <v>0</v>
      </c>
      <c r="K49" s="76">
        <f>SUMIFS(разходи!$L:$L,разходи!$E:$E,'ПП Юли'!$C$49,разходи!$M:$M,'ПП Юли'!K2)</f>
        <v>0</v>
      </c>
      <c r="L49" s="74">
        <f>SUMIFS(разходи!$L:$L,разходи!$E:$E,'ПП Юли'!$C$49,разходи!$M:$M,'ПП Юли'!L2)</f>
        <v>0</v>
      </c>
      <c r="M49" s="74">
        <f>SUMIFS(разходи!$L:$L,разходи!$E:$E,'ПП Юли'!$C$49,разходи!$M:$M,'ПП Юли'!M2)</f>
        <v>0</v>
      </c>
      <c r="N49" s="74">
        <f>SUMIFS(разходи!$L:$L,разходи!$E:$E,'ПП Юли'!$C$49,разходи!$M:$M,'ПП Юли'!N2)</f>
        <v>0</v>
      </c>
      <c r="O49" s="74">
        <f>SUMIFS(разходи!$L:$L,разходи!$E:$E,'ПП Юли'!$C$49,разходи!$M:$M,'ПП Юли'!O2)</f>
        <v>0</v>
      </c>
      <c r="P49" s="74">
        <f>SUMIFS(разходи!$L:$L,разходи!$E:$E,'ПП Юли'!$C$49,разходи!$M:$M,'ПП Юли'!P2)</f>
        <v>0</v>
      </c>
      <c r="Q49" s="76">
        <f>SUMIFS(разходи!$L:$L,разходи!$E:$E,'ПП Юли'!$C$49,разходи!$M:$M,'ПП Юли'!Q2)</f>
        <v>0</v>
      </c>
      <c r="R49" s="76">
        <f>SUMIFS(разходи!$L:$L,разходи!$E:$E,'ПП Юли'!$C$49,разходи!$M:$M,'ПП Юли'!R2)</f>
        <v>0</v>
      </c>
      <c r="S49" s="74">
        <f>SUMIFS(разходи!$L:$L,разходи!$E:$E,'ПП Юли'!$C$49,разходи!$M:$M,'ПП Юли'!S2)</f>
        <v>0</v>
      </c>
      <c r="T49" s="74">
        <f>SUMIFS(разходи!$L:$L,разходи!$E:$E,'ПП Юли'!$C$49,разходи!$M:$M,'ПП Юли'!T2)</f>
        <v>0</v>
      </c>
      <c r="U49" s="74">
        <f>SUMIFS(разходи!$L:$L,разходи!$E:$E,'ПП Юли'!$C$49,разходи!$M:$M,'ПП Юли'!U2)</f>
        <v>0</v>
      </c>
      <c r="V49" s="74">
        <f>SUMIFS(разходи!$L:$L,разходи!$E:$E,'ПП Юли'!$C$49,разходи!$M:$M,'ПП Юли'!V2)</f>
        <v>0</v>
      </c>
      <c r="W49" s="74">
        <f>SUMIFS(разходи!$L:$L,разходи!$E:$E,'ПП Юли'!$C$49,разходи!$M:$M,'ПП Юли'!W2)</f>
        <v>0</v>
      </c>
      <c r="X49" s="76">
        <f>SUMIFS(разходи!$L:$L,разходи!$E:$E,'ПП Юли'!$C$49,разходи!$M:$M,'ПП Юли'!X2)</f>
        <v>0</v>
      </c>
      <c r="Y49" s="76">
        <f>SUMIFS(разходи!$L:$L,разходи!$E:$E,'ПП Юли'!$C$49,разходи!$M:$M,'ПП Юли'!Y2)</f>
        <v>0</v>
      </c>
      <c r="Z49" s="74">
        <f>SUMIFS(разходи!$L:$L,разходи!$E:$E,'ПП Юли'!$C$49,разходи!$M:$M,'ПП Юли'!Z2)</f>
        <v>0</v>
      </c>
      <c r="AA49" s="74">
        <f>SUMIFS(разходи!$L:$L,разходи!$E:$E,'ПП Юли'!$C$49,разходи!$M:$M,'ПП Юли'!AA2)</f>
        <v>0</v>
      </c>
      <c r="AB49" s="74">
        <f>SUMIFS(разходи!$L:$L,разходи!$E:$E,'ПП Юли'!$C$49,разходи!$M:$M,'ПП Юли'!AB2)</f>
        <v>0</v>
      </c>
      <c r="AC49" s="74">
        <f>SUMIFS(разходи!$L:$L,разходи!$E:$E,'ПП Юли'!$C$49,разходи!$M:$M,'ПП Юли'!AC2)</f>
        <v>0</v>
      </c>
      <c r="AD49" s="74">
        <f>SUMIFS(разходи!$L:$L,разходи!$E:$E,'ПП Юли'!$C$49,разходи!$M:$M,'ПП Юли'!AD2)</f>
        <v>0</v>
      </c>
      <c r="AE49" s="76">
        <f>SUMIFS(разходи!$L:$L,разходи!$E:$E,'ПП Юли'!$C$49,разходи!$M:$M,'ПП Юли'!AE2)</f>
        <v>0</v>
      </c>
      <c r="AF49" s="76">
        <f>SUMIFS(разходи!$L:$L,разходи!$E:$E,'ПП Юли'!$C$49,разходи!$M:$M,'ПП Юли'!AF2)</f>
        <v>0</v>
      </c>
      <c r="AG49" s="74">
        <f>SUMIFS(разходи!$L:$L,разходи!$E:$E,'ПП Юли'!$C$49,разходи!$M:$M,'ПП Юли'!AG2)</f>
        <v>9136.619999999999</v>
      </c>
      <c r="AH49" s="74">
        <f>SUMIFS(разходи!$L:$L,разходи!$E:$E,'ПП Юли'!$C$49,разходи!$M:$M,'ПП Юли'!AH2)</f>
        <v>0</v>
      </c>
      <c r="AI49" s="74">
        <f>SUMIFS(разходи!$L:$L,разходи!$E:$E,'ПП Юли'!$C$49,разходи!$M:$M,'ПП Юли'!AI2)</f>
        <v>0</v>
      </c>
      <c r="AJ49" s="61">
        <f t="shared" si="16"/>
        <v>9136.619999999999</v>
      </c>
      <c r="AK49" s="69">
        <f t="shared" si="3"/>
        <v>-9136.619999999999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Юли'!$C$50,разходи!$M:$M,'ПП Юли'!E2)</f>
        <v>0</v>
      </c>
      <c r="F50" s="74">
        <f>SUMIFS(разходи!$L:$L,разходи!$E:$E,'ПП Юли'!$C$50,разходи!$M:$M,'ПП Юли'!F2)</f>
        <v>0</v>
      </c>
      <c r="G50" s="74">
        <f>SUMIFS(разходи!$L:$L,разходи!$E:$E,'ПП Юли'!$C$50,разходи!$M:$M,'ПП Юли'!G2)</f>
        <v>0</v>
      </c>
      <c r="H50" s="74">
        <f>SUMIFS(разходи!$L:$L,разходи!$E:$E,'ПП Юли'!$C$50,разходи!$M:$M,'ПП Юли'!H2)</f>
        <v>0</v>
      </c>
      <c r="I50" s="74">
        <f>SUMIFS(разходи!$L:$L,разходи!$E:$E,'ПП Юли'!$C$50,разходи!$M:$M,'ПП Юли'!I2)</f>
        <v>0</v>
      </c>
      <c r="J50" s="76">
        <f>SUMIFS(разходи!$L:$L,разходи!$E:$E,'ПП Юли'!$C$50,разходи!$M:$M,'ПП Юли'!J2)</f>
        <v>0</v>
      </c>
      <c r="K50" s="76">
        <f>SUMIFS(разходи!$L:$L,разходи!$E:$E,'ПП Юли'!$C$50,разходи!$M:$M,'ПП Юли'!K2)</f>
        <v>0</v>
      </c>
      <c r="L50" s="74">
        <f>SUMIFS(разходи!$L:$L,разходи!$E:$E,'ПП Юли'!$C$50,разходи!$M:$M,'ПП Юли'!L2)</f>
        <v>0</v>
      </c>
      <c r="M50" s="74">
        <f>SUMIFS(разходи!$L:$L,разходи!$E:$E,'ПП Юли'!$C$50,разходи!$M:$M,'ПП Юли'!M2)</f>
        <v>0</v>
      </c>
      <c r="N50" s="74">
        <f>SUMIFS(разходи!$L:$L,разходи!$E:$E,'ПП Юли'!$C$50,разходи!$M:$M,'ПП Юли'!N2)</f>
        <v>0</v>
      </c>
      <c r="O50" s="74">
        <f>SUMIFS(разходи!$L:$L,разходи!$E:$E,'ПП Юли'!$C$50,разходи!$M:$M,'ПП Юли'!O2)</f>
        <v>0</v>
      </c>
      <c r="P50" s="74">
        <f>SUMIFS(разходи!$L:$L,разходи!$E:$E,'ПП Юли'!$C$50,разходи!$M:$M,'ПП Юли'!P2)</f>
        <v>0</v>
      </c>
      <c r="Q50" s="76">
        <f>SUMIFS(разходи!$L:$L,разходи!$E:$E,'ПП Юли'!$C$50,разходи!$M:$M,'ПП Юли'!Q2)</f>
        <v>0</v>
      </c>
      <c r="R50" s="76">
        <f>SUMIFS(разходи!$L:$L,разходи!$E:$E,'ПП Юли'!$C$50,разходи!$M:$M,'ПП Юли'!R2)</f>
        <v>0</v>
      </c>
      <c r="S50" s="74">
        <f>SUMIFS(разходи!$L:$L,разходи!$E:$E,'ПП Юли'!$C$50,разходи!$M:$M,'ПП Юли'!S2)</f>
        <v>0</v>
      </c>
      <c r="T50" s="74">
        <f>SUMIFS(разходи!$L:$L,разходи!$E:$E,'ПП Юли'!$C$50,разходи!$M:$M,'ПП Юли'!T2)</f>
        <v>0</v>
      </c>
      <c r="U50" s="74">
        <f>SUMIFS(разходи!$L:$L,разходи!$E:$E,'ПП Юли'!$C$50,разходи!$M:$M,'ПП Юли'!U2)</f>
        <v>0</v>
      </c>
      <c r="V50" s="74">
        <f>SUMIFS(разходи!$L:$L,разходи!$E:$E,'ПП Юли'!$C$50,разходи!$M:$M,'ПП Юли'!V2)</f>
        <v>0</v>
      </c>
      <c r="W50" s="74">
        <f>SUMIFS(разходи!$L:$L,разходи!$E:$E,'ПП Юли'!$C$50,разходи!$M:$M,'ПП Юли'!W2)</f>
        <v>0</v>
      </c>
      <c r="X50" s="76">
        <f>SUMIFS(разходи!$L:$L,разходи!$E:$E,'ПП Юли'!$C$50,разходи!$M:$M,'ПП Юли'!X2)</f>
        <v>0</v>
      </c>
      <c r="Y50" s="76">
        <f>SUMIFS(разходи!$L:$L,разходи!$E:$E,'ПП Юли'!$C$50,разходи!$M:$M,'ПП Юли'!Y2)</f>
        <v>0</v>
      </c>
      <c r="Z50" s="74">
        <f>SUMIFS(разходи!$L:$L,разходи!$E:$E,'ПП Юли'!$C$50,разходи!$M:$M,'ПП Юли'!Z2)</f>
        <v>0</v>
      </c>
      <c r="AA50" s="74">
        <f>SUMIFS(разходи!$L:$L,разходи!$E:$E,'ПП Юли'!$C$50,разходи!$M:$M,'ПП Юли'!AA2)</f>
        <v>0</v>
      </c>
      <c r="AB50" s="74">
        <f>SUMIFS(разходи!$L:$L,разходи!$E:$E,'ПП Юли'!$C$50,разходи!$M:$M,'ПП Юли'!AB2)</f>
        <v>0</v>
      </c>
      <c r="AC50" s="74">
        <f>SUMIFS(разходи!$L:$L,разходи!$E:$E,'ПП Юли'!$C$50,разходи!$M:$M,'ПП Юли'!AC2)</f>
        <v>0</v>
      </c>
      <c r="AD50" s="74">
        <f>SUMIFS(разходи!$L:$L,разходи!$E:$E,'ПП Юли'!$C$50,разходи!$M:$M,'ПП Юли'!AD2)</f>
        <v>0</v>
      </c>
      <c r="AE50" s="76">
        <f>SUMIFS(разходи!$L:$L,разходи!$E:$E,'ПП Юли'!$C$50,разходи!$M:$M,'ПП Юли'!AE2)</f>
        <v>0</v>
      </c>
      <c r="AF50" s="76">
        <f>SUMIFS(разходи!$L:$L,разходи!$E:$E,'ПП Юли'!$C$50,разходи!$M:$M,'ПП Юли'!AF2)</f>
        <v>0</v>
      </c>
      <c r="AG50" s="74">
        <f>SUMIFS(разходи!$L:$L,разходи!$E:$E,'ПП Юли'!$C$50,разходи!$M:$M,'ПП Юли'!AG2)</f>
        <v>0</v>
      </c>
      <c r="AH50" s="74">
        <f>SUMIFS(разходи!$L:$L,разходи!$E:$E,'ПП Юли'!$C$50,разходи!$M:$M,'ПП Юли'!AH2)</f>
        <v>0</v>
      </c>
      <c r="AI50" s="74">
        <f>SUMIFS(разходи!$L:$L,разходи!$E:$E,'ПП Юли'!$C$50,разходи!$M:$M,'ПП Юли'!AI2)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Юли'!$C$51,разходи!$M:$M,'ПП Юли'!E2)</f>
        <v>0</v>
      </c>
      <c r="F51" s="74">
        <f>SUMIFS(разходи!$L:$L,разходи!$E:$E,'ПП Юли'!$C$51,разходи!$M:$M,'ПП Юли'!F2)</f>
        <v>0</v>
      </c>
      <c r="G51" s="74">
        <f>SUMIFS(разходи!$L:$L,разходи!$E:$E,'ПП Юли'!$C$51,разходи!$M:$M,'ПП Юли'!G2)</f>
        <v>0</v>
      </c>
      <c r="H51" s="74">
        <f>SUMIFS(разходи!$L:$L,разходи!$E:$E,'ПП Юли'!$C$51,разходи!$M:$M,'ПП Юли'!H2)</f>
        <v>0</v>
      </c>
      <c r="I51" s="74">
        <f>SUMIFS(разходи!$L:$L,разходи!$E:$E,'ПП Юли'!$C$51,разходи!$M:$M,'ПП Юли'!I2)</f>
        <v>0</v>
      </c>
      <c r="J51" s="76">
        <f>SUMIFS(разходи!$L:$L,разходи!$E:$E,'ПП Юли'!$C$51,разходи!$M:$M,'ПП Юли'!J2)</f>
        <v>0</v>
      </c>
      <c r="K51" s="76">
        <f>SUMIFS(разходи!$L:$L,разходи!$E:$E,'ПП Юли'!$C$51,разходи!$M:$M,'ПП Юли'!K2)</f>
        <v>0</v>
      </c>
      <c r="L51" s="74">
        <f>SUMIFS(разходи!$L:$L,разходи!$E:$E,'ПП Юли'!$C$51,разходи!$M:$M,'ПП Юли'!L2)</f>
        <v>0</v>
      </c>
      <c r="M51" s="74">
        <f>SUMIFS(разходи!$L:$L,разходи!$E:$E,'ПП Юли'!$C$51,разходи!$M:$M,'ПП Юли'!M2)</f>
        <v>0</v>
      </c>
      <c r="N51" s="74">
        <f>SUMIFS(разходи!$L:$L,разходи!$E:$E,'ПП Юли'!$C$51,разходи!$M:$M,'ПП Юли'!N2)</f>
        <v>0</v>
      </c>
      <c r="O51" s="74">
        <f>SUMIFS(разходи!$L:$L,разходи!$E:$E,'ПП Юли'!$C$51,разходи!$M:$M,'ПП Юли'!O2)</f>
        <v>0</v>
      </c>
      <c r="P51" s="74">
        <f>SUMIFS(разходи!$L:$L,разходи!$E:$E,'ПП Юли'!$C$51,разходи!$M:$M,'ПП Юли'!P2)</f>
        <v>0</v>
      </c>
      <c r="Q51" s="76">
        <f>SUMIFS(разходи!$L:$L,разходи!$E:$E,'ПП Юли'!$C$51,разходи!$M:$M,'ПП Юли'!Q2)</f>
        <v>0</v>
      </c>
      <c r="R51" s="76">
        <f>SUMIFS(разходи!$L:$L,разходи!$E:$E,'ПП Юли'!$C$51,разходи!$M:$M,'ПП Юли'!R2)</f>
        <v>0</v>
      </c>
      <c r="S51" s="74">
        <f>SUMIFS(разходи!$L:$L,разходи!$E:$E,'ПП Юли'!$C$51,разходи!$M:$M,'ПП Юли'!S2)</f>
        <v>296.29000000000002</v>
      </c>
      <c r="T51" s="74">
        <f>SUMIFS(разходи!$L:$L,разходи!$E:$E,'ПП Юли'!$C$51,разходи!$M:$M,'ПП Юли'!T2)</f>
        <v>0</v>
      </c>
      <c r="U51" s="74">
        <f>SUMIFS(разходи!$L:$L,разходи!$E:$E,'ПП Юли'!$C$51,разходи!$M:$M,'ПП Юли'!U2)</f>
        <v>0</v>
      </c>
      <c r="V51" s="74">
        <f>SUMIFS(разходи!$L:$L,разходи!$E:$E,'ПП Юли'!$C$51,разходи!$M:$M,'ПП Юли'!V2)</f>
        <v>0</v>
      </c>
      <c r="W51" s="74">
        <f>SUMIFS(разходи!$L:$L,разходи!$E:$E,'ПП Юли'!$C$51,разходи!$M:$M,'ПП Юли'!W2)</f>
        <v>0</v>
      </c>
      <c r="X51" s="76">
        <f>SUMIFS(разходи!$L:$L,разходи!$E:$E,'ПП Юли'!$C$51,разходи!$M:$M,'ПП Юли'!X2)</f>
        <v>0</v>
      </c>
      <c r="Y51" s="76">
        <f>SUMIFS(разходи!$L:$L,разходи!$E:$E,'ПП Юли'!$C$51,разходи!$M:$M,'ПП Юли'!Y2)</f>
        <v>0</v>
      </c>
      <c r="Z51" s="74">
        <f>SUMIFS(разходи!$L:$L,разходи!$E:$E,'ПП Юли'!$C$51,разходи!$M:$M,'ПП Юли'!Z2)</f>
        <v>0</v>
      </c>
      <c r="AA51" s="74">
        <f>SUMIFS(разходи!$L:$L,разходи!$E:$E,'ПП Юли'!$C$51,разходи!$M:$M,'ПП Юли'!AA2)</f>
        <v>0</v>
      </c>
      <c r="AB51" s="74">
        <f>SUMIFS(разходи!$L:$L,разходи!$E:$E,'ПП Юли'!$C$51,разходи!$M:$M,'ПП Юли'!AB2)</f>
        <v>0</v>
      </c>
      <c r="AC51" s="74">
        <f>SUMIFS(разходи!$L:$L,разходи!$E:$E,'ПП Юли'!$C$51,разходи!$M:$M,'ПП Юли'!AC2)</f>
        <v>0</v>
      </c>
      <c r="AD51" s="74">
        <f>SUMIFS(разходи!$L:$L,разходи!$E:$E,'ПП Юли'!$C$51,разходи!$M:$M,'ПП Юли'!AD2)</f>
        <v>0</v>
      </c>
      <c r="AE51" s="76">
        <f>SUMIFS(разходи!$L:$L,разходи!$E:$E,'ПП Юли'!$C$51,разходи!$M:$M,'ПП Юли'!AE2)</f>
        <v>0</v>
      </c>
      <c r="AF51" s="76">
        <f>SUMIFS(разходи!$L:$L,разходи!$E:$E,'ПП Юли'!$C$51,разходи!$M:$M,'ПП Юли'!AF2)</f>
        <v>0</v>
      </c>
      <c r="AG51" s="74">
        <f>SUMIFS(разходи!$L:$L,разходи!$E:$E,'ПП Юли'!$C$51,разходи!$M:$M,'ПП Юли'!AG2)</f>
        <v>0</v>
      </c>
      <c r="AH51" s="74">
        <f>SUMIFS(разходи!$L:$L,разходи!$E:$E,'ПП Юли'!$C$51,разходи!$M:$M,'ПП Юли'!AH2)</f>
        <v>0</v>
      </c>
      <c r="AI51" s="74">
        <f>SUMIFS(разходи!$L:$L,разходи!$E:$E,'ПП Юли'!$C$51,разходи!$M:$M,'ПП Юли'!AI2)</f>
        <v>0</v>
      </c>
      <c r="AJ51" s="61">
        <f t="shared" si="16"/>
        <v>296.29000000000002</v>
      </c>
      <c r="AK51" s="69">
        <f t="shared" si="3"/>
        <v>-296.29000000000002</v>
      </c>
    </row>
    <row r="52" spans="1:37" s="21" customFormat="1" ht="20.100000000000001" customHeight="1" outlineLevel="2" x14ac:dyDescent="0.3">
      <c r="A52" s="27"/>
      <c r="B52" s="22"/>
      <c r="C52" s="49" t="s">
        <v>1315</v>
      </c>
      <c r="D52" s="80"/>
      <c r="E52" s="74">
        <f>SUMIFS(разходи!$L:$L,разходи!$E:$E,'ПП Юли'!$C$52,разходи!$M:$M,'ПП Юли'!E2)</f>
        <v>0</v>
      </c>
      <c r="F52" s="74">
        <f>SUMIFS(разходи!$L:$L,разходи!$E:$E,'ПП Юли'!$C$52,разходи!$M:$M,'ПП Юли'!F2)</f>
        <v>0</v>
      </c>
      <c r="G52" s="74">
        <f>SUMIFS(разходи!$L:$L,разходи!$E:$E,'ПП Юли'!$C$52,разходи!$M:$M,'ПП Юли'!G2)</f>
        <v>0</v>
      </c>
      <c r="H52" s="74">
        <f>SUMIFS(разходи!$L:$L,разходи!$E:$E,'ПП Юли'!$C$52,разходи!$M:$M,'ПП Юли'!H2)</f>
        <v>0</v>
      </c>
      <c r="I52" s="74">
        <f>SUMIFS(разходи!$L:$L,разходи!$E:$E,'ПП Юли'!$C$52,разходи!$M:$M,'ПП Юли'!I2)</f>
        <v>0</v>
      </c>
      <c r="J52" s="76">
        <f>SUMIFS(разходи!$L:$L,разходи!$E:$E,'ПП Юли'!$C$52,разходи!$M:$M,'ПП Юли'!J2)</f>
        <v>0</v>
      </c>
      <c r="K52" s="76">
        <f>SUMIFS(разходи!$L:$L,разходи!$E:$E,'ПП Юли'!$C$52,разходи!$M:$M,'ПП Юли'!K2)</f>
        <v>0</v>
      </c>
      <c r="L52" s="74">
        <f>SUMIFS(разходи!$L:$L,разходи!$E:$E,'ПП Юли'!$C$52,разходи!$M:$M,'ПП Юли'!L2)</f>
        <v>0</v>
      </c>
      <c r="M52" s="74">
        <f>SUMIFS(разходи!$L:$L,разходи!$E:$E,'ПП Юли'!$C$52,разходи!$M:$M,'ПП Юли'!M2)</f>
        <v>0</v>
      </c>
      <c r="N52" s="74">
        <f>SUMIFS(разходи!$L:$L,разходи!$E:$E,'ПП Юли'!$C$52,разходи!$M:$M,'ПП Юли'!N2)</f>
        <v>0</v>
      </c>
      <c r="O52" s="74">
        <f>SUMIFS(разходи!$L:$L,разходи!$E:$E,'ПП Юли'!$C$52,разходи!$M:$M,'ПП Юли'!O2)</f>
        <v>0</v>
      </c>
      <c r="P52" s="74">
        <f>SUMIFS(разходи!$L:$L,разходи!$E:$E,'ПП Юли'!$C$52,разходи!$M:$M,'ПП Юли'!P2)</f>
        <v>0</v>
      </c>
      <c r="Q52" s="76">
        <f>SUMIFS(разходи!$L:$L,разходи!$E:$E,'ПП Юли'!$C$52,разходи!$M:$M,'ПП Юли'!Q2)</f>
        <v>0</v>
      </c>
      <c r="R52" s="76">
        <f>SUMIFS(разходи!$L:$L,разходи!$E:$E,'ПП Юли'!$C$52,разходи!$M:$M,'ПП Юли'!R2)</f>
        <v>0</v>
      </c>
      <c r="S52" s="74">
        <f>SUMIFS(разходи!$L:$L,разходи!$E:$E,'ПП Юли'!$C$52,разходи!$M:$M,'ПП Юли'!S2)</f>
        <v>0</v>
      </c>
      <c r="T52" s="74">
        <f>SUMIFS(разходи!$L:$L,разходи!$E:$E,'ПП Юли'!$C$52,разходи!$M:$M,'ПП Юли'!T2)</f>
        <v>0</v>
      </c>
      <c r="U52" s="74">
        <f>SUMIFS(разходи!$L:$L,разходи!$E:$E,'ПП Юли'!$C$52,разходи!$M:$M,'ПП Юли'!U2)</f>
        <v>0</v>
      </c>
      <c r="V52" s="74">
        <f>SUMIFS(разходи!$L:$L,разходи!$E:$E,'ПП Юли'!$C$52,разходи!$M:$M,'ПП Юли'!V2)</f>
        <v>0</v>
      </c>
      <c r="W52" s="74">
        <f>SUMIFS(разходи!$L:$L,разходи!$E:$E,'ПП Юли'!$C$52,разходи!$M:$M,'ПП Юли'!W2)</f>
        <v>0</v>
      </c>
      <c r="X52" s="76">
        <f>SUMIFS(разходи!$L:$L,разходи!$E:$E,'ПП Юли'!$C$52,разходи!$M:$M,'ПП Юли'!X2)</f>
        <v>0</v>
      </c>
      <c r="Y52" s="76">
        <f>SUMIFS(разходи!$L:$L,разходи!$E:$E,'ПП Юли'!$C$52,разходи!$M:$M,'ПП Юли'!Y2)</f>
        <v>0</v>
      </c>
      <c r="Z52" s="74">
        <f>SUMIFS(разходи!$L:$L,разходи!$E:$E,'ПП Юли'!$C$52,разходи!$M:$M,'ПП Юли'!Z2)</f>
        <v>0</v>
      </c>
      <c r="AA52" s="74">
        <f>SUMIFS(разходи!$L:$L,разходи!$E:$E,'ПП Юли'!$C$52,разходи!$M:$M,'ПП Юли'!AA2)</f>
        <v>0</v>
      </c>
      <c r="AB52" s="74">
        <f>SUMIFS(разходи!$L:$L,разходи!$E:$E,'ПП Юли'!$C$52,разходи!$M:$M,'ПП Юли'!AB2)</f>
        <v>0</v>
      </c>
      <c r="AC52" s="74">
        <f>SUMIFS(разходи!$L:$L,разходи!$E:$E,'ПП Юли'!$C$52,разходи!$M:$M,'ПП Юли'!AC2)</f>
        <v>0</v>
      </c>
      <c r="AD52" s="74">
        <f>SUMIFS(разходи!$L:$L,разходи!$E:$E,'ПП Юли'!$C$52,разходи!$M:$M,'ПП Юли'!AD2)</f>
        <v>0</v>
      </c>
      <c r="AE52" s="76">
        <f>SUMIFS(разходи!$L:$L,разходи!$E:$E,'ПП Юли'!$C$52,разходи!$M:$M,'ПП Юли'!AE2)</f>
        <v>0</v>
      </c>
      <c r="AF52" s="76">
        <f>SUMIFS(разходи!$L:$L,разходи!$E:$E,'ПП Юли'!$C$52,разходи!$M:$M,'ПП Юли'!AF2)</f>
        <v>0</v>
      </c>
      <c r="AG52" s="74">
        <f>SUMIFS(разходи!$L:$L,разходи!$E:$E,'ПП Юли'!$C$52,разходи!$M:$M,'ПП Юли'!AG2)</f>
        <v>0</v>
      </c>
      <c r="AH52" s="74">
        <f>SUMIFS(разходи!$L:$L,разходи!$E:$E,'ПП Юли'!$C$52,разходи!$M:$M,'ПП Юли'!AH2)</f>
        <v>0</v>
      </c>
      <c r="AI52" s="74">
        <f>SUMIFS(разходи!$L:$L,разходи!$E:$E,'ПП Юли'!$C$52,разходи!$M:$M,'ПП Юли'!AI2)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3000</v>
      </c>
      <c r="E53" s="74">
        <f>SUMIFS(разходи!$L:$L,разходи!$E:$E,'ПП Юли'!$C$57,разходи!$M:$M,'ПП Юли'!E2)</f>
        <v>0</v>
      </c>
      <c r="F53" s="74">
        <f>SUMIFS(разходи!$L:$L,разходи!$E:$E,'ПП Юли'!$C$57,разходи!$M:$M,'ПП Юли'!F2)</f>
        <v>0</v>
      </c>
      <c r="G53" s="74">
        <f>SUMIFS(разходи!$L:$L,разходи!$E:$E,'ПП Юли'!$C$57,разходи!$M:$M,'ПП Юли'!G2)</f>
        <v>0</v>
      </c>
      <c r="H53" s="74">
        <f>SUMIFS(разходи!$L:$L,разходи!$E:$E,'ПП Юли'!$C$57,разходи!$M:$M,'ПП Юли'!H2)</f>
        <v>0</v>
      </c>
      <c r="I53" s="74">
        <f>SUMIFS(разходи!$L:$L,разходи!$E:$E,'ПП Юли'!$C$57,разходи!$M:$M,'ПП Юли'!I2)</f>
        <v>0</v>
      </c>
      <c r="J53" s="76">
        <f>SUMIFS(разходи!$L:$L,разходи!$E:$E,'ПП Юли'!$C$57,разходи!$M:$M,'ПП Юли'!J2)</f>
        <v>0</v>
      </c>
      <c r="K53" s="76">
        <f>SUMIFS(разходи!$L:$L,разходи!$E:$E,'ПП Юли'!$C$57,разходи!$M:$M,'ПП Юли'!K2)</f>
        <v>0</v>
      </c>
      <c r="L53" s="74">
        <f>SUMIFS(разходи!$L:$L,разходи!$E:$E,'ПП Юли'!$C$57,разходи!$M:$M,'ПП Юли'!L2)</f>
        <v>0</v>
      </c>
      <c r="M53" s="74">
        <f>SUMIFS(разходи!$L:$L,разходи!$E:$E,'ПП Юли'!$C$57,разходи!$M:$M,'ПП Юли'!M2)</f>
        <v>0</v>
      </c>
      <c r="N53" s="74">
        <f>SUMIFS(разходи!$L:$L,разходи!$E:$E,'ПП Юли'!$C$57,разходи!$M:$M,'ПП Юли'!N2)</f>
        <v>0</v>
      </c>
      <c r="O53" s="74">
        <f>SUMIFS(разходи!$L:$L,разходи!$E:$E,'ПП Юли'!$C$57,разходи!$M:$M,'ПП Юли'!O2)</f>
        <v>0</v>
      </c>
      <c r="P53" s="74">
        <f>SUMIFS(разходи!$L:$L,разходи!$E:$E,'ПП Юли'!$C$57,разходи!$M:$M,'ПП Юли'!P2)</f>
        <v>0</v>
      </c>
      <c r="Q53" s="76">
        <f>SUMIFS(разходи!$L:$L,разходи!$E:$E,'ПП Юли'!$C$57,разходи!$M:$M,'ПП Юли'!Q2)</f>
        <v>0</v>
      </c>
      <c r="R53" s="76">
        <f>SUMIFS(разходи!$L:$L,разходи!$E:$E,'ПП Юли'!$C$57,разходи!$M:$M,'ПП Юли'!R2)</f>
        <v>0</v>
      </c>
      <c r="S53" s="74">
        <f>SUMIFS(разходи!$L:$L,разходи!$E:$E,'ПП Юли'!$C$57,разходи!$M:$M,'ПП Юли'!S2)</f>
        <v>0</v>
      </c>
      <c r="T53" s="74">
        <f>SUMIFS(разходи!$L:$L,разходи!$E:$E,'ПП Юли'!$C$57,разходи!$M:$M,'ПП Юли'!T2)</f>
        <v>0</v>
      </c>
      <c r="U53" s="74">
        <f>SUMIFS(разходи!$L:$L,разходи!$E:$E,'ПП Юли'!$C$57,разходи!$M:$M,'ПП Юли'!U2)</f>
        <v>0</v>
      </c>
      <c r="V53" s="74">
        <f>SUMIFS(разходи!$L:$L,разходи!$E:$E,'ПП Юли'!$C$57,разходи!$M:$M,'ПП Юли'!V2)</f>
        <v>0</v>
      </c>
      <c r="W53" s="74">
        <f>SUMIFS(разходи!$L:$L,разходи!$E:$E,'ПП Юли'!$C$57,разходи!$M:$M,'ПП Юли'!W2)</f>
        <v>0</v>
      </c>
      <c r="X53" s="76">
        <f>SUMIFS(разходи!$L:$L,разходи!$E:$E,'ПП Юли'!$C$57,разходи!$M:$M,'ПП Юли'!X2)</f>
        <v>0</v>
      </c>
      <c r="Y53" s="76">
        <f>SUMIFS(разходи!$L:$L,разходи!$E:$E,'ПП Юли'!$C$57,разходи!$M:$M,'ПП Юли'!Y2)</f>
        <v>0</v>
      </c>
      <c r="Z53" s="74">
        <f>SUMIFS(разходи!$L:$L,разходи!$E:$E,'ПП Юли'!$C$57,разходи!$M:$M,'ПП Юли'!Z2)</f>
        <v>0</v>
      </c>
      <c r="AA53" s="74">
        <f>SUMIFS(разходи!$L:$L,разходи!$E:$E,'ПП Юли'!$C$57,разходи!$M:$M,'ПП Юли'!AA2)</f>
        <v>0</v>
      </c>
      <c r="AB53" s="74">
        <f>SUMIFS(разходи!$L:$L,разходи!$E:$E,'ПП Юли'!$C$57,разходи!$M:$M,'ПП Юли'!AB2)</f>
        <v>0</v>
      </c>
      <c r="AC53" s="74">
        <f>SUMIFS(разходи!$L:$L,разходи!$E:$E,'ПП Юли'!$C$57,разходи!$M:$M,'ПП Юли'!AC2)</f>
        <v>0</v>
      </c>
      <c r="AD53" s="74">
        <f>SUMIFS(разходи!$L:$L,разходи!$E:$E,'ПП Юли'!$C$57,разходи!$M:$M,'ПП Юли'!AD2)</f>
        <v>0</v>
      </c>
      <c r="AE53" s="76">
        <f>SUMIFS(разходи!$L:$L,разходи!$E:$E,'ПП Юли'!$C$57,разходи!$M:$M,'ПП Юли'!AE2)</f>
        <v>0</v>
      </c>
      <c r="AF53" s="76">
        <f>SUMIFS(разходи!$L:$L,разходи!$E:$E,'ПП Юли'!$C$57,разходи!$M:$M,'ПП Юли'!AF2)</f>
        <v>0</v>
      </c>
      <c r="AG53" s="74">
        <f>SUMIFS(разходи!$L:$L,разходи!$E:$E,'ПП Юли'!$C$57,разходи!$M:$M,'ПП Юли'!AG2)</f>
        <v>0</v>
      </c>
      <c r="AH53" s="74">
        <f>SUMIFS(разходи!$L:$L,разходи!$E:$E,'ПП Юли'!$C$57,разходи!$M:$M,'ПП Юли'!AH2)</f>
        <v>0</v>
      </c>
      <c r="AI53" s="74">
        <f>SUMIFS(разходи!$L:$L,разходи!$E:$E,'ПП Юли'!$C$57,разходи!$M:$M,'ПП Юли'!AI2)</f>
        <v>0</v>
      </c>
      <c r="AJ53" s="61">
        <f t="shared" si="16"/>
        <v>0</v>
      </c>
      <c r="AK53" s="69">
        <f t="shared" si="3"/>
        <v>3000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Юли'!$C$54,разходи!$M:$M,'ПП Юли'!E2)</f>
        <v>0</v>
      </c>
      <c r="F54" s="74">
        <f>SUMIFS(разходи!$L:$L,разходи!$E:$E,'ПП Юли'!$C$54,разходи!$M:$M,'ПП Юли'!F2)</f>
        <v>0</v>
      </c>
      <c r="G54" s="74">
        <f>SUMIFS(разходи!$L:$L,разходи!$E:$E,'ПП Юли'!$C$54,разходи!$M:$M,'ПП Юли'!G2)</f>
        <v>0</v>
      </c>
      <c r="H54" s="74">
        <f>SUMIFS(разходи!$L:$L,разходи!$E:$E,'ПП Юли'!$C$54,разходи!$M:$M,'ПП Юли'!H2)</f>
        <v>0</v>
      </c>
      <c r="I54" s="74">
        <f>SUMIFS(разходи!$L:$L,разходи!$E:$E,'ПП Юли'!$C$54,разходи!$M:$M,'ПП Юли'!I2)</f>
        <v>0</v>
      </c>
      <c r="J54" s="76">
        <f>SUMIFS(разходи!$L:$L,разходи!$E:$E,'ПП Юли'!$C$54,разходи!$M:$M,'ПП Юли'!J2)</f>
        <v>0</v>
      </c>
      <c r="K54" s="76">
        <f>SUMIFS(разходи!$L:$L,разходи!$E:$E,'ПП Юли'!$C$54,разходи!$M:$M,'ПП Юли'!K2)</f>
        <v>0</v>
      </c>
      <c r="L54" s="74">
        <f>SUMIFS(разходи!$L:$L,разходи!$E:$E,'ПП Юли'!$C$54,разходи!$M:$M,'ПП Юли'!L2)</f>
        <v>0</v>
      </c>
      <c r="M54" s="74">
        <f>SUMIFS(разходи!$L:$L,разходи!$E:$E,'ПП Юли'!$C$54,разходи!$M:$M,'ПП Юли'!M2)</f>
        <v>0</v>
      </c>
      <c r="N54" s="74">
        <f>SUMIFS(разходи!$L:$L,разходи!$E:$E,'ПП Юли'!$C$54,разходи!$M:$M,'ПП Юли'!N2)</f>
        <v>0</v>
      </c>
      <c r="O54" s="74">
        <f>SUMIFS(разходи!$L:$L,разходи!$E:$E,'ПП Юли'!$C$54,разходи!$M:$M,'ПП Юли'!O2)</f>
        <v>0</v>
      </c>
      <c r="P54" s="74">
        <f>SUMIFS(разходи!$L:$L,разходи!$E:$E,'ПП Юли'!$C$54,разходи!$M:$M,'ПП Юли'!P2)</f>
        <v>0</v>
      </c>
      <c r="Q54" s="76">
        <f>SUMIFS(разходи!$L:$L,разходи!$E:$E,'ПП Юли'!$C$54,разходи!$M:$M,'ПП Юли'!Q2)</f>
        <v>0</v>
      </c>
      <c r="R54" s="76">
        <f>SUMIFS(разходи!$L:$L,разходи!$E:$E,'ПП Юли'!$C$54,разходи!$M:$M,'ПП Юли'!R2)</f>
        <v>0</v>
      </c>
      <c r="S54" s="74">
        <f>SUMIFS(разходи!$L:$L,разходи!$E:$E,'ПП Юли'!$C$54,разходи!$M:$M,'ПП Юли'!S2)</f>
        <v>0</v>
      </c>
      <c r="T54" s="74">
        <f>SUMIFS(разходи!$L:$L,разходи!$E:$E,'ПП Юли'!$C$54,разходи!$M:$M,'ПП Юли'!T2)</f>
        <v>0</v>
      </c>
      <c r="U54" s="74">
        <f>SUMIFS(разходи!$L:$L,разходи!$E:$E,'ПП Юли'!$C$54,разходи!$M:$M,'ПП Юли'!U2)</f>
        <v>0</v>
      </c>
      <c r="V54" s="74">
        <f>SUMIFS(разходи!$L:$L,разходи!$E:$E,'ПП Юли'!$C$54,разходи!$M:$M,'ПП Юли'!V2)</f>
        <v>0</v>
      </c>
      <c r="W54" s="74">
        <f>SUMIFS(разходи!$L:$L,разходи!$E:$E,'ПП Юли'!$C$54,разходи!$M:$M,'ПП Юли'!W2)</f>
        <v>0</v>
      </c>
      <c r="X54" s="76">
        <f>SUMIFS(разходи!$L:$L,разходи!$E:$E,'ПП Юли'!$C$54,разходи!$M:$M,'ПП Юли'!X2)</f>
        <v>0</v>
      </c>
      <c r="Y54" s="76">
        <f>SUMIFS(разходи!$L:$L,разходи!$E:$E,'ПП Юли'!$C$54,разходи!$M:$M,'ПП Юли'!Y2)</f>
        <v>0</v>
      </c>
      <c r="Z54" s="74">
        <f>SUMIFS(разходи!$L:$L,разходи!$E:$E,'ПП Юли'!$C$54,разходи!$M:$M,'ПП Юли'!Z2)</f>
        <v>0</v>
      </c>
      <c r="AA54" s="74">
        <f>SUMIFS(разходи!$L:$L,разходи!$E:$E,'ПП Юли'!$C$54,разходи!$M:$M,'ПП Юли'!AA2)</f>
        <v>0</v>
      </c>
      <c r="AB54" s="74">
        <f>SUMIFS(разходи!$L:$L,разходи!$E:$E,'ПП Юли'!$C$54,разходи!$M:$M,'ПП Юли'!AB2)</f>
        <v>0</v>
      </c>
      <c r="AC54" s="74">
        <f>SUMIFS(разходи!$L:$L,разходи!$E:$E,'ПП Юли'!$C$54,разходи!$M:$M,'ПП Юли'!AC2)</f>
        <v>0</v>
      </c>
      <c r="AD54" s="74">
        <f>SUMIFS(разходи!$L:$L,разходи!$E:$E,'ПП Юли'!$C$54,разходи!$M:$M,'ПП Юли'!AD2)</f>
        <v>0</v>
      </c>
      <c r="AE54" s="76">
        <f>SUMIFS(разходи!$L:$L,разходи!$E:$E,'ПП Юли'!$C$54,разходи!$M:$M,'ПП Юли'!AE2)</f>
        <v>0</v>
      </c>
      <c r="AF54" s="76">
        <f>SUMIFS(разходи!$L:$L,разходи!$E:$E,'ПП Юли'!$C$54,разходи!$M:$M,'ПП Юли'!AF2)</f>
        <v>0</v>
      </c>
      <c r="AG54" s="74">
        <f>SUMIFS(разходи!$L:$L,разходи!$E:$E,'ПП Юли'!$C$54,разходи!$M:$M,'ПП Юли'!AG2)</f>
        <v>0</v>
      </c>
      <c r="AH54" s="74">
        <f>SUMIFS(разходи!$L:$L,разходи!$E:$E,'ПП Юли'!$C$54,разходи!$M:$M,'ПП Юли'!AH2)</f>
        <v>0</v>
      </c>
      <c r="AI54" s="74">
        <f>SUMIFS(разходи!$L:$L,разходи!$E:$E,'ПП Юли'!$C$54,разходи!$M:$M,'ПП Юли'!AI2)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4">
        <f>SUMIFS(разходи!$L:$L,разходи!$E:$E,'ПП Юли'!$C$55,разходи!$M:$M,'ПП Юли'!E2)</f>
        <v>0</v>
      </c>
      <c r="F55" s="74">
        <f>SUMIFS(разходи!$L:$L,разходи!$E:$E,'ПП Юли'!$C$55,разходи!$M:$M,'ПП Юли'!F2)</f>
        <v>0</v>
      </c>
      <c r="G55" s="74">
        <f>SUMIFS(разходи!$L:$L,разходи!$E:$E,'ПП Юли'!$C$55,разходи!$M:$M,'ПП Юли'!G2)</f>
        <v>0</v>
      </c>
      <c r="H55" s="74">
        <f>SUMIFS(разходи!$L:$L,разходи!$E:$E,'ПП Юли'!$C$55,разходи!$M:$M,'ПП Юли'!H2)</f>
        <v>0</v>
      </c>
      <c r="I55" s="74">
        <f>SUMIFS(разходи!$L:$L,разходи!$E:$E,'ПП Юли'!$C$55,разходи!$M:$M,'ПП Юли'!I2)</f>
        <v>0</v>
      </c>
      <c r="J55" s="76">
        <f>SUMIFS(разходи!$L:$L,разходи!$E:$E,'ПП Юли'!$C$55,разходи!$M:$M,'ПП Юли'!J2)</f>
        <v>0</v>
      </c>
      <c r="K55" s="76">
        <f>SUMIFS(разходи!$L:$L,разходи!$E:$E,'ПП Юли'!$C$55,разходи!$M:$M,'ПП Юли'!K2)</f>
        <v>0</v>
      </c>
      <c r="L55" s="74">
        <f>SUMIFS(разходи!$L:$L,разходи!$E:$E,'ПП Юли'!$C$55,разходи!$M:$M,'ПП Юли'!L2)</f>
        <v>0</v>
      </c>
      <c r="M55" s="74">
        <f>SUMIFS(разходи!$L:$L,разходи!$E:$E,'ПП Юли'!$C$55,разходи!$M:$M,'ПП Юли'!M2)</f>
        <v>3000.73</v>
      </c>
      <c r="N55" s="74">
        <f>SUMIFS(разходи!$L:$L,разходи!$E:$E,'ПП Юли'!$C$55,разходи!$M:$M,'ПП Юли'!N2)</f>
        <v>0</v>
      </c>
      <c r="O55" s="74">
        <f>SUMIFS(разходи!$L:$L,разходи!$E:$E,'ПП Юли'!$C$55,разходи!$M:$M,'ПП Юли'!O2)</f>
        <v>0</v>
      </c>
      <c r="P55" s="74">
        <f>SUMIFS(разходи!$L:$L,разходи!$E:$E,'ПП Юли'!$C$55,разходи!$M:$M,'ПП Юли'!P2)</f>
        <v>0</v>
      </c>
      <c r="Q55" s="76">
        <f>SUMIFS(разходи!$L:$L,разходи!$E:$E,'ПП Юли'!$C$55,разходи!$M:$M,'ПП Юли'!Q2)</f>
        <v>0</v>
      </c>
      <c r="R55" s="76">
        <f>SUMIFS(разходи!$L:$L,разходи!$E:$E,'ПП Юли'!$C$55,разходи!$M:$M,'ПП Юли'!R2)</f>
        <v>0</v>
      </c>
      <c r="S55" s="74">
        <f>SUMIFS(разходи!$L:$L,разходи!$E:$E,'ПП Юли'!$C$55,разходи!$M:$M,'ПП Юли'!S2)</f>
        <v>0</v>
      </c>
      <c r="T55" s="74">
        <f>SUMIFS(разходи!$L:$L,разходи!$E:$E,'ПП Юли'!$C$55,разходи!$M:$M,'ПП Юли'!T2)</f>
        <v>0</v>
      </c>
      <c r="U55" s="74">
        <f>SUMIFS(разходи!$L:$L,разходи!$E:$E,'ПП Юли'!$C$55,разходи!$M:$M,'ПП Юли'!U2)</f>
        <v>0</v>
      </c>
      <c r="V55" s="74">
        <f>SUMIFS(разходи!$L:$L,разходи!$E:$E,'ПП Юли'!$C$55,разходи!$M:$M,'ПП Юли'!V2)</f>
        <v>0</v>
      </c>
      <c r="W55" s="74">
        <f>SUMIFS(разходи!$L:$L,разходи!$E:$E,'ПП Юли'!$C$55,разходи!$M:$M,'ПП Юли'!W2)</f>
        <v>3000.73</v>
      </c>
      <c r="X55" s="76">
        <f>SUMIFS(разходи!$L:$L,разходи!$E:$E,'ПП Юли'!$C$55,разходи!$M:$M,'ПП Юли'!X2)</f>
        <v>0</v>
      </c>
      <c r="Y55" s="76">
        <f>SUMIFS(разходи!$L:$L,разходи!$E:$E,'ПП Юли'!$C$55,разходи!$M:$M,'ПП Юли'!Y2)</f>
        <v>0</v>
      </c>
      <c r="Z55" s="74">
        <f>SUMIFS(разходи!$L:$L,разходи!$E:$E,'ПП Юли'!$C$55,разходи!$M:$M,'ПП Юли'!Z2)</f>
        <v>0</v>
      </c>
      <c r="AA55" s="74">
        <f>SUMIFS(разходи!$L:$L,разходи!$E:$E,'ПП Юли'!$C$55,разходи!$M:$M,'ПП Юли'!AA2)</f>
        <v>0</v>
      </c>
      <c r="AB55" s="74">
        <f>SUMIFS(разходи!$L:$L,разходи!$E:$E,'ПП Юли'!$C$55,разходи!$M:$M,'ПП Юли'!AB2)</f>
        <v>0</v>
      </c>
      <c r="AC55" s="74">
        <f>SUMIFS(разходи!$L:$L,разходи!$E:$E,'ПП Юли'!$C$55,разходи!$M:$M,'ПП Юли'!AC2)</f>
        <v>0</v>
      </c>
      <c r="AD55" s="74">
        <f>SUMIFS(разходи!$L:$L,разходи!$E:$E,'ПП Юли'!$C$55,разходи!$M:$M,'ПП Юли'!AD2)</f>
        <v>0</v>
      </c>
      <c r="AE55" s="76">
        <f>SUMIFS(разходи!$L:$L,разходи!$E:$E,'ПП Юли'!$C$55,разходи!$M:$M,'ПП Юли'!AE2)</f>
        <v>0</v>
      </c>
      <c r="AF55" s="76">
        <f>SUMIFS(разходи!$L:$L,разходи!$E:$E,'ПП Юли'!$C$55,разходи!$M:$M,'ПП Юли'!AF2)</f>
        <v>0</v>
      </c>
      <c r="AG55" s="74">
        <f>SUMIFS(разходи!$L:$L,разходи!$E:$E,'ПП Юли'!$C$55,разходи!$M:$M,'ПП Юли'!AG2)</f>
        <v>0</v>
      </c>
      <c r="AH55" s="74">
        <f>SUMIFS(разходи!$L:$L,разходи!$E:$E,'ПП Юли'!$C$55,разходи!$M:$M,'ПП Юли'!AH2)</f>
        <v>0</v>
      </c>
      <c r="AI55" s="74">
        <f>SUMIFS(разходи!$L:$L,разходи!$E:$E,'ПП Юли'!$C$55,разходи!$M:$M,'ПП Юли'!AI2)</f>
        <v>0</v>
      </c>
      <c r="AJ55" s="61">
        <f t="shared" si="16"/>
        <v>6001.46</v>
      </c>
      <c r="AK55" s="69">
        <f t="shared" si="3"/>
        <v>-3001.46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74">
        <f>SUM(D57:D61)</f>
        <v>3200</v>
      </c>
      <c r="E56" s="74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6">
        <f t="shared" si="21"/>
        <v>0</v>
      </c>
      <c r="K56" s="76">
        <f t="shared" si="21"/>
        <v>0</v>
      </c>
      <c r="L56" s="74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6">
        <f t="shared" si="21"/>
        <v>0</v>
      </c>
      <c r="R56" s="76">
        <f t="shared" si="21"/>
        <v>0</v>
      </c>
      <c r="S56" s="74">
        <f t="shared" si="21"/>
        <v>1041.1428599999999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6">
        <f t="shared" si="21"/>
        <v>0</v>
      </c>
      <c r="Y56" s="76">
        <f t="shared" si="21"/>
        <v>0</v>
      </c>
      <c r="Z56" s="74">
        <f t="shared" si="21"/>
        <v>0</v>
      </c>
      <c r="AA56" s="74">
        <f t="shared" si="21"/>
        <v>0</v>
      </c>
      <c r="AB56" s="74">
        <f t="shared" si="21"/>
        <v>0</v>
      </c>
      <c r="AC56" s="74">
        <f t="shared" si="21"/>
        <v>0</v>
      </c>
      <c r="AD56" s="74">
        <f t="shared" si="21"/>
        <v>0</v>
      </c>
      <c r="AE56" s="76">
        <f t="shared" si="21"/>
        <v>0</v>
      </c>
      <c r="AF56" s="76">
        <f t="shared" si="21"/>
        <v>0</v>
      </c>
      <c r="AG56" s="74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1041.1428599999999</v>
      </c>
      <c r="AK56" s="69">
        <f t="shared" si="3"/>
        <v>2158.8571400000001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Юли'!$C$57,разходи!$M:$M,'ПП Юли'!E2)</f>
        <v>0</v>
      </c>
      <c r="F57" s="74">
        <f>SUMIFS(разходи!$L:$L,разходи!$E:$E,'ПП Юли'!$C$57,разходи!$M:$M,'ПП Юли'!F2)</f>
        <v>0</v>
      </c>
      <c r="G57" s="74">
        <f>SUMIFS(разходи!$L:$L,разходи!$E:$E,'ПП Юли'!$C$57,разходи!$M:$M,'ПП Юли'!G2)</f>
        <v>0</v>
      </c>
      <c r="H57" s="74">
        <f>SUMIFS(разходи!$L:$L,разходи!$E:$E,'ПП Юли'!$C$57,разходи!$M:$M,'ПП Юли'!H2)</f>
        <v>0</v>
      </c>
      <c r="I57" s="74">
        <f>SUMIFS(разходи!$L:$L,разходи!$E:$E,'ПП Юли'!$C$57,разходи!$M:$M,'ПП Юли'!I2)</f>
        <v>0</v>
      </c>
      <c r="J57" s="76">
        <f>SUMIFS(разходи!$L:$L,разходи!$E:$E,'ПП Юли'!$C$57,разходи!$M:$M,'ПП Юли'!J2)</f>
        <v>0</v>
      </c>
      <c r="K57" s="76">
        <f>SUMIFS(разходи!$L:$L,разходи!$E:$E,'ПП Юли'!$C$57,разходи!$M:$M,'ПП Юли'!K2)</f>
        <v>0</v>
      </c>
      <c r="L57" s="74">
        <f>SUMIFS(разходи!$L:$L,разходи!$E:$E,'ПП Юли'!$C$57,разходи!$M:$M,'ПП Юли'!L2)</f>
        <v>0</v>
      </c>
      <c r="M57" s="74">
        <f>SUMIFS(разходи!$L:$L,разходи!$E:$E,'ПП Юли'!$C$57,разходи!$M:$M,'ПП Юли'!M2)</f>
        <v>0</v>
      </c>
      <c r="N57" s="74">
        <f>SUMIFS(разходи!$L:$L,разходи!$E:$E,'ПП Юли'!$C$57,разходи!$M:$M,'ПП Юли'!N2)</f>
        <v>0</v>
      </c>
      <c r="O57" s="74">
        <f>SUMIFS(разходи!$L:$L,разходи!$E:$E,'ПП Юли'!$C$57,разходи!$M:$M,'ПП Юли'!O2)</f>
        <v>0</v>
      </c>
      <c r="P57" s="74">
        <f>SUMIFS(разходи!$L:$L,разходи!$E:$E,'ПП Юли'!$C$57,разходи!$M:$M,'ПП Юли'!P2)</f>
        <v>0</v>
      </c>
      <c r="Q57" s="76">
        <f>SUMIFS(разходи!$L:$L,разходи!$E:$E,'ПП Юли'!$C$57,разходи!$M:$M,'ПП Юли'!Q2)</f>
        <v>0</v>
      </c>
      <c r="R57" s="76">
        <f>SUMIFS(разходи!$L:$L,разходи!$E:$E,'ПП Юли'!$C$57,разходи!$M:$M,'ПП Юли'!R2)</f>
        <v>0</v>
      </c>
      <c r="S57" s="74">
        <f>SUMIFS(разходи!$L:$L,разходи!$E:$E,'ПП Юли'!$C$57,разходи!$M:$M,'ПП Юли'!S2)</f>
        <v>0</v>
      </c>
      <c r="T57" s="74">
        <f>SUMIFS(разходи!$L:$L,разходи!$E:$E,'ПП Юли'!$C$57,разходи!$M:$M,'ПП Юли'!T2)</f>
        <v>0</v>
      </c>
      <c r="U57" s="74">
        <f>SUMIFS(разходи!$L:$L,разходи!$E:$E,'ПП Юли'!$C$57,разходи!$M:$M,'ПП Юли'!U2)</f>
        <v>0</v>
      </c>
      <c r="V57" s="74">
        <f>SUMIFS(разходи!$L:$L,разходи!$E:$E,'ПП Юли'!$C$57,разходи!$M:$M,'ПП Юли'!V2)</f>
        <v>0</v>
      </c>
      <c r="W57" s="74">
        <f>SUMIFS(разходи!$L:$L,разходи!$E:$E,'ПП Юли'!$C$57,разходи!$M:$M,'ПП Юли'!W2)</f>
        <v>0</v>
      </c>
      <c r="X57" s="76">
        <f>SUMIFS(разходи!$L:$L,разходи!$E:$E,'ПП Юли'!$C$57,разходи!$M:$M,'ПП Юли'!X2)</f>
        <v>0</v>
      </c>
      <c r="Y57" s="76">
        <f>SUMIFS(разходи!$L:$L,разходи!$E:$E,'ПП Юли'!$C$57,разходи!$M:$M,'ПП Юли'!Y2)</f>
        <v>0</v>
      </c>
      <c r="Z57" s="74">
        <f>SUMIFS(разходи!$L:$L,разходи!$E:$E,'ПП Юли'!$C$57,разходи!$M:$M,'ПП Юли'!Z2)</f>
        <v>0</v>
      </c>
      <c r="AA57" s="74">
        <f>SUMIFS(разходи!$L:$L,разходи!$E:$E,'ПП Юли'!$C$57,разходи!$M:$M,'ПП Юли'!AA2)</f>
        <v>0</v>
      </c>
      <c r="AB57" s="74">
        <f>SUMIFS(разходи!$L:$L,разходи!$E:$E,'ПП Юли'!$C$57,разходи!$M:$M,'ПП Юли'!AB2)</f>
        <v>0</v>
      </c>
      <c r="AC57" s="74">
        <f>SUMIFS(разходи!$L:$L,разходи!$E:$E,'ПП Юли'!$C$57,разходи!$M:$M,'ПП Юли'!AC2)</f>
        <v>0</v>
      </c>
      <c r="AD57" s="74">
        <f>SUMIFS(разходи!$L:$L,разходи!$E:$E,'ПП Юли'!$C$57,разходи!$M:$M,'ПП Юли'!AD2)</f>
        <v>0</v>
      </c>
      <c r="AE57" s="76">
        <f>SUMIFS(разходи!$L:$L,разходи!$E:$E,'ПП Юли'!$C$57,разходи!$M:$M,'ПП Юли'!AE2)</f>
        <v>0</v>
      </c>
      <c r="AF57" s="76">
        <f>SUMIFS(разходи!$L:$L,разходи!$E:$E,'ПП Юли'!$C$57,разходи!$M:$M,'ПП Юли'!AF2)</f>
        <v>0</v>
      </c>
      <c r="AG57" s="74">
        <f>SUMIFS(разходи!$L:$L,разходи!$E:$E,'ПП Юли'!$C$57,разходи!$M:$M,'ПП Юли'!AG2)</f>
        <v>0</v>
      </c>
      <c r="AH57" s="74">
        <f>SUMIFS(разходи!$L:$L,разходи!$E:$E,'ПП Юли'!$C$57,разходи!$M:$M,'ПП Юли'!AH2)</f>
        <v>0</v>
      </c>
      <c r="AI57" s="74">
        <f>SUMIFS(разходи!$L:$L,разходи!$E:$E,'ПП Юли'!$C$57,разходи!$M:$M,'ПП Юли'!AI2)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>
        <v>3200</v>
      </c>
      <c r="E58" s="74">
        <f>SUMIFS(разходи!$L:$L,разходи!$E:$E,'ПП Юли'!$C$58,разходи!$M:$M,'ПП Юли'!E2)</f>
        <v>0</v>
      </c>
      <c r="F58" s="74">
        <f>SUMIFS(разходи!$L:$L,разходи!$E:$E,'ПП Юли'!$C$58,разходи!$M:$M,'ПП Юли'!F2)</f>
        <v>0</v>
      </c>
      <c r="G58" s="74">
        <f>SUMIFS(разходи!$L:$L,разходи!$E:$E,'ПП Юли'!$C$58,разходи!$M:$M,'ПП Юли'!G2)</f>
        <v>0</v>
      </c>
      <c r="H58" s="74">
        <f>SUMIFS(разходи!$L:$L,разходи!$E:$E,'ПП Юли'!$C$58,разходи!$M:$M,'ПП Юли'!H2)</f>
        <v>0</v>
      </c>
      <c r="I58" s="74">
        <f>SUMIFS(разходи!$L:$L,разходи!$E:$E,'ПП Юли'!$C$58,разходи!$M:$M,'ПП Юли'!I2)</f>
        <v>0</v>
      </c>
      <c r="J58" s="76">
        <f>SUMIFS(разходи!$L:$L,разходи!$E:$E,'ПП Юли'!$C$58,разходи!$M:$M,'ПП Юли'!J2)</f>
        <v>0</v>
      </c>
      <c r="K58" s="76">
        <f>SUMIFS(разходи!$L:$L,разходи!$E:$E,'ПП Юли'!$C$58,разходи!$M:$M,'ПП Юли'!K2)</f>
        <v>0</v>
      </c>
      <c r="L58" s="74">
        <f>SUMIFS(разходи!$L:$L,разходи!$E:$E,'ПП Юли'!$C$58,разходи!$M:$M,'ПП Юли'!L2)</f>
        <v>0</v>
      </c>
      <c r="M58" s="74">
        <f>SUMIFS(разходи!$L:$L,разходи!$E:$E,'ПП Юли'!$C$58,разходи!$M:$M,'ПП Юли'!M2)</f>
        <v>0</v>
      </c>
      <c r="N58" s="74">
        <f>SUMIFS(разходи!$L:$L,разходи!$E:$E,'ПП Юли'!$C$58,разходи!$M:$M,'ПП Юли'!N2)</f>
        <v>0</v>
      </c>
      <c r="O58" s="74">
        <f>SUMIFS(разходи!$L:$L,разходи!$E:$E,'ПП Юли'!$C$58,разходи!$M:$M,'ПП Юли'!O2)</f>
        <v>0</v>
      </c>
      <c r="P58" s="74">
        <f>SUMIFS(разходи!$L:$L,разходи!$E:$E,'ПП Юли'!$C$58,разходи!$M:$M,'ПП Юли'!P2)</f>
        <v>0</v>
      </c>
      <c r="Q58" s="76">
        <f>SUMIFS(разходи!$L:$L,разходи!$E:$E,'ПП Юли'!$C$58,разходи!$M:$M,'ПП Юли'!Q2)</f>
        <v>0</v>
      </c>
      <c r="R58" s="76">
        <f>SUMIFS(разходи!$L:$L,разходи!$E:$E,'ПП Юли'!$C$58,разходи!$M:$M,'ПП Юли'!R2)</f>
        <v>0</v>
      </c>
      <c r="S58" s="74">
        <f>SUMIFS(разходи!$L:$L,разходи!$E:$E,'ПП Юли'!$C$58,разходи!$M:$M,'ПП Юли'!S2)</f>
        <v>0</v>
      </c>
      <c r="T58" s="74">
        <f>SUMIFS(разходи!$L:$L,разходи!$E:$E,'ПП Юли'!$C$58,разходи!$M:$M,'ПП Юли'!T2)</f>
        <v>0</v>
      </c>
      <c r="U58" s="74">
        <f>SUMIFS(разходи!$L:$L,разходи!$E:$E,'ПП Юли'!$C$58,разходи!$M:$M,'ПП Юли'!U2)</f>
        <v>0</v>
      </c>
      <c r="V58" s="74">
        <f>SUMIFS(разходи!$L:$L,разходи!$E:$E,'ПП Юли'!$C$58,разходи!$M:$M,'ПП Юли'!V2)</f>
        <v>0</v>
      </c>
      <c r="W58" s="74">
        <f>SUMIFS(разходи!$L:$L,разходи!$E:$E,'ПП Юли'!$C$58,разходи!$M:$M,'ПП Юли'!W2)</f>
        <v>0</v>
      </c>
      <c r="X58" s="76">
        <f>SUMIFS(разходи!$L:$L,разходи!$E:$E,'ПП Юли'!$C$58,разходи!$M:$M,'ПП Юли'!X2)</f>
        <v>0</v>
      </c>
      <c r="Y58" s="76">
        <f>SUMIFS(разходи!$L:$L,разходи!$E:$E,'ПП Юли'!$C$58,разходи!$M:$M,'ПП Юли'!Y2)</f>
        <v>0</v>
      </c>
      <c r="Z58" s="74">
        <f>SUMIFS(разходи!$L:$L,разходи!$E:$E,'ПП Юли'!$C$58,разходи!$M:$M,'ПП Юли'!Z2)</f>
        <v>0</v>
      </c>
      <c r="AA58" s="74">
        <f>SUMIFS(разходи!$L:$L,разходи!$E:$E,'ПП Юли'!$C$58,разходи!$M:$M,'ПП Юли'!AA2)</f>
        <v>0</v>
      </c>
      <c r="AB58" s="74">
        <f>SUMIFS(разходи!$L:$L,разходи!$E:$E,'ПП Юли'!$C$58,разходи!$M:$M,'ПП Юли'!AB2)</f>
        <v>0</v>
      </c>
      <c r="AC58" s="74">
        <f>SUMIFS(разходи!$L:$L,разходи!$E:$E,'ПП Юли'!$C$58,разходи!$M:$M,'ПП Юли'!AC2)</f>
        <v>0</v>
      </c>
      <c r="AD58" s="74">
        <f>SUMIFS(разходи!$L:$L,разходи!$E:$E,'ПП Юли'!$C$58,разходи!$M:$M,'ПП Юли'!AD2)</f>
        <v>0</v>
      </c>
      <c r="AE58" s="76">
        <f>SUMIFS(разходи!$L:$L,разходи!$E:$E,'ПП Юли'!$C$58,разходи!$M:$M,'ПП Юли'!AE2)</f>
        <v>0</v>
      </c>
      <c r="AF58" s="76">
        <f>SUMIFS(разходи!$L:$L,разходи!$E:$E,'ПП Юли'!$C$58,разходи!$M:$M,'ПП Юли'!AF2)</f>
        <v>0</v>
      </c>
      <c r="AG58" s="74">
        <f>SUMIFS(разходи!$L:$L,разходи!$E:$E,'ПП Юли'!$C$58,разходи!$M:$M,'ПП Юли'!AG2)</f>
        <v>0</v>
      </c>
      <c r="AH58" s="74">
        <f>SUMIFS(разходи!$L:$L,разходи!$E:$E,'ПП Юли'!$C$58,разходи!$M:$M,'ПП Юли'!AH2)</f>
        <v>0</v>
      </c>
      <c r="AI58" s="74">
        <f>SUMIFS(разходи!$L:$L,разходи!$E:$E,'ПП Юли'!$C$58,разходи!$M:$M,'ПП Юли'!AI2)</f>
        <v>0</v>
      </c>
      <c r="AJ58" s="61">
        <f t="shared" si="16"/>
        <v>0</v>
      </c>
      <c r="AK58" s="69">
        <f t="shared" si="3"/>
        <v>3200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/>
      <c r="E59" s="74">
        <f>SUMIFS(разходи!$L:$L,разходи!$E:$E,'ПП Юли'!$C$59,разходи!$M:$M,'ПП Юли'!E2)</f>
        <v>0</v>
      </c>
      <c r="F59" s="74">
        <f>SUMIFS(разходи!$L:$L,разходи!$E:$E,'ПП Юли'!$C$59,разходи!$M:$M,'ПП Юли'!F2)</f>
        <v>0</v>
      </c>
      <c r="G59" s="74">
        <f>SUMIFS(разходи!$L:$L,разходи!$E:$E,'ПП Юли'!$C$59,разходи!$M:$M,'ПП Юли'!G2)</f>
        <v>0</v>
      </c>
      <c r="H59" s="74">
        <f>SUMIFS(разходи!$L:$L,разходи!$E:$E,'ПП Юли'!$C$59,разходи!$M:$M,'ПП Юли'!H2)</f>
        <v>0</v>
      </c>
      <c r="I59" s="74">
        <f>SUMIFS(разходи!$L:$L,разходи!$E:$E,'ПП Юли'!$C$59,разходи!$M:$M,'ПП Юли'!I2)</f>
        <v>0</v>
      </c>
      <c r="J59" s="76">
        <f>SUMIFS(разходи!$L:$L,разходи!$E:$E,'ПП Юли'!$C$59,разходи!$M:$M,'ПП Юли'!J2)</f>
        <v>0</v>
      </c>
      <c r="K59" s="76">
        <f>SUMIFS(разходи!$L:$L,разходи!$E:$E,'ПП Юли'!$C$59,разходи!$M:$M,'ПП Юли'!K2)</f>
        <v>0</v>
      </c>
      <c r="L59" s="74">
        <f>SUMIFS(разходи!$L:$L,разходи!$E:$E,'ПП Юли'!$C$59,разходи!$M:$M,'ПП Юли'!L2)</f>
        <v>0</v>
      </c>
      <c r="M59" s="74">
        <f>SUMIFS(разходи!$L:$L,разходи!$E:$E,'ПП Юли'!$C$59,разходи!$M:$M,'ПП Юли'!M2)</f>
        <v>0</v>
      </c>
      <c r="N59" s="74">
        <f>SUMIFS(разходи!$L:$L,разходи!$E:$E,'ПП Юли'!$C$59,разходи!$M:$M,'ПП Юли'!N2)</f>
        <v>0</v>
      </c>
      <c r="O59" s="74">
        <f>SUMIFS(разходи!$L:$L,разходи!$E:$E,'ПП Юли'!$C$59,разходи!$M:$M,'ПП Юли'!O2)</f>
        <v>0</v>
      </c>
      <c r="P59" s="74">
        <f>SUMIFS(разходи!$L:$L,разходи!$E:$E,'ПП Юли'!$C$59,разходи!$M:$M,'ПП Юли'!P2)</f>
        <v>0</v>
      </c>
      <c r="Q59" s="76">
        <f>SUMIFS(разходи!$L:$L,разходи!$E:$E,'ПП Юли'!$C$59,разходи!$M:$M,'ПП Юли'!Q2)</f>
        <v>0</v>
      </c>
      <c r="R59" s="76">
        <f>SUMIFS(разходи!$L:$L,разходи!$E:$E,'ПП Юли'!$C$59,разходи!$M:$M,'ПП Юли'!R2)</f>
        <v>0</v>
      </c>
      <c r="S59" s="74">
        <f>SUMIFS(разходи!$L:$L,разходи!$E:$E,'ПП Юли'!$C$59,разходи!$M:$M,'ПП Юли'!S2)</f>
        <v>1041.1428599999999</v>
      </c>
      <c r="T59" s="74">
        <f>SUMIFS(разходи!$L:$L,разходи!$E:$E,'ПП Юли'!$C$59,разходи!$M:$M,'ПП Юли'!T2)</f>
        <v>0</v>
      </c>
      <c r="U59" s="74">
        <f>SUMIFS(разходи!$L:$L,разходи!$E:$E,'ПП Юли'!$C$59,разходи!$M:$M,'ПП Юли'!U2)</f>
        <v>0</v>
      </c>
      <c r="V59" s="74">
        <f>SUMIFS(разходи!$L:$L,разходи!$E:$E,'ПП Юли'!$C$59,разходи!$M:$M,'ПП Юли'!V2)</f>
        <v>0</v>
      </c>
      <c r="W59" s="74">
        <f>SUMIFS(разходи!$L:$L,разходи!$E:$E,'ПП Юли'!$C$59,разходи!$M:$M,'ПП Юли'!W2)</f>
        <v>0</v>
      </c>
      <c r="X59" s="76">
        <f>SUMIFS(разходи!$L:$L,разходи!$E:$E,'ПП Юли'!$C$59,разходи!$M:$M,'ПП Юли'!X2)</f>
        <v>0</v>
      </c>
      <c r="Y59" s="76">
        <f>SUMIFS(разходи!$L:$L,разходи!$E:$E,'ПП Юли'!$C$59,разходи!$M:$M,'ПП Юли'!Y2)</f>
        <v>0</v>
      </c>
      <c r="Z59" s="74">
        <f>SUMIFS(разходи!$L:$L,разходи!$E:$E,'ПП Юли'!$C$59,разходи!$M:$M,'ПП Юли'!Z2)</f>
        <v>0</v>
      </c>
      <c r="AA59" s="74">
        <f>SUMIFS(разходи!$L:$L,разходи!$E:$E,'ПП Юли'!$C$59,разходи!$M:$M,'ПП Юли'!AA2)</f>
        <v>0</v>
      </c>
      <c r="AB59" s="74">
        <f>SUMIFS(разходи!$L:$L,разходи!$E:$E,'ПП Юли'!$C$59,разходи!$M:$M,'ПП Юли'!AB2)</f>
        <v>0</v>
      </c>
      <c r="AC59" s="74">
        <f>SUMIFS(разходи!$L:$L,разходи!$E:$E,'ПП Юли'!$C$59,разходи!$M:$M,'ПП Юли'!AC2)</f>
        <v>0</v>
      </c>
      <c r="AD59" s="74">
        <f>SUMIFS(разходи!$L:$L,разходи!$E:$E,'ПП Юли'!$C$59,разходи!$M:$M,'ПП Юли'!AD2)</f>
        <v>0</v>
      </c>
      <c r="AE59" s="76">
        <f>SUMIFS(разходи!$L:$L,разходи!$E:$E,'ПП Юли'!$C$59,разходи!$M:$M,'ПП Юли'!AE2)</f>
        <v>0</v>
      </c>
      <c r="AF59" s="76">
        <f>SUMIFS(разходи!$L:$L,разходи!$E:$E,'ПП Юли'!$C$59,разходи!$M:$M,'ПП Юли'!AF2)</f>
        <v>0</v>
      </c>
      <c r="AG59" s="74">
        <f>SUMIFS(разходи!$L:$L,разходи!$E:$E,'ПП Юли'!$C$59,разходи!$M:$M,'ПП Юли'!AG2)</f>
        <v>0</v>
      </c>
      <c r="AH59" s="74">
        <f>SUMIFS(разходи!$L:$L,разходи!$E:$E,'ПП Юли'!$C$59,разходи!$M:$M,'ПП Юли'!AH2)</f>
        <v>0</v>
      </c>
      <c r="AI59" s="74">
        <f>SUMIFS(разходи!$L:$L,разходи!$E:$E,'ПП Юли'!$C$59,разходи!$M:$M,'ПП Юли'!AI2)</f>
        <v>0</v>
      </c>
      <c r="AJ59" s="61">
        <f t="shared" si="16"/>
        <v>1041.1428599999999</v>
      </c>
      <c r="AK59" s="69">
        <f t="shared" si="3"/>
        <v>-1041.1428599999999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Юли'!$C$60,разходи!$M:$M,'ПП Юли'!E2)</f>
        <v>0</v>
      </c>
      <c r="F60" s="74">
        <f>SUMIFS(разходи!$L:$L,разходи!$E:$E,'ПП Юли'!$C$60,разходи!$M:$M,'ПП Юли'!F2)</f>
        <v>0</v>
      </c>
      <c r="G60" s="74">
        <f>SUMIFS(разходи!$L:$L,разходи!$E:$E,'ПП Юли'!$C$60,разходи!$M:$M,'ПП Юли'!G2)</f>
        <v>0</v>
      </c>
      <c r="H60" s="74">
        <f>SUMIFS(разходи!$L:$L,разходи!$E:$E,'ПП Юли'!$C$60,разходи!$M:$M,'ПП Юли'!H2)</f>
        <v>0</v>
      </c>
      <c r="I60" s="74">
        <f>SUMIFS(разходи!$L:$L,разходи!$E:$E,'ПП Юли'!$C$60,разходи!$M:$M,'ПП Юли'!I2)</f>
        <v>0</v>
      </c>
      <c r="J60" s="76">
        <f>SUMIFS(разходи!$L:$L,разходи!$E:$E,'ПП Юли'!$C$60,разходи!$M:$M,'ПП Юли'!J2)</f>
        <v>0</v>
      </c>
      <c r="K60" s="76">
        <f>SUMIFS(разходи!$L:$L,разходи!$E:$E,'ПП Юли'!$C$60,разходи!$M:$M,'ПП Юли'!K2)</f>
        <v>0</v>
      </c>
      <c r="L60" s="74">
        <f>SUMIFS(разходи!$L:$L,разходи!$E:$E,'ПП Юли'!$C$60,разходи!$M:$M,'ПП Юли'!L2)</f>
        <v>0</v>
      </c>
      <c r="M60" s="74">
        <f>SUMIFS(разходи!$L:$L,разходи!$E:$E,'ПП Юли'!$C$60,разходи!$M:$M,'ПП Юли'!M2)</f>
        <v>0</v>
      </c>
      <c r="N60" s="74">
        <f>SUMIFS(разходи!$L:$L,разходи!$E:$E,'ПП Юли'!$C$60,разходи!$M:$M,'ПП Юли'!N2)</f>
        <v>0</v>
      </c>
      <c r="O60" s="74">
        <f>SUMIFS(разходи!$L:$L,разходи!$E:$E,'ПП Юли'!$C$60,разходи!$M:$M,'ПП Юли'!O2)</f>
        <v>0</v>
      </c>
      <c r="P60" s="74">
        <f>SUMIFS(разходи!$L:$L,разходи!$E:$E,'ПП Юли'!$C$60,разходи!$M:$M,'ПП Юли'!P2)</f>
        <v>0</v>
      </c>
      <c r="Q60" s="76">
        <f>SUMIFS(разходи!$L:$L,разходи!$E:$E,'ПП Юли'!$C$60,разходи!$M:$M,'ПП Юли'!Q2)</f>
        <v>0</v>
      </c>
      <c r="R60" s="76">
        <f>SUMIFS(разходи!$L:$L,разходи!$E:$E,'ПП Юли'!$C$60,разходи!$M:$M,'ПП Юли'!R2)</f>
        <v>0</v>
      </c>
      <c r="S60" s="74">
        <f>SUMIFS(разходи!$L:$L,разходи!$E:$E,'ПП Юли'!$C$60,разходи!$M:$M,'ПП Юли'!S2)</f>
        <v>0</v>
      </c>
      <c r="T60" s="74">
        <f>SUMIFS(разходи!$L:$L,разходи!$E:$E,'ПП Юли'!$C$60,разходи!$M:$M,'ПП Юли'!T2)</f>
        <v>0</v>
      </c>
      <c r="U60" s="74">
        <f>SUMIFS(разходи!$L:$L,разходи!$E:$E,'ПП Юли'!$C$60,разходи!$M:$M,'ПП Юли'!U2)</f>
        <v>0</v>
      </c>
      <c r="V60" s="74">
        <f>SUMIFS(разходи!$L:$L,разходи!$E:$E,'ПП Юли'!$C$60,разходи!$M:$M,'ПП Юли'!V2)</f>
        <v>0</v>
      </c>
      <c r="W60" s="74">
        <f>SUMIFS(разходи!$L:$L,разходи!$E:$E,'ПП Юли'!$C$60,разходи!$M:$M,'ПП Юли'!W2)</f>
        <v>0</v>
      </c>
      <c r="X60" s="76">
        <f>SUMIFS(разходи!$L:$L,разходи!$E:$E,'ПП Юли'!$C$60,разходи!$M:$M,'ПП Юли'!X2)</f>
        <v>0</v>
      </c>
      <c r="Y60" s="76">
        <f>SUMIFS(разходи!$L:$L,разходи!$E:$E,'ПП Юли'!$C$60,разходи!$M:$M,'ПП Юли'!Y2)</f>
        <v>0</v>
      </c>
      <c r="Z60" s="74">
        <f>SUMIFS(разходи!$L:$L,разходи!$E:$E,'ПП Юли'!$C$60,разходи!$M:$M,'ПП Юли'!Z2)</f>
        <v>0</v>
      </c>
      <c r="AA60" s="74">
        <f>SUMIFS(разходи!$L:$L,разходи!$E:$E,'ПП Юли'!$C$60,разходи!$M:$M,'ПП Юли'!AA2)</f>
        <v>0</v>
      </c>
      <c r="AB60" s="74">
        <f>SUMIFS(разходи!$L:$L,разходи!$E:$E,'ПП Юли'!$C$60,разходи!$M:$M,'ПП Юли'!AB2)</f>
        <v>0</v>
      </c>
      <c r="AC60" s="74">
        <f>SUMIFS(разходи!$L:$L,разходи!$E:$E,'ПП Юли'!$C$60,разходи!$M:$M,'ПП Юли'!AC2)</f>
        <v>0</v>
      </c>
      <c r="AD60" s="74">
        <f>SUMIFS(разходи!$L:$L,разходи!$E:$E,'ПП Юли'!$C$60,разходи!$M:$M,'ПП Юли'!AD2)</f>
        <v>0</v>
      </c>
      <c r="AE60" s="76">
        <f>SUMIFS(разходи!$L:$L,разходи!$E:$E,'ПП Юли'!$C$60,разходи!$M:$M,'ПП Юли'!AE2)</f>
        <v>0</v>
      </c>
      <c r="AF60" s="76">
        <f>SUMIFS(разходи!$L:$L,разходи!$E:$E,'ПП Юли'!$C$60,разходи!$M:$M,'ПП Юли'!AF2)</f>
        <v>0</v>
      </c>
      <c r="AG60" s="74">
        <f>SUMIFS(разходи!$L:$L,разходи!$E:$E,'ПП Юли'!$C$60,разходи!$M:$M,'ПП Юли'!AG2)</f>
        <v>0</v>
      </c>
      <c r="AH60" s="74">
        <f>SUMIFS(разходи!$L:$L,разходи!$E:$E,'ПП Юли'!$C$60,разходи!$M:$M,'ПП Юли'!AH2)</f>
        <v>0</v>
      </c>
      <c r="AI60" s="74">
        <f>SUMIFS(разходи!$L:$L,разходи!$E:$E,'ПП Юли'!$C$60,разходи!$M:$M,'ПП Юли'!AI2)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Юли'!$C$61,разходи!$M:$M,'ПП Юли'!E2)</f>
        <v>0</v>
      </c>
      <c r="F61" s="74">
        <f>SUMIFS(разходи!$L:$L,разходи!$E:$E,'ПП Юли'!$C$61,разходи!$M:$M,'ПП Юли'!F2)</f>
        <v>0</v>
      </c>
      <c r="G61" s="74">
        <f>SUMIFS(разходи!$L:$L,разходи!$E:$E,'ПП Юли'!$C$61,разходи!$M:$M,'ПП Юли'!G2)</f>
        <v>0</v>
      </c>
      <c r="H61" s="74">
        <f>SUMIFS(разходи!$L:$L,разходи!$E:$E,'ПП Юли'!$C$61,разходи!$M:$M,'ПП Юли'!H2)</f>
        <v>0</v>
      </c>
      <c r="I61" s="74">
        <f>SUMIFS(разходи!$L:$L,разходи!$E:$E,'ПП Юли'!$C$61,разходи!$M:$M,'ПП Юли'!I2)</f>
        <v>0</v>
      </c>
      <c r="J61" s="76">
        <f>SUMIFS(разходи!$L:$L,разходи!$E:$E,'ПП Юли'!$C$61,разходи!$M:$M,'ПП Юли'!J2)</f>
        <v>0</v>
      </c>
      <c r="K61" s="76">
        <f>SUMIFS(разходи!$L:$L,разходи!$E:$E,'ПП Юли'!$C$61,разходи!$M:$M,'ПП Юли'!K2)</f>
        <v>0</v>
      </c>
      <c r="L61" s="74">
        <f>SUMIFS(разходи!$L:$L,разходи!$E:$E,'ПП Юли'!$C$61,разходи!$M:$M,'ПП Юли'!L2)</f>
        <v>0</v>
      </c>
      <c r="M61" s="74">
        <f>SUMIFS(разходи!$L:$L,разходи!$E:$E,'ПП Юли'!$C$61,разходи!$M:$M,'ПП Юли'!M2)</f>
        <v>0</v>
      </c>
      <c r="N61" s="74">
        <f>SUMIFS(разходи!$L:$L,разходи!$E:$E,'ПП Юли'!$C$61,разходи!$M:$M,'ПП Юли'!N2)</f>
        <v>0</v>
      </c>
      <c r="O61" s="74">
        <f>SUMIFS(разходи!$L:$L,разходи!$E:$E,'ПП Юли'!$C$61,разходи!$M:$M,'ПП Юли'!O2)</f>
        <v>0</v>
      </c>
      <c r="P61" s="74">
        <f>SUMIFS(разходи!$L:$L,разходи!$E:$E,'ПП Юли'!$C$61,разходи!$M:$M,'ПП Юли'!P2)</f>
        <v>0</v>
      </c>
      <c r="Q61" s="76">
        <f>SUMIFS(разходи!$L:$L,разходи!$E:$E,'ПП Юли'!$C$61,разходи!$M:$M,'ПП Юли'!Q2)</f>
        <v>0</v>
      </c>
      <c r="R61" s="76">
        <f>SUMIFS(разходи!$L:$L,разходи!$E:$E,'ПП Юли'!$C$61,разходи!$M:$M,'ПП Юли'!R2)</f>
        <v>0</v>
      </c>
      <c r="S61" s="74">
        <f>SUMIFS(разходи!$L:$L,разходи!$E:$E,'ПП Юли'!$C$61,разходи!$M:$M,'ПП Юли'!S2)</f>
        <v>0</v>
      </c>
      <c r="T61" s="74">
        <f>SUMIFS(разходи!$L:$L,разходи!$E:$E,'ПП Юли'!$C$61,разходи!$M:$M,'ПП Юли'!T2)</f>
        <v>0</v>
      </c>
      <c r="U61" s="74">
        <f>SUMIFS(разходи!$L:$L,разходи!$E:$E,'ПП Юли'!$C$61,разходи!$M:$M,'ПП Юли'!U2)</f>
        <v>0</v>
      </c>
      <c r="V61" s="74">
        <f>SUMIFS(разходи!$L:$L,разходи!$E:$E,'ПП Юли'!$C$61,разходи!$M:$M,'ПП Юли'!V2)</f>
        <v>0</v>
      </c>
      <c r="W61" s="74">
        <f>SUMIFS(разходи!$L:$L,разходи!$E:$E,'ПП Юли'!$C$61,разходи!$M:$M,'ПП Юли'!W2)</f>
        <v>0</v>
      </c>
      <c r="X61" s="76">
        <f>SUMIFS(разходи!$L:$L,разходи!$E:$E,'ПП Юли'!$C$61,разходи!$M:$M,'ПП Юли'!X2)</f>
        <v>0</v>
      </c>
      <c r="Y61" s="76">
        <f>SUMIFS(разходи!$L:$L,разходи!$E:$E,'ПП Юли'!$C$61,разходи!$M:$M,'ПП Юли'!Y2)</f>
        <v>0</v>
      </c>
      <c r="Z61" s="74">
        <f>SUMIFS(разходи!$L:$L,разходи!$E:$E,'ПП Юли'!$C$61,разходи!$M:$M,'ПП Юли'!Z2)</f>
        <v>0</v>
      </c>
      <c r="AA61" s="74">
        <f>SUMIFS(разходи!$L:$L,разходи!$E:$E,'ПП Юли'!$C$61,разходи!$M:$M,'ПП Юли'!AA2)</f>
        <v>0</v>
      </c>
      <c r="AB61" s="74">
        <f>SUMIFS(разходи!$L:$L,разходи!$E:$E,'ПП Юли'!$C$61,разходи!$M:$M,'ПП Юли'!AB2)</f>
        <v>0</v>
      </c>
      <c r="AC61" s="74">
        <f>SUMIFS(разходи!$L:$L,разходи!$E:$E,'ПП Юли'!$C$61,разходи!$M:$M,'ПП Юли'!AC2)</f>
        <v>0</v>
      </c>
      <c r="AD61" s="74">
        <f>SUMIFS(разходи!$L:$L,разходи!$E:$E,'ПП Юли'!$C$61,разходи!$M:$M,'ПП Юли'!AD2)</f>
        <v>0</v>
      </c>
      <c r="AE61" s="76">
        <f>SUMIFS(разходи!$L:$L,разходи!$E:$E,'ПП Юли'!$C$61,разходи!$M:$M,'ПП Юли'!AE2)</f>
        <v>0</v>
      </c>
      <c r="AF61" s="76">
        <f>SUMIFS(разходи!$L:$L,разходи!$E:$E,'ПП Юли'!$C$61,разходи!$M:$M,'ПП Юли'!AF2)</f>
        <v>0</v>
      </c>
      <c r="AG61" s="74">
        <f>SUMIFS(разходи!$L:$L,разходи!$E:$E,'ПП Юли'!$C$61,разходи!$M:$M,'ПП Юли'!AG2)</f>
        <v>0</v>
      </c>
      <c r="AH61" s="74">
        <f>SUMIFS(разходи!$L:$L,разходи!$E:$E,'ПП Юли'!$C$61,разходи!$M:$M,'ПП Юли'!AH2)</f>
        <v>0</v>
      </c>
      <c r="AI61" s="74">
        <f>SUMIFS(разходи!$L:$L,разходи!$E:$E,'ПП Юли'!$C$61,разходи!$M:$M,'ПП Юли'!AI2)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74">
        <f>SUM(D63:D65)</f>
        <v>43000</v>
      </c>
      <c r="E62" s="74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6">
        <f t="shared" si="22"/>
        <v>0</v>
      </c>
      <c r="K62" s="76">
        <f t="shared" si="22"/>
        <v>0</v>
      </c>
      <c r="L62" s="74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6">
        <f t="shared" si="22"/>
        <v>0</v>
      </c>
      <c r="R62" s="76">
        <f t="shared" si="22"/>
        <v>0</v>
      </c>
      <c r="S62" s="74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6">
        <f t="shared" si="22"/>
        <v>0</v>
      </c>
      <c r="Y62" s="76">
        <f t="shared" si="22"/>
        <v>0</v>
      </c>
      <c r="Z62" s="74">
        <f t="shared" si="22"/>
        <v>0</v>
      </c>
      <c r="AA62" s="74">
        <f t="shared" si="22"/>
        <v>12210.83</v>
      </c>
      <c r="AB62" s="74">
        <f t="shared" si="22"/>
        <v>0</v>
      </c>
      <c r="AC62" s="74">
        <f t="shared" si="22"/>
        <v>0</v>
      </c>
      <c r="AD62" s="74">
        <f t="shared" si="22"/>
        <v>0</v>
      </c>
      <c r="AE62" s="76">
        <f t="shared" si="22"/>
        <v>0</v>
      </c>
      <c r="AF62" s="76">
        <f t="shared" si="22"/>
        <v>0</v>
      </c>
      <c r="AG62" s="74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12210.83</v>
      </c>
      <c r="AK62" s="69">
        <f t="shared" si="3"/>
        <v>30789.17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>
        <v>35000</v>
      </c>
      <c r="E63" s="74">
        <f>SUMIFS(разходи!$L:$L,разходи!$E:$E,'ПП Юли'!$C$63,разходи!$M:$M,'ПП Юли'!E2)</f>
        <v>0</v>
      </c>
      <c r="F63" s="74">
        <f>SUMIFS(разходи!$L:$L,разходи!$E:$E,'ПП Юли'!$C$63,разходи!$M:$M,'ПП Юли'!F2)</f>
        <v>0</v>
      </c>
      <c r="G63" s="74">
        <f>SUMIFS(разходи!$L:$L,разходи!$E:$E,'ПП Юли'!$C$63,разходи!$M:$M,'ПП Юли'!G2)</f>
        <v>0</v>
      </c>
      <c r="H63" s="74">
        <f>SUMIFS(разходи!$L:$L,разходи!$E:$E,'ПП Юли'!$C$63,разходи!$M:$M,'ПП Юли'!H2)</f>
        <v>0</v>
      </c>
      <c r="I63" s="74">
        <f>SUMIFS(разходи!$L:$L,разходи!$E:$E,'ПП Юли'!$C$63,разходи!$M:$M,'ПП Юли'!I2)</f>
        <v>0</v>
      </c>
      <c r="J63" s="76">
        <f>SUMIFS(разходи!$L:$L,разходи!$E:$E,'ПП Юли'!$C$63,разходи!$M:$M,'ПП Юли'!J2)</f>
        <v>0</v>
      </c>
      <c r="K63" s="76">
        <f>SUMIFS(разходи!$L:$L,разходи!$E:$E,'ПП Юли'!$C$63,разходи!$M:$M,'ПП Юли'!K2)</f>
        <v>0</v>
      </c>
      <c r="L63" s="74">
        <f>SUMIFS(разходи!$L:$L,разходи!$E:$E,'ПП Юли'!$C$63,разходи!$M:$M,'ПП Юли'!L2)</f>
        <v>0</v>
      </c>
      <c r="M63" s="74">
        <f>SUMIFS(разходи!$L:$L,разходи!$E:$E,'ПП Юли'!$C$63,разходи!$M:$M,'ПП Юли'!M2)</f>
        <v>0</v>
      </c>
      <c r="N63" s="74">
        <f>SUMIFS(разходи!$L:$L,разходи!$E:$E,'ПП Юли'!$C$63,разходи!$M:$M,'ПП Юли'!N2)</f>
        <v>0</v>
      </c>
      <c r="O63" s="74">
        <f>SUMIFS(разходи!$L:$L,разходи!$E:$E,'ПП Юли'!$C$63,разходи!$M:$M,'ПП Юли'!O2)</f>
        <v>0</v>
      </c>
      <c r="P63" s="74">
        <f>SUMIFS(разходи!$L:$L,разходи!$E:$E,'ПП Юли'!$C$63,разходи!$M:$M,'ПП Юли'!P2)</f>
        <v>0</v>
      </c>
      <c r="Q63" s="76">
        <f>SUMIFS(разходи!$L:$L,разходи!$E:$E,'ПП Юли'!$C$63,разходи!$M:$M,'ПП Юли'!Q2)</f>
        <v>0</v>
      </c>
      <c r="R63" s="76">
        <f>SUMIFS(разходи!$L:$L,разходи!$E:$E,'ПП Юли'!$C$63,разходи!$M:$M,'ПП Юли'!R2)</f>
        <v>0</v>
      </c>
      <c r="S63" s="74">
        <f>SUMIFS(разходи!$L:$L,разходи!$E:$E,'ПП Юли'!$C$63,разходи!$M:$M,'ПП Юли'!S2)</f>
        <v>0</v>
      </c>
      <c r="T63" s="74">
        <f>SUMIFS(разходи!$L:$L,разходи!$E:$E,'ПП Юли'!$C$63,разходи!$M:$M,'ПП Юли'!T2)</f>
        <v>0</v>
      </c>
      <c r="U63" s="74">
        <f>SUMIFS(разходи!$L:$L,разходи!$E:$E,'ПП Юли'!$C$63,разходи!$M:$M,'ПП Юли'!U2)</f>
        <v>0</v>
      </c>
      <c r="V63" s="74">
        <f>SUMIFS(разходи!$L:$L,разходи!$E:$E,'ПП Юли'!$C$63,разходи!$M:$M,'ПП Юли'!V2)</f>
        <v>0</v>
      </c>
      <c r="W63" s="74">
        <f>SUMIFS(разходи!$L:$L,разходи!$E:$E,'ПП Юли'!$C$63,разходи!$M:$M,'ПП Юли'!W2)</f>
        <v>0</v>
      </c>
      <c r="X63" s="76">
        <f>SUMIFS(разходи!$L:$L,разходи!$E:$E,'ПП Юли'!$C$63,разходи!$M:$M,'ПП Юли'!X2)</f>
        <v>0</v>
      </c>
      <c r="Y63" s="76">
        <f>SUMIFS(разходи!$L:$L,разходи!$E:$E,'ПП Юли'!$C$63,разходи!$M:$M,'ПП Юли'!Y2)</f>
        <v>0</v>
      </c>
      <c r="Z63" s="74">
        <f>SUMIFS(разходи!$L:$L,разходи!$E:$E,'ПП Юли'!$C$63,разходи!$M:$M,'ПП Юли'!Z2)</f>
        <v>0</v>
      </c>
      <c r="AA63" s="74">
        <f>SUMIFS(разходи!$L:$L,разходи!$E:$E,'ПП Юли'!$C$63,разходи!$M:$M,'ПП Юли'!AA2)</f>
        <v>0</v>
      </c>
      <c r="AB63" s="74">
        <f>SUMIFS(разходи!$L:$L,разходи!$E:$E,'ПП Юли'!$C$63,разходи!$M:$M,'ПП Юли'!AB2)</f>
        <v>0</v>
      </c>
      <c r="AC63" s="74">
        <f>SUMIFS(разходи!$L:$L,разходи!$E:$E,'ПП Юли'!$C$63,разходи!$M:$M,'ПП Юли'!AC2)</f>
        <v>0</v>
      </c>
      <c r="AD63" s="74">
        <f>SUMIFS(разходи!$L:$L,разходи!$E:$E,'ПП Юли'!$C$63,разходи!$M:$M,'ПП Юли'!AD2)</f>
        <v>0</v>
      </c>
      <c r="AE63" s="76">
        <f>SUMIFS(разходи!$L:$L,разходи!$E:$E,'ПП Юли'!$C$63,разходи!$M:$M,'ПП Юли'!AE2)</f>
        <v>0</v>
      </c>
      <c r="AF63" s="76">
        <f>SUMIFS(разходи!$L:$L,разходи!$E:$E,'ПП Юли'!$C$63,разходи!$M:$M,'ПП Юли'!AF2)</f>
        <v>0</v>
      </c>
      <c r="AG63" s="74">
        <f>SUMIFS(разходи!$L:$L,разходи!$E:$E,'ПП Юли'!$C$63,разходи!$M:$M,'ПП Юли'!AG2)</f>
        <v>0</v>
      </c>
      <c r="AH63" s="74">
        <f>SUMIFS(разходи!$L:$L,разходи!$E:$E,'ПП Юли'!$C$63,разходи!$M:$M,'ПП Юли'!AH2)</f>
        <v>0</v>
      </c>
      <c r="AI63" s="74">
        <f>SUMIFS(разходи!$L:$L,разходи!$E:$E,'ПП Юли'!$C$63,разходи!$M:$M,'ПП Юли'!AI2)</f>
        <v>0</v>
      </c>
      <c r="AJ63" s="61">
        <f t="shared" si="16"/>
        <v>0</v>
      </c>
      <c r="AK63" s="69">
        <f t="shared" si="3"/>
        <v>35000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>
        <v>8000</v>
      </c>
      <c r="E64" s="74">
        <f>SUMIFS(разходи!$L:$L,разходи!$E:$E,'ПП Юли'!$C$64,разходи!$M:$M,'ПП Юли'!E2)</f>
        <v>0</v>
      </c>
      <c r="F64" s="74">
        <f>SUMIFS(разходи!$L:$L,разходи!$E:$E,'ПП Юли'!$C$64,разходи!$M:$M,'ПП Юли'!F2)</f>
        <v>0</v>
      </c>
      <c r="G64" s="74">
        <f>SUMIFS(разходи!$L:$L,разходи!$E:$E,'ПП Юли'!$C$64,разходи!$M:$M,'ПП Юли'!G2)</f>
        <v>0</v>
      </c>
      <c r="H64" s="74">
        <f>SUMIFS(разходи!$L:$L,разходи!$E:$E,'ПП Юли'!$C$64,разходи!$M:$M,'ПП Юли'!H2)</f>
        <v>0</v>
      </c>
      <c r="I64" s="74">
        <f>SUMIFS(разходи!$L:$L,разходи!$E:$E,'ПП Юли'!$C$64,разходи!$M:$M,'ПП Юли'!I2)</f>
        <v>0</v>
      </c>
      <c r="J64" s="76">
        <f>SUMIFS(разходи!$L:$L,разходи!$E:$E,'ПП Юли'!$C$64,разходи!$M:$M,'ПП Юли'!J2)</f>
        <v>0</v>
      </c>
      <c r="K64" s="76">
        <f>SUMIFS(разходи!$L:$L,разходи!$E:$E,'ПП Юли'!$C$64,разходи!$M:$M,'ПП Юли'!K2)</f>
        <v>0</v>
      </c>
      <c r="L64" s="74">
        <f>SUMIFS(разходи!$L:$L,разходи!$E:$E,'ПП Юли'!$C$64,разходи!$M:$M,'ПП Юли'!L2)</f>
        <v>0</v>
      </c>
      <c r="M64" s="74">
        <f>SUMIFS(разходи!$L:$L,разходи!$E:$E,'ПП Юли'!$C$64,разходи!$M:$M,'ПП Юли'!M2)</f>
        <v>0</v>
      </c>
      <c r="N64" s="74">
        <f>SUMIFS(разходи!$L:$L,разходи!$E:$E,'ПП Юли'!$C$64,разходи!$M:$M,'ПП Юли'!N2)</f>
        <v>0</v>
      </c>
      <c r="O64" s="74">
        <f>SUMIFS(разходи!$L:$L,разходи!$E:$E,'ПП Юли'!$C$64,разходи!$M:$M,'ПП Юли'!O2)</f>
        <v>0</v>
      </c>
      <c r="P64" s="74">
        <f>SUMIFS(разходи!$L:$L,разходи!$E:$E,'ПП Юли'!$C$64,разходи!$M:$M,'ПП Юли'!P2)</f>
        <v>0</v>
      </c>
      <c r="Q64" s="76">
        <f>SUMIFS(разходи!$L:$L,разходи!$E:$E,'ПП Юли'!$C$64,разходи!$M:$M,'ПП Юли'!Q2)</f>
        <v>0</v>
      </c>
      <c r="R64" s="76">
        <f>SUMIFS(разходи!$L:$L,разходи!$E:$E,'ПП Юли'!$C$64,разходи!$M:$M,'ПП Юли'!R2)</f>
        <v>0</v>
      </c>
      <c r="S64" s="74">
        <f>SUMIFS(разходи!$L:$L,разходи!$E:$E,'ПП Юли'!$C$64,разходи!$M:$M,'ПП Юли'!S2)</f>
        <v>0</v>
      </c>
      <c r="T64" s="74">
        <f>SUMIFS(разходи!$L:$L,разходи!$E:$E,'ПП Юли'!$C$64,разходи!$M:$M,'ПП Юли'!T2)</f>
        <v>0</v>
      </c>
      <c r="U64" s="74">
        <f>SUMIFS(разходи!$L:$L,разходи!$E:$E,'ПП Юли'!$C$64,разходи!$M:$M,'ПП Юли'!U2)</f>
        <v>0</v>
      </c>
      <c r="V64" s="74">
        <f>SUMIFS(разходи!$L:$L,разходи!$E:$E,'ПП Юли'!$C$64,разходи!$M:$M,'ПП Юли'!V2)</f>
        <v>0</v>
      </c>
      <c r="W64" s="74">
        <f>SUMIFS(разходи!$L:$L,разходи!$E:$E,'ПП Юли'!$C$64,разходи!$M:$M,'ПП Юли'!W2)</f>
        <v>0</v>
      </c>
      <c r="X64" s="76">
        <f>SUMIFS(разходи!$L:$L,разходи!$E:$E,'ПП Юли'!$C$64,разходи!$M:$M,'ПП Юли'!X2)</f>
        <v>0</v>
      </c>
      <c r="Y64" s="76">
        <f>SUMIFS(разходи!$L:$L,разходи!$E:$E,'ПП Юли'!$C$64,разходи!$M:$M,'ПП Юли'!Y2)</f>
        <v>0</v>
      </c>
      <c r="Z64" s="74">
        <f>SUMIFS(разходи!$L:$L,разходи!$E:$E,'ПП Юли'!$C$64,разходи!$M:$M,'ПП Юли'!Z2)</f>
        <v>0</v>
      </c>
      <c r="AA64" s="74">
        <f>SUMIFS(разходи!$L:$L,разходи!$E:$E,'ПП Юли'!$C$64,разходи!$M:$M,'ПП Юли'!AA2)</f>
        <v>12210.83</v>
      </c>
      <c r="AB64" s="74">
        <f>SUMIFS(разходи!$L:$L,разходи!$E:$E,'ПП Юли'!$C$64,разходи!$M:$M,'ПП Юли'!AB2)</f>
        <v>0</v>
      </c>
      <c r="AC64" s="74">
        <f>SUMIFS(разходи!$L:$L,разходи!$E:$E,'ПП Юли'!$C$64,разходи!$M:$M,'ПП Юли'!AC2)</f>
        <v>0</v>
      </c>
      <c r="AD64" s="74">
        <f>SUMIFS(разходи!$L:$L,разходи!$E:$E,'ПП Юли'!$C$64,разходи!$M:$M,'ПП Юли'!AD2)</f>
        <v>0</v>
      </c>
      <c r="AE64" s="76">
        <f>SUMIFS(разходи!$L:$L,разходи!$E:$E,'ПП Юли'!$C$64,разходи!$M:$M,'ПП Юли'!AE2)</f>
        <v>0</v>
      </c>
      <c r="AF64" s="76">
        <f>SUMIFS(разходи!$L:$L,разходи!$E:$E,'ПП Юли'!$C$64,разходи!$M:$M,'ПП Юли'!AF2)</f>
        <v>0</v>
      </c>
      <c r="AG64" s="74">
        <f>SUMIFS(разходи!$L:$L,разходи!$E:$E,'ПП Юли'!$C$64,разходи!$M:$M,'ПП Юли'!AG2)</f>
        <v>0</v>
      </c>
      <c r="AH64" s="74">
        <f>SUMIFS(разходи!$L:$L,разходи!$E:$E,'ПП Юли'!$C$64,разходи!$M:$M,'ПП Юли'!AH2)</f>
        <v>0</v>
      </c>
      <c r="AI64" s="74">
        <f>SUMIFS(разходи!$L:$L,разходи!$E:$E,'ПП Юли'!$C$64,разходи!$M:$M,'ПП Юли'!AI2)</f>
        <v>0</v>
      </c>
      <c r="AJ64" s="61">
        <f t="shared" si="16"/>
        <v>12210.83</v>
      </c>
      <c r="AK64" s="69">
        <f t="shared" si="3"/>
        <v>-4210.83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Юли'!$C$65,разходи!$M:$M,'ПП Юли'!E2)</f>
        <v>0</v>
      </c>
      <c r="F65" s="74">
        <f>SUMIFS(разходи!$L:$L,разходи!$E:$E,'ПП Юли'!$C$65,разходи!$M:$M,'ПП Юли'!F2)</f>
        <v>0</v>
      </c>
      <c r="G65" s="74">
        <f>SUMIFS(разходи!$L:$L,разходи!$E:$E,'ПП Юли'!$C$65,разходи!$M:$M,'ПП Юли'!G2)</f>
        <v>0</v>
      </c>
      <c r="H65" s="74">
        <f>SUMIFS(разходи!$L:$L,разходи!$E:$E,'ПП Юли'!$C$65,разходи!$M:$M,'ПП Юли'!H2)</f>
        <v>0</v>
      </c>
      <c r="I65" s="74">
        <f>SUMIFS(разходи!$L:$L,разходи!$E:$E,'ПП Юли'!$C$65,разходи!$M:$M,'ПП Юли'!I2)</f>
        <v>0</v>
      </c>
      <c r="J65" s="76">
        <f>SUMIFS(разходи!$L:$L,разходи!$E:$E,'ПП Юли'!$C$65,разходи!$M:$M,'ПП Юли'!J2)</f>
        <v>0</v>
      </c>
      <c r="K65" s="76">
        <f>SUMIFS(разходи!$L:$L,разходи!$E:$E,'ПП Юли'!$C$65,разходи!$M:$M,'ПП Юли'!K2)</f>
        <v>0</v>
      </c>
      <c r="L65" s="74">
        <f>SUMIFS(разходи!$L:$L,разходи!$E:$E,'ПП Юли'!$C$65,разходи!$M:$M,'ПП Юли'!L2)</f>
        <v>0</v>
      </c>
      <c r="M65" s="74">
        <f>SUMIFS(разходи!$L:$L,разходи!$E:$E,'ПП Юли'!$C$65,разходи!$M:$M,'ПП Юли'!M2)</f>
        <v>0</v>
      </c>
      <c r="N65" s="74">
        <f>SUMIFS(разходи!$L:$L,разходи!$E:$E,'ПП Юли'!$C$65,разходи!$M:$M,'ПП Юли'!N2)</f>
        <v>0</v>
      </c>
      <c r="O65" s="74">
        <f>SUMIFS(разходи!$L:$L,разходи!$E:$E,'ПП Юли'!$C$65,разходи!$M:$M,'ПП Юли'!O2)</f>
        <v>0</v>
      </c>
      <c r="P65" s="74">
        <f>SUMIFS(разходи!$L:$L,разходи!$E:$E,'ПП Юли'!$C$65,разходи!$M:$M,'ПП Юли'!P2)</f>
        <v>0</v>
      </c>
      <c r="Q65" s="76">
        <f>SUMIFS(разходи!$L:$L,разходи!$E:$E,'ПП Юли'!$C$65,разходи!$M:$M,'ПП Юли'!Q2)</f>
        <v>0</v>
      </c>
      <c r="R65" s="76">
        <f>SUMIFS(разходи!$L:$L,разходи!$E:$E,'ПП Юли'!$C$65,разходи!$M:$M,'ПП Юли'!R2)</f>
        <v>0</v>
      </c>
      <c r="S65" s="74">
        <f>SUMIFS(разходи!$L:$L,разходи!$E:$E,'ПП Юли'!$C$65,разходи!$M:$M,'ПП Юли'!S2)</f>
        <v>0</v>
      </c>
      <c r="T65" s="74">
        <f>SUMIFS(разходи!$L:$L,разходи!$E:$E,'ПП Юли'!$C$65,разходи!$M:$M,'ПП Юли'!T2)</f>
        <v>0</v>
      </c>
      <c r="U65" s="74">
        <f>SUMIFS(разходи!$L:$L,разходи!$E:$E,'ПП Юли'!$C$65,разходи!$M:$M,'ПП Юли'!U2)</f>
        <v>0</v>
      </c>
      <c r="V65" s="74">
        <f>SUMIFS(разходи!$L:$L,разходи!$E:$E,'ПП Юли'!$C$65,разходи!$M:$M,'ПП Юли'!V2)</f>
        <v>0</v>
      </c>
      <c r="W65" s="74">
        <f>SUMIFS(разходи!$L:$L,разходи!$E:$E,'ПП Юли'!$C$65,разходи!$M:$M,'ПП Юли'!W2)</f>
        <v>0</v>
      </c>
      <c r="X65" s="76">
        <f>SUMIFS(разходи!$L:$L,разходи!$E:$E,'ПП Юли'!$C$65,разходи!$M:$M,'ПП Юли'!X2)</f>
        <v>0</v>
      </c>
      <c r="Y65" s="76">
        <f>SUMIFS(разходи!$L:$L,разходи!$E:$E,'ПП Юли'!$C$65,разходи!$M:$M,'ПП Юли'!Y2)</f>
        <v>0</v>
      </c>
      <c r="Z65" s="74">
        <f>SUMIFS(разходи!$L:$L,разходи!$E:$E,'ПП Юли'!$C$65,разходи!$M:$M,'ПП Юли'!Z2)</f>
        <v>0</v>
      </c>
      <c r="AA65" s="74">
        <f>SUMIFS(разходи!$L:$L,разходи!$E:$E,'ПП Юли'!$C$65,разходи!$M:$M,'ПП Юли'!AA2)</f>
        <v>0</v>
      </c>
      <c r="AB65" s="74">
        <f>SUMIFS(разходи!$L:$L,разходи!$E:$E,'ПП Юли'!$C$65,разходи!$M:$M,'ПП Юли'!AB2)</f>
        <v>0</v>
      </c>
      <c r="AC65" s="74">
        <f>SUMIFS(разходи!$L:$L,разходи!$E:$E,'ПП Юли'!$C$65,разходи!$M:$M,'ПП Юли'!AC2)</f>
        <v>0</v>
      </c>
      <c r="AD65" s="74">
        <f>SUMIFS(разходи!$L:$L,разходи!$E:$E,'ПП Юли'!$C$65,разходи!$M:$M,'ПП Юли'!AD2)</f>
        <v>0</v>
      </c>
      <c r="AE65" s="76">
        <f>SUMIFS(разходи!$L:$L,разходи!$E:$E,'ПП Юли'!$C$65,разходи!$M:$M,'ПП Юли'!AE2)</f>
        <v>0</v>
      </c>
      <c r="AF65" s="76">
        <f>SUMIFS(разходи!$L:$L,разходи!$E:$E,'ПП Юли'!$C$65,разходи!$M:$M,'ПП Юли'!AF2)</f>
        <v>0</v>
      </c>
      <c r="AG65" s="74">
        <f>SUMIFS(разходи!$L:$L,разходи!$E:$E,'ПП Юли'!$C$65,разходи!$M:$M,'ПП Юли'!AG2)</f>
        <v>0</v>
      </c>
      <c r="AH65" s="74">
        <f>SUMIFS(разходи!$L:$L,разходи!$E:$E,'ПП Юли'!$C$65,разходи!$M:$M,'ПП Юли'!AH2)</f>
        <v>0</v>
      </c>
      <c r="AI65" s="74">
        <f>SUMIFS(разходи!$L:$L,разходи!$E:$E,'ПП Юли'!$C$65,разходи!$M:$M,'ПП Юли'!AI2)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3">D3-D23</f>
        <v>5113249.4562903978</v>
      </c>
      <c r="E66" s="54">
        <f t="shared" si="23"/>
        <v>-92672.05419848999</v>
      </c>
      <c r="F66" s="54">
        <f t="shared" si="23"/>
        <v>0</v>
      </c>
      <c r="G66" s="54">
        <f t="shared" si="23"/>
        <v>19824.395999999997</v>
      </c>
      <c r="H66" s="54">
        <f t="shared" si="23"/>
        <v>3098.9760000000001</v>
      </c>
      <c r="I66" s="54">
        <f t="shared" si="23"/>
        <v>1024.4639999999999</v>
      </c>
      <c r="J66" s="54">
        <f t="shared" si="23"/>
        <v>0</v>
      </c>
      <c r="K66" s="54">
        <f t="shared" si="23"/>
        <v>0</v>
      </c>
      <c r="L66" s="54">
        <f t="shared" si="23"/>
        <v>-301194</v>
      </c>
      <c r="M66" s="54">
        <f t="shared" si="23"/>
        <v>-295063.34671900002</v>
      </c>
      <c r="N66" s="54">
        <f t="shared" si="23"/>
        <v>-128041.80803777401</v>
      </c>
      <c r="O66" s="54">
        <f t="shared" si="23"/>
        <v>-1153717.2932795</v>
      </c>
      <c r="P66" s="54">
        <f t="shared" si="23"/>
        <v>-1353739.936</v>
      </c>
      <c r="Q66" s="54">
        <f t="shared" si="23"/>
        <v>0</v>
      </c>
      <c r="R66" s="54">
        <f t="shared" si="23"/>
        <v>0</v>
      </c>
      <c r="S66" s="54">
        <f t="shared" si="23"/>
        <v>-80902.356034900004</v>
      </c>
      <c r="T66" s="54">
        <f t="shared" si="23"/>
        <v>-119662.46260109998</v>
      </c>
      <c r="U66" s="54">
        <f t="shared" si="23"/>
        <v>762821.98599999992</v>
      </c>
      <c r="V66" s="54">
        <f t="shared" si="23"/>
        <v>761572.00999999989</v>
      </c>
      <c r="W66" s="54">
        <f t="shared" si="23"/>
        <v>-57348</v>
      </c>
      <c r="X66" s="54">
        <f t="shared" si="23"/>
        <v>0</v>
      </c>
      <c r="Y66" s="54">
        <f t="shared" si="23"/>
        <v>0</v>
      </c>
      <c r="Z66" s="54">
        <f t="shared" si="23"/>
        <v>-59138.950000000004</v>
      </c>
      <c r="AA66" s="54">
        <f t="shared" si="23"/>
        <v>-134314.99495900099</v>
      </c>
      <c r="AB66" s="54">
        <f t="shared" si="23"/>
        <v>-3424802.3539999994</v>
      </c>
      <c r="AC66" s="54">
        <f t="shared" si="23"/>
        <v>-301538.01</v>
      </c>
      <c r="AD66" s="54">
        <f t="shared" si="23"/>
        <v>-862654.22</v>
      </c>
      <c r="AE66" s="54">
        <f t="shared" si="23"/>
        <v>0</v>
      </c>
      <c r="AF66" s="54">
        <f t="shared" si="23"/>
        <v>0</v>
      </c>
      <c r="AG66" s="54">
        <f t="shared" si="23"/>
        <v>-103839.56600000001</v>
      </c>
      <c r="AH66" s="54">
        <f t="shared" si="23"/>
        <v>-776241.85</v>
      </c>
      <c r="AI66" s="54">
        <f t="shared" si="23"/>
        <v>-46228.152000000002</v>
      </c>
      <c r="AJ66" s="54">
        <f t="shared" si="16"/>
        <v>-7742757.5218297634</v>
      </c>
      <c r="AK66" s="54">
        <f t="shared" si="3"/>
        <v>12856006.978120161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72" spans="1:37" s="225" customFormat="1" x14ac:dyDescent="0.25">
      <c r="C72" s="276" t="s">
        <v>1191</v>
      </c>
      <c r="D72" s="277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9"/>
      <c r="R72" s="279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0"/>
      <c r="AK72" s="278"/>
    </row>
    <row r="73" spans="1:37" s="225" customFormat="1" x14ac:dyDescent="0.25">
      <c r="A73" s="226"/>
      <c r="B73" s="227"/>
      <c r="C73" s="228" t="s">
        <v>842</v>
      </c>
      <c r="D73" s="228" t="s">
        <v>843</v>
      </c>
      <c r="E73" s="230">
        <v>45474</v>
      </c>
      <c r="F73" s="230">
        <f>+E73+1</f>
        <v>45475</v>
      </c>
      <c r="G73" s="230">
        <f t="shared" ref="G73" si="24">+F73+1</f>
        <v>45476</v>
      </c>
      <c r="H73" s="230">
        <f t="shared" ref="H73" si="25">+G73+1</f>
        <v>45477</v>
      </c>
      <c r="I73" s="230">
        <f t="shared" ref="I73" si="26">+H73+1</f>
        <v>45478</v>
      </c>
      <c r="J73" s="229">
        <f t="shared" ref="J73" si="27">+I73+1</f>
        <v>45479</v>
      </c>
      <c r="K73" s="229">
        <f t="shared" ref="K73" si="28">+J73+1</f>
        <v>45480</v>
      </c>
      <c r="L73" s="230">
        <f t="shared" ref="L73" si="29">+K73+1</f>
        <v>45481</v>
      </c>
      <c r="M73" s="230">
        <f t="shared" ref="M73" si="30">+L73+1</f>
        <v>45482</v>
      </c>
      <c r="N73" s="230">
        <f t="shared" ref="N73" si="31">+M73+1</f>
        <v>45483</v>
      </c>
      <c r="O73" s="230">
        <f>+N73+1</f>
        <v>45484</v>
      </c>
      <c r="P73" s="230">
        <f t="shared" ref="P73" si="32">+O73+1</f>
        <v>45485</v>
      </c>
      <c r="Q73" s="275">
        <f t="shared" ref="Q73" si="33">+P73+1</f>
        <v>45486</v>
      </c>
      <c r="R73" s="275">
        <f t="shared" ref="R73" si="34">+Q73+1</f>
        <v>45487</v>
      </c>
      <c r="S73" s="230">
        <f t="shared" ref="S73" si="35">+R73+1</f>
        <v>45488</v>
      </c>
      <c r="T73" s="230">
        <f t="shared" ref="T73" si="36">+S73+1</f>
        <v>45489</v>
      </c>
      <c r="U73" s="230">
        <f t="shared" ref="U73" si="37">+T73+1</f>
        <v>45490</v>
      </c>
      <c r="V73" s="230">
        <f t="shared" ref="V73" si="38">+U73+1</f>
        <v>45491</v>
      </c>
      <c r="W73" s="230">
        <f t="shared" ref="W73" si="39">+V73+1</f>
        <v>45492</v>
      </c>
      <c r="X73" s="229">
        <f t="shared" ref="X73" si="40">+W73+1</f>
        <v>45493</v>
      </c>
      <c r="Y73" s="229">
        <f t="shared" ref="Y73" si="41">+X73+1</f>
        <v>45494</v>
      </c>
      <c r="Z73" s="230">
        <f t="shared" ref="Z73" si="42">+Y73+1</f>
        <v>45495</v>
      </c>
      <c r="AA73" s="230">
        <f t="shared" ref="AA73" si="43">+Z73+1</f>
        <v>45496</v>
      </c>
      <c r="AB73" s="230">
        <f t="shared" ref="AB73" si="44">+AA73+1</f>
        <v>45497</v>
      </c>
      <c r="AC73" s="230">
        <f t="shared" ref="AC73" si="45">+AB73+1</f>
        <v>45498</v>
      </c>
      <c r="AD73" s="230">
        <f t="shared" ref="AD73" si="46">+AC73+1</f>
        <v>45499</v>
      </c>
      <c r="AE73" s="229">
        <f t="shared" ref="AE73" si="47">+AD73+1</f>
        <v>45500</v>
      </c>
      <c r="AF73" s="229">
        <f t="shared" ref="AF73" si="48">+AE73+1</f>
        <v>45501</v>
      </c>
      <c r="AG73" s="230">
        <f t="shared" ref="AG73" si="49">+AF73+1</f>
        <v>45502</v>
      </c>
      <c r="AH73" s="230">
        <f t="shared" ref="AH73" si="50">+AG73+1</f>
        <v>45503</v>
      </c>
      <c r="AI73" s="230">
        <f t="shared" ref="AI73" si="51">+AH73+1</f>
        <v>45504</v>
      </c>
      <c r="AJ73" s="232" t="s">
        <v>844</v>
      </c>
      <c r="AK73" s="233" t="s">
        <v>845</v>
      </c>
    </row>
    <row r="74" spans="1:37" s="238" customFormat="1" ht="20.100000000000001" customHeight="1" x14ac:dyDescent="0.3">
      <c r="A74" s="234"/>
      <c r="B74" s="235" t="s">
        <v>846</v>
      </c>
      <c r="C74" s="236" t="s">
        <v>847</v>
      </c>
      <c r="D74" s="237">
        <f t="shared" ref="D74:E74" si="52">SUM(D75,D82)</f>
        <v>12184682.049097998</v>
      </c>
      <c r="E74" s="237">
        <f t="shared" si="52"/>
        <v>0</v>
      </c>
      <c r="F74" s="237">
        <f t="shared" ref="F74:AI74" si="53">SUM(F75,F82)</f>
        <v>0</v>
      </c>
      <c r="G74" s="237">
        <f t="shared" si="53"/>
        <v>0</v>
      </c>
      <c r="H74" s="237">
        <f t="shared" si="53"/>
        <v>0</v>
      </c>
      <c r="I74" s="237">
        <f t="shared" si="53"/>
        <v>0</v>
      </c>
      <c r="J74" s="237">
        <f t="shared" si="53"/>
        <v>0</v>
      </c>
      <c r="K74" s="237">
        <f t="shared" si="53"/>
        <v>0</v>
      </c>
      <c r="L74" s="237">
        <f t="shared" si="53"/>
        <v>0</v>
      </c>
      <c r="M74" s="237">
        <f t="shared" si="53"/>
        <v>0</v>
      </c>
      <c r="N74" s="237">
        <f t="shared" si="53"/>
        <v>50403.641217999997</v>
      </c>
      <c r="O74" s="237">
        <f t="shared" si="53"/>
        <v>0</v>
      </c>
      <c r="P74" s="237">
        <f t="shared" si="53"/>
        <v>0</v>
      </c>
      <c r="Q74" s="237">
        <f t="shared" si="53"/>
        <v>0</v>
      </c>
      <c r="R74" s="237">
        <f t="shared" si="53"/>
        <v>0</v>
      </c>
      <c r="S74" s="237">
        <f t="shared" si="53"/>
        <v>0</v>
      </c>
      <c r="T74" s="237">
        <f t="shared" si="53"/>
        <v>0</v>
      </c>
      <c r="U74" s="237">
        <f t="shared" si="53"/>
        <v>0</v>
      </c>
      <c r="V74" s="237">
        <f t="shared" si="53"/>
        <v>0</v>
      </c>
      <c r="W74" s="237">
        <f t="shared" si="53"/>
        <v>0</v>
      </c>
      <c r="X74" s="237">
        <f t="shared" si="53"/>
        <v>0</v>
      </c>
      <c r="Y74" s="237">
        <f t="shared" si="53"/>
        <v>0</v>
      </c>
      <c r="Z74" s="237">
        <f t="shared" si="53"/>
        <v>501212.75166451599</v>
      </c>
      <c r="AA74" s="237">
        <f t="shared" si="53"/>
        <v>0</v>
      </c>
      <c r="AB74" s="237">
        <f t="shared" si="53"/>
        <v>0</v>
      </c>
      <c r="AC74" s="237">
        <f t="shared" si="53"/>
        <v>0</v>
      </c>
      <c r="AD74" s="237">
        <f t="shared" si="53"/>
        <v>0</v>
      </c>
      <c r="AE74" s="237">
        <f t="shared" si="53"/>
        <v>0</v>
      </c>
      <c r="AF74" s="237">
        <f t="shared" si="53"/>
        <v>0</v>
      </c>
      <c r="AG74" s="237">
        <f t="shared" si="53"/>
        <v>0</v>
      </c>
      <c r="AH74" s="237">
        <f t="shared" si="53"/>
        <v>0</v>
      </c>
      <c r="AI74" s="237">
        <f t="shared" si="53"/>
        <v>264209.41341548384</v>
      </c>
      <c r="AJ74" s="237">
        <f t="shared" ref="AJ74:AJ105" si="54">SUM(E74:AI74)</f>
        <v>815825.80629799981</v>
      </c>
      <c r="AK74" s="237">
        <f t="shared" ref="AK74:AK137" si="55">+D74-AJ74</f>
        <v>11368856.242799997</v>
      </c>
    </row>
    <row r="75" spans="1:37" s="238" customFormat="1" ht="20.100000000000001" customHeight="1" x14ac:dyDescent="0.3">
      <c r="B75" s="239" t="s">
        <v>848</v>
      </c>
      <c r="C75" s="240" t="s">
        <v>849</v>
      </c>
      <c r="D75" s="241">
        <f t="shared" ref="D75" si="56">SUM(D76,D80,D81)</f>
        <v>12155110.407879999</v>
      </c>
      <c r="E75" s="241">
        <f>SUM(E76,E80,E81)</f>
        <v>0</v>
      </c>
      <c r="F75" s="241">
        <f t="shared" ref="F75:AI75" si="57">SUM(F76,F80,F81)</f>
        <v>0</v>
      </c>
      <c r="G75" s="241">
        <f t="shared" si="57"/>
        <v>0</v>
      </c>
      <c r="H75" s="241">
        <f t="shared" si="57"/>
        <v>0</v>
      </c>
      <c r="I75" s="241">
        <f t="shared" si="57"/>
        <v>0</v>
      </c>
      <c r="J75" s="242">
        <f t="shared" si="57"/>
        <v>0</v>
      </c>
      <c r="K75" s="242">
        <f t="shared" si="57"/>
        <v>0</v>
      </c>
      <c r="L75" s="241">
        <f t="shared" si="57"/>
        <v>0</v>
      </c>
      <c r="M75" s="241">
        <f t="shared" si="57"/>
        <v>0</v>
      </c>
      <c r="N75" s="241">
        <f t="shared" si="57"/>
        <v>20832</v>
      </c>
      <c r="O75" s="241">
        <f t="shared" si="57"/>
        <v>0</v>
      </c>
      <c r="P75" s="241">
        <f t="shared" si="57"/>
        <v>0</v>
      </c>
      <c r="Q75" s="242">
        <f t="shared" si="57"/>
        <v>0</v>
      </c>
      <c r="R75" s="242">
        <f t="shared" si="57"/>
        <v>0</v>
      </c>
      <c r="S75" s="241">
        <f t="shared" si="57"/>
        <v>0</v>
      </c>
      <c r="T75" s="241">
        <f t="shared" si="57"/>
        <v>0</v>
      </c>
      <c r="U75" s="241">
        <f t="shared" si="57"/>
        <v>0</v>
      </c>
      <c r="V75" s="241">
        <f t="shared" si="57"/>
        <v>0</v>
      </c>
      <c r="W75" s="241">
        <f t="shared" si="57"/>
        <v>0</v>
      </c>
      <c r="X75" s="242">
        <f t="shared" si="57"/>
        <v>0</v>
      </c>
      <c r="Y75" s="242">
        <f t="shared" si="57"/>
        <v>0</v>
      </c>
      <c r="Z75" s="241">
        <f t="shared" si="57"/>
        <v>501212.75166451599</v>
      </c>
      <c r="AA75" s="241">
        <f t="shared" si="57"/>
        <v>0</v>
      </c>
      <c r="AB75" s="241">
        <f t="shared" si="57"/>
        <v>0</v>
      </c>
      <c r="AC75" s="241">
        <f t="shared" si="57"/>
        <v>0</v>
      </c>
      <c r="AD75" s="241">
        <f t="shared" si="57"/>
        <v>0</v>
      </c>
      <c r="AE75" s="242">
        <f t="shared" si="57"/>
        <v>0</v>
      </c>
      <c r="AF75" s="242">
        <f t="shared" si="57"/>
        <v>0</v>
      </c>
      <c r="AG75" s="241">
        <f t="shared" si="57"/>
        <v>0</v>
      </c>
      <c r="AH75" s="241">
        <f t="shared" si="57"/>
        <v>0</v>
      </c>
      <c r="AI75" s="241">
        <f t="shared" si="57"/>
        <v>264209.41341548384</v>
      </c>
      <c r="AJ75" s="243">
        <f t="shared" si="54"/>
        <v>786254.16507999983</v>
      </c>
      <c r="AK75" s="244">
        <f t="shared" si="55"/>
        <v>11368856.242799999</v>
      </c>
    </row>
    <row r="76" spans="1:37" s="238" customFormat="1" ht="20.100000000000001" customHeight="1" x14ac:dyDescent="0.3">
      <c r="B76" s="245">
        <v>1</v>
      </c>
      <c r="C76" s="246" t="s">
        <v>850</v>
      </c>
      <c r="D76" s="247">
        <f>SUM(D77:D79)</f>
        <v>12155110.407879999</v>
      </c>
      <c r="E76" s="247">
        <f t="shared" ref="E76" si="58">SUM(E77:E79)</f>
        <v>0</v>
      </c>
      <c r="F76" s="247">
        <f t="shared" ref="F76:AI76" si="59">SUM(F77:F79)</f>
        <v>0</v>
      </c>
      <c r="G76" s="247">
        <f t="shared" si="59"/>
        <v>0</v>
      </c>
      <c r="H76" s="247">
        <f t="shared" si="59"/>
        <v>0</v>
      </c>
      <c r="I76" s="247">
        <f t="shared" si="59"/>
        <v>0</v>
      </c>
      <c r="J76" s="248">
        <f t="shared" si="59"/>
        <v>0</v>
      </c>
      <c r="K76" s="248">
        <f t="shared" si="59"/>
        <v>0</v>
      </c>
      <c r="L76" s="247">
        <f t="shared" si="59"/>
        <v>0</v>
      </c>
      <c r="M76" s="247">
        <f t="shared" si="59"/>
        <v>0</v>
      </c>
      <c r="N76" s="247">
        <f t="shared" si="59"/>
        <v>20832</v>
      </c>
      <c r="O76" s="247">
        <f t="shared" si="59"/>
        <v>0</v>
      </c>
      <c r="P76" s="247">
        <f t="shared" si="59"/>
        <v>0</v>
      </c>
      <c r="Q76" s="248">
        <f t="shared" si="59"/>
        <v>0</v>
      </c>
      <c r="R76" s="248">
        <f t="shared" si="59"/>
        <v>0</v>
      </c>
      <c r="S76" s="247">
        <f t="shared" si="59"/>
        <v>0</v>
      </c>
      <c r="T76" s="247">
        <f t="shared" si="59"/>
        <v>0</v>
      </c>
      <c r="U76" s="247">
        <f t="shared" si="59"/>
        <v>0</v>
      </c>
      <c r="V76" s="247">
        <f t="shared" si="59"/>
        <v>0</v>
      </c>
      <c r="W76" s="247">
        <f t="shared" si="59"/>
        <v>0</v>
      </c>
      <c r="X76" s="248">
        <f t="shared" si="59"/>
        <v>0</v>
      </c>
      <c r="Y76" s="248">
        <f t="shared" si="59"/>
        <v>0</v>
      </c>
      <c r="Z76" s="247">
        <f t="shared" si="59"/>
        <v>501212.75166451599</v>
      </c>
      <c r="AA76" s="247">
        <f t="shared" si="59"/>
        <v>0</v>
      </c>
      <c r="AB76" s="247">
        <f t="shared" si="59"/>
        <v>0</v>
      </c>
      <c r="AC76" s="247">
        <f t="shared" si="59"/>
        <v>0</v>
      </c>
      <c r="AD76" s="247">
        <f t="shared" si="59"/>
        <v>0</v>
      </c>
      <c r="AE76" s="248">
        <f t="shared" si="59"/>
        <v>0</v>
      </c>
      <c r="AF76" s="248">
        <f t="shared" si="59"/>
        <v>0</v>
      </c>
      <c r="AG76" s="247">
        <f t="shared" si="59"/>
        <v>0</v>
      </c>
      <c r="AH76" s="247">
        <f t="shared" si="59"/>
        <v>0</v>
      </c>
      <c r="AI76" s="247">
        <f t="shared" si="59"/>
        <v>264209.41341548384</v>
      </c>
      <c r="AJ76" s="249">
        <f t="shared" si="54"/>
        <v>786254.16507999983</v>
      </c>
      <c r="AK76" s="250">
        <f t="shared" si="55"/>
        <v>11368856.242799999</v>
      </c>
    </row>
    <row r="77" spans="1:37" s="251" customFormat="1" ht="20.100000000000001" customHeight="1" outlineLevel="1" x14ac:dyDescent="0.3">
      <c r="B77" s="252"/>
      <c r="C77" s="246" t="s">
        <v>851</v>
      </c>
      <c r="D77" s="253">
        <v>11368856.242799999</v>
      </c>
      <c r="E77" s="247"/>
      <c r="F77" s="247"/>
      <c r="G77" s="247"/>
      <c r="H77" s="247"/>
      <c r="I77" s="247"/>
      <c r="J77" s="248"/>
      <c r="K77" s="248"/>
      <c r="L77" s="247"/>
      <c r="M77" s="247"/>
      <c r="N77" s="247"/>
      <c r="O77" s="247"/>
      <c r="P77" s="247"/>
      <c r="Q77" s="248"/>
      <c r="R77" s="248"/>
      <c r="S77" s="247"/>
      <c r="T77" s="247"/>
      <c r="U77" s="247"/>
      <c r="V77" s="247"/>
      <c r="W77" s="247"/>
      <c r="X77" s="248"/>
      <c r="Y77" s="248"/>
      <c r="Z77" s="247"/>
      <c r="AA77" s="247"/>
      <c r="AB77" s="247"/>
      <c r="AC77" s="247"/>
      <c r="AD77" s="247"/>
      <c r="AE77" s="248"/>
      <c r="AF77" s="248"/>
      <c r="AG77" s="247"/>
      <c r="AH77" s="247"/>
      <c r="AI77" s="247"/>
      <c r="AJ77" s="249">
        <f t="shared" si="54"/>
        <v>0</v>
      </c>
      <c r="AK77" s="254">
        <f t="shared" si="55"/>
        <v>11368856.242799999</v>
      </c>
    </row>
    <row r="78" spans="1:37" s="251" customFormat="1" ht="20.100000000000001" customHeight="1" outlineLevel="1" x14ac:dyDescent="0.3">
      <c r="B78" s="252"/>
      <c r="C78" s="246" t="s">
        <v>53</v>
      </c>
      <c r="D78" s="253">
        <v>744590.16507999983</v>
      </c>
      <c r="E78" s="247"/>
      <c r="F78" s="247"/>
      <c r="G78" s="247"/>
      <c r="H78" s="247"/>
      <c r="I78" s="247"/>
      <c r="J78" s="248"/>
      <c r="K78" s="248"/>
      <c r="L78" s="247"/>
      <c r="M78" s="247"/>
      <c r="N78" s="247"/>
      <c r="O78" s="247"/>
      <c r="P78" s="247"/>
      <c r="Q78" s="248"/>
      <c r="R78" s="248"/>
      <c r="S78" s="247"/>
      <c r="T78" s="247"/>
      <c r="U78" s="247"/>
      <c r="V78" s="247"/>
      <c r="W78" s="247"/>
      <c r="X78" s="248"/>
      <c r="Y78" s="248"/>
      <c r="Z78" s="247">
        <v>480380.75166451599</v>
      </c>
      <c r="AA78" s="247"/>
      <c r="AB78" s="247"/>
      <c r="AC78" s="247"/>
      <c r="AD78" s="247"/>
      <c r="AE78" s="248"/>
      <c r="AF78" s="248"/>
      <c r="AG78" s="247"/>
      <c r="AH78" s="247"/>
      <c r="AI78" s="247">
        <v>264209.41341548384</v>
      </c>
      <c r="AJ78" s="249">
        <f t="shared" si="54"/>
        <v>744590.16507999983</v>
      </c>
      <c r="AK78" s="254">
        <f t="shared" si="55"/>
        <v>0</v>
      </c>
    </row>
    <row r="79" spans="1:37" s="251" customFormat="1" ht="20.100000000000001" customHeight="1" outlineLevel="1" x14ac:dyDescent="0.3">
      <c r="B79" s="252"/>
      <c r="C79" s="246" t="s">
        <v>33</v>
      </c>
      <c r="D79" s="253">
        <v>41664</v>
      </c>
      <c r="E79" s="247"/>
      <c r="F79" s="247"/>
      <c r="G79" s="247"/>
      <c r="H79" s="247"/>
      <c r="I79" s="247"/>
      <c r="J79" s="248"/>
      <c r="K79" s="248"/>
      <c r="L79" s="247"/>
      <c r="M79" s="247"/>
      <c r="N79" s="247">
        <v>20832</v>
      </c>
      <c r="O79" s="247"/>
      <c r="P79" s="247"/>
      <c r="Q79" s="248"/>
      <c r="R79" s="248"/>
      <c r="S79" s="247"/>
      <c r="T79" s="247"/>
      <c r="U79" s="247"/>
      <c r="V79" s="247"/>
      <c r="W79" s="247"/>
      <c r="X79" s="248"/>
      <c r="Y79" s="248"/>
      <c r="Z79" s="247">
        <v>20832</v>
      </c>
      <c r="AA79" s="247"/>
      <c r="AB79" s="247"/>
      <c r="AC79" s="247"/>
      <c r="AD79" s="247"/>
      <c r="AE79" s="248"/>
      <c r="AF79" s="248"/>
      <c r="AG79" s="247"/>
      <c r="AH79" s="247"/>
      <c r="AI79" s="247"/>
      <c r="AJ79" s="249">
        <f t="shared" si="54"/>
        <v>41664</v>
      </c>
      <c r="AK79" s="254">
        <f t="shared" si="55"/>
        <v>0</v>
      </c>
    </row>
    <row r="80" spans="1:37" s="238" customFormat="1" ht="20.100000000000001" customHeight="1" x14ac:dyDescent="0.3">
      <c r="B80" s="245">
        <v>2</v>
      </c>
      <c r="C80" s="246" t="s">
        <v>36</v>
      </c>
      <c r="D80" s="253"/>
      <c r="E80" s="247"/>
      <c r="F80" s="247"/>
      <c r="G80" s="247"/>
      <c r="H80" s="247"/>
      <c r="I80" s="247"/>
      <c r="J80" s="248"/>
      <c r="K80" s="248"/>
      <c r="L80" s="247"/>
      <c r="M80" s="247"/>
      <c r="N80" s="247"/>
      <c r="O80" s="247"/>
      <c r="P80" s="247"/>
      <c r="Q80" s="248"/>
      <c r="R80" s="248"/>
      <c r="S80" s="247"/>
      <c r="T80" s="247"/>
      <c r="U80" s="247"/>
      <c r="V80" s="247"/>
      <c r="W80" s="247"/>
      <c r="X80" s="248"/>
      <c r="Y80" s="248"/>
      <c r="Z80" s="247"/>
      <c r="AA80" s="247"/>
      <c r="AB80" s="247"/>
      <c r="AC80" s="247"/>
      <c r="AD80" s="247"/>
      <c r="AE80" s="248"/>
      <c r="AF80" s="248"/>
      <c r="AG80" s="247"/>
      <c r="AH80" s="247"/>
      <c r="AI80" s="247"/>
      <c r="AJ80" s="249">
        <f t="shared" si="54"/>
        <v>0</v>
      </c>
      <c r="AK80" s="254">
        <f t="shared" si="55"/>
        <v>0</v>
      </c>
    </row>
    <row r="81" spans="1:37" s="238" customFormat="1" ht="20.100000000000001" customHeight="1" x14ac:dyDescent="0.3">
      <c r="B81" s="245">
        <v>3</v>
      </c>
      <c r="C81" s="246" t="s">
        <v>119</v>
      </c>
      <c r="D81" s="253"/>
      <c r="E81" s="247"/>
      <c r="F81" s="247"/>
      <c r="G81" s="247"/>
      <c r="H81" s="247"/>
      <c r="I81" s="247"/>
      <c r="J81" s="248"/>
      <c r="K81" s="248"/>
      <c r="L81" s="247"/>
      <c r="M81" s="247"/>
      <c r="N81" s="247"/>
      <c r="O81" s="247"/>
      <c r="P81" s="247"/>
      <c r="Q81" s="248"/>
      <c r="R81" s="248"/>
      <c r="S81" s="247"/>
      <c r="T81" s="247"/>
      <c r="U81" s="247"/>
      <c r="V81" s="247"/>
      <c r="W81" s="247"/>
      <c r="X81" s="248"/>
      <c r="Y81" s="248"/>
      <c r="Z81" s="247"/>
      <c r="AA81" s="247"/>
      <c r="AB81" s="247"/>
      <c r="AC81" s="247"/>
      <c r="AD81" s="247"/>
      <c r="AE81" s="248"/>
      <c r="AF81" s="248"/>
      <c r="AG81" s="247"/>
      <c r="AH81" s="247"/>
      <c r="AI81" s="247"/>
      <c r="AJ81" s="249">
        <f t="shared" si="54"/>
        <v>0</v>
      </c>
      <c r="AK81" s="254">
        <f t="shared" si="55"/>
        <v>0</v>
      </c>
    </row>
    <row r="82" spans="1:37" s="238" customFormat="1" ht="20.100000000000001" customHeight="1" x14ac:dyDescent="0.3">
      <c r="B82" s="239" t="s">
        <v>852</v>
      </c>
      <c r="C82" s="240" t="s">
        <v>853</v>
      </c>
      <c r="D82" s="241">
        <f t="shared" ref="D82:E82" si="60">SUM(D83:D84,D91,D92,D93)</f>
        <v>29571.641217999997</v>
      </c>
      <c r="E82" s="241">
        <f t="shared" si="60"/>
        <v>0</v>
      </c>
      <c r="F82" s="241">
        <f t="shared" ref="F82:AI82" si="61">SUM(F83:F84,F91,F92,F93)</f>
        <v>0</v>
      </c>
      <c r="G82" s="241">
        <f t="shared" si="61"/>
        <v>0</v>
      </c>
      <c r="H82" s="241">
        <f t="shared" si="61"/>
        <v>0</v>
      </c>
      <c r="I82" s="241">
        <f t="shared" si="61"/>
        <v>0</v>
      </c>
      <c r="J82" s="242">
        <f t="shared" si="61"/>
        <v>0</v>
      </c>
      <c r="K82" s="242">
        <f t="shared" si="61"/>
        <v>0</v>
      </c>
      <c r="L82" s="241">
        <f t="shared" si="61"/>
        <v>0</v>
      </c>
      <c r="M82" s="241">
        <f t="shared" si="61"/>
        <v>0</v>
      </c>
      <c r="N82" s="241">
        <f t="shared" si="61"/>
        <v>29571.641217999997</v>
      </c>
      <c r="O82" s="241">
        <f t="shared" si="61"/>
        <v>0</v>
      </c>
      <c r="P82" s="241">
        <f t="shared" si="61"/>
        <v>0</v>
      </c>
      <c r="Q82" s="242">
        <f t="shared" si="61"/>
        <v>0</v>
      </c>
      <c r="R82" s="242">
        <f t="shared" si="61"/>
        <v>0</v>
      </c>
      <c r="S82" s="241">
        <f t="shared" si="61"/>
        <v>0</v>
      </c>
      <c r="T82" s="241">
        <f t="shared" si="61"/>
        <v>0</v>
      </c>
      <c r="U82" s="241">
        <f t="shared" si="61"/>
        <v>0</v>
      </c>
      <c r="V82" s="241">
        <f t="shared" si="61"/>
        <v>0</v>
      </c>
      <c r="W82" s="241">
        <f t="shared" si="61"/>
        <v>0</v>
      </c>
      <c r="X82" s="242">
        <f t="shared" si="61"/>
        <v>0</v>
      </c>
      <c r="Y82" s="242">
        <f t="shared" si="61"/>
        <v>0</v>
      </c>
      <c r="Z82" s="241">
        <f t="shared" si="61"/>
        <v>0</v>
      </c>
      <c r="AA82" s="241">
        <f t="shared" si="61"/>
        <v>0</v>
      </c>
      <c r="AB82" s="241">
        <f t="shared" si="61"/>
        <v>0</v>
      </c>
      <c r="AC82" s="241">
        <f t="shared" si="61"/>
        <v>0</v>
      </c>
      <c r="AD82" s="241">
        <f t="shared" si="61"/>
        <v>0</v>
      </c>
      <c r="AE82" s="242">
        <f t="shared" si="61"/>
        <v>0</v>
      </c>
      <c r="AF82" s="242">
        <f t="shared" si="61"/>
        <v>0</v>
      </c>
      <c r="AG82" s="241">
        <f t="shared" si="61"/>
        <v>0</v>
      </c>
      <c r="AH82" s="241">
        <f t="shared" si="61"/>
        <v>0</v>
      </c>
      <c r="AI82" s="241">
        <f t="shared" si="61"/>
        <v>0</v>
      </c>
      <c r="AJ82" s="243">
        <f t="shared" si="54"/>
        <v>29571.641217999997</v>
      </c>
      <c r="AK82" s="244">
        <f t="shared" si="55"/>
        <v>0</v>
      </c>
    </row>
    <row r="83" spans="1:37" s="238" customFormat="1" ht="20.100000000000001" customHeight="1" x14ac:dyDescent="0.3">
      <c r="B83" s="245">
        <v>1</v>
      </c>
      <c r="C83" s="246" t="s">
        <v>58</v>
      </c>
      <c r="D83" s="253">
        <v>6288.2976179999987</v>
      </c>
      <c r="E83" s="247"/>
      <c r="F83" s="247"/>
      <c r="G83" s="247"/>
      <c r="H83" s="247"/>
      <c r="I83" s="247"/>
      <c r="J83" s="248"/>
      <c r="K83" s="248"/>
      <c r="L83" s="247"/>
      <c r="M83" s="247"/>
      <c r="N83" s="247">
        <v>6288.2976179999987</v>
      </c>
      <c r="O83" s="247"/>
      <c r="P83" s="247"/>
      <c r="Q83" s="248"/>
      <c r="R83" s="248"/>
      <c r="S83" s="247"/>
      <c r="T83" s="247"/>
      <c r="U83" s="247"/>
      <c r="V83" s="247"/>
      <c r="W83" s="247"/>
      <c r="X83" s="248"/>
      <c r="Y83" s="248"/>
      <c r="Z83" s="247"/>
      <c r="AA83" s="247"/>
      <c r="AB83" s="247"/>
      <c r="AC83" s="247"/>
      <c r="AD83" s="247"/>
      <c r="AE83" s="248"/>
      <c r="AF83" s="248"/>
      <c r="AG83" s="247"/>
      <c r="AH83" s="247"/>
      <c r="AI83" s="247"/>
      <c r="AJ83" s="249">
        <f t="shared" si="54"/>
        <v>6288.2976179999987</v>
      </c>
      <c r="AK83" s="254">
        <f t="shared" si="55"/>
        <v>0</v>
      </c>
    </row>
    <row r="84" spans="1:37" s="238" customFormat="1" ht="20.100000000000001" customHeight="1" x14ac:dyDescent="0.3">
      <c r="B84" s="245">
        <v>2</v>
      </c>
      <c r="C84" s="246" t="s">
        <v>854</v>
      </c>
      <c r="D84" s="247">
        <f t="shared" ref="D84" si="62">SUM(D85:D89)</f>
        <v>23283.3436</v>
      </c>
      <c r="E84" s="247">
        <f t="shared" ref="E84" si="63">SUM(E85:E90)</f>
        <v>0</v>
      </c>
      <c r="F84" s="247">
        <f t="shared" ref="F84:AI84" si="64">SUM(F85:F90)</f>
        <v>0</v>
      </c>
      <c r="G84" s="247">
        <f t="shared" si="64"/>
        <v>0</v>
      </c>
      <c r="H84" s="247">
        <f t="shared" si="64"/>
        <v>0</v>
      </c>
      <c r="I84" s="247">
        <f t="shared" si="64"/>
        <v>0</v>
      </c>
      <c r="J84" s="248">
        <f t="shared" si="64"/>
        <v>0</v>
      </c>
      <c r="K84" s="248">
        <f t="shared" si="64"/>
        <v>0</v>
      </c>
      <c r="L84" s="247">
        <f t="shared" si="64"/>
        <v>0</v>
      </c>
      <c r="M84" s="247">
        <f t="shared" si="64"/>
        <v>0</v>
      </c>
      <c r="N84" s="247">
        <f t="shared" si="64"/>
        <v>23283.3436</v>
      </c>
      <c r="O84" s="247">
        <f t="shared" si="64"/>
        <v>0</v>
      </c>
      <c r="P84" s="247">
        <f t="shared" si="64"/>
        <v>0</v>
      </c>
      <c r="Q84" s="248">
        <f t="shared" si="64"/>
        <v>0</v>
      </c>
      <c r="R84" s="248">
        <f t="shared" si="64"/>
        <v>0</v>
      </c>
      <c r="S84" s="247">
        <f t="shared" si="64"/>
        <v>0</v>
      </c>
      <c r="T84" s="247">
        <f t="shared" si="64"/>
        <v>0</v>
      </c>
      <c r="U84" s="247">
        <f t="shared" si="64"/>
        <v>0</v>
      </c>
      <c r="V84" s="247">
        <f t="shared" si="64"/>
        <v>0</v>
      </c>
      <c r="W84" s="247">
        <f t="shared" si="64"/>
        <v>0</v>
      </c>
      <c r="X84" s="248">
        <f t="shared" si="64"/>
        <v>0</v>
      </c>
      <c r="Y84" s="248">
        <f t="shared" si="64"/>
        <v>0</v>
      </c>
      <c r="Z84" s="247">
        <f t="shared" si="64"/>
        <v>0</v>
      </c>
      <c r="AA84" s="247">
        <f t="shared" si="64"/>
        <v>0</v>
      </c>
      <c r="AB84" s="247">
        <f t="shared" si="64"/>
        <v>0</v>
      </c>
      <c r="AC84" s="247">
        <f t="shared" si="64"/>
        <v>0</v>
      </c>
      <c r="AD84" s="247">
        <f t="shared" si="64"/>
        <v>0</v>
      </c>
      <c r="AE84" s="248">
        <f t="shared" si="64"/>
        <v>0</v>
      </c>
      <c r="AF84" s="248">
        <f t="shared" si="64"/>
        <v>0</v>
      </c>
      <c r="AG84" s="247">
        <f t="shared" si="64"/>
        <v>0</v>
      </c>
      <c r="AH84" s="247">
        <f t="shared" si="64"/>
        <v>0</v>
      </c>
      <c r="AI84" s="247">
        <f t="shared" si="64"/>
        <v>0</v>
      </c>
      <c r="AJ84" s="249">
        <f t="shared" si="54"/>
        <v>23283.3436</v>
      </c>
      <c r="AK84" s="250">
        <f t="shared" si="55"/>
        <v>0</v>
      </c>
    </row>
    <row r="85" spans="1:37" s="251" customFormat="1" ht="20.100000000000001" customHeight="1" outlineLevel="1" x14ac:dyDescent="0.3">
      <c r="B85" s="252"/>
      <c r="C85" s="246" t="s">
        <v>76</v>
      </c>
      <c r="D85" s="253">
        <v>23283.3436</v>
      </c>
      <c r="E85" s="247"/>
      <c r="F85" s="247"/>
      <c r="G85" s="247"/>
      <c r="H85" s="247"/>
      <c r="I85" s="247"/>
      <c r="J85" s="248"/>
      <c r="K85" s="248"/>
      <c r="L85" s="247"/>
      <c r="M85" s="247"/>
      <c r="N85" s="247">
        <v>23283.3436</v>
      </c>
      <c r="O85" s="247"/>
      <c r="P85" s="247"/>
      <c r="Q85" s="248"/>
      <c r="R85" s="248"/>
      <c r="S85" s="247"/>
      <c r="T85" s="247"/>
      <c r="U85" s="247"/>
      <c r="V85" s="247"/>
      <c r="W85" s="247"/>
      <c r="X85" s="248"/>
      <c r="Y85" s="248"/>
      <c r="Z85" s="247"/>
      <c r="AA85" s="247"/>
      <c r="AB85" s="247"/>
      <c r="AC85" s="247"/>
      <c r="AD85" s="247"/>
      <c r="AE85" s="248"/>
      <c r="AF85" s="248"/>
      <c r="AG85" s="247"/>
      <c r="AH85" s="247"/>
      <c r="AI85" s="247"/>
      <c r="AJ85" s="249">
        <f t="shared" si="54"/>
        <v>23283.3436</v>
      </c>
      <c r="AK85" s="254">
        <f t="shared" si="55"/>
        <v>0</v>
      </c>
    </row>
    <row r="86" spans="1:37" s="251" customFormat="1" ht="20.100000000000001" customHeight="1" outlineLevel="1" x14ac:dyDescent="0.3">
      <c r="B86" s="252"/>
      <c r="C86" s="246" t="s">
        <v>71</v>
      </c>
      <c r="D86" s="253"/>
      <c r="E86" s="247"/>
      <c r="F86" s="247"/>
      <c r="G86" s="247"/>
      <c r="H86" s="247"/>
      <c r="I86" s="247"/>
      <c r="J86" s="248"/>
      <c r="K86" s="248"/>
      <c r="L86" s="247"/>
      <c r="M86" s="247"/>
      <c r="N86" s="247"/>
      <c r="O86" s="247"/>
      <c r="P86" s="247"/>
      <c r="Q86" s="248"/>
      <c r="R86" s="248"/>
      <c r="S86" s="247"/>
      <c r="T86" s="247"/>
      <c r="U86" s="247"/>
      <c r="V86" s="247"/>
      <c r="W86" s="247"/>
      <c r="X86" s="248"/>
      <c r="Y86" s="248"/>
      <c r="Z86" s="247"/>
      <c r="AA86" s="247"/>
      <c r="AB86" s="247"/>
      <c r="AC86" s="247"/>
      <c r="AD86" s="247"/>
      <c r="AE86" s="248"/>
      <c r="AF86" s="248"/>
      <c r="AG86" s="247"/>
      <c r="AH86" s="247"/>
      <c r="AI86" s="247"/>
      <c r="AJ86" s="249">
        <f t="shared" si="54"/>
        <v>0</v>
      </c>
      <c r="AK86" s="254">
        <f t="shared" si="55"/>
        <v>0</v>
      </c>
    </row>
    <row r="87" spans="1:37" s="251" customFormat="1" ht="20.100000000000001" customHeight="1" outlineLevel="1" x14ac:dyDescent="0.3">
      <c r="B87" s="252"/>
      <c r="C87" s="246" t="s">
        <v>63</v>
      </c>
      <c r="D87" s="253"/>
      <c r="E87" s="247"/>
      <c r="F87" s="247"/>
      <c r="G87" s="247"/>
      <c r="H87" s="247"/>
      <c r="I87" s="247"/>
      <c r="J87" s="248"/>
      <c r="K87" s="248"/>
      <c r="L87" s="247"/>
      <c r="M87" s="247"/>
      <c r="N87" s="247"/>
      <c r="O87" s="247"/>
      <c r="P87" s="247"/>
      <c r="Q87" s="248"/>
      <c r="R87" s="248"/>
      <c r="S87" s="247"/>
      <c r="T87" s="247"/>
      <c r="U87" s="247"/>
      <c r="V87" s="247"/>
      <c r="W87" s="247"/>
      <c r="X87" s="248"/>
      <c r="Y87" s="248"/>
      <c r="Z87" s="247"/>
      <c r="AA87" s="247"/>
      <c r="AB87" s="247"/>
      <c r="AC87" s="247"/>
      <c r="AD87" s="247"/>
      <c r="AE87" s="248"/>
      <c r="AF87" s="248"/>
      <c r="AG87" s="247"/>
      <c r="AH87" s="247"/>
      <c r="AI87" s="247"/>
      <c r="AJ87" s="249">
        <f t="shared" si="54"/>
        <v>0</v>
      </c>
      <c r="AK87" s="254">
        <f t="shared" si="55"/>
        <v>0</v>
      </c>
    </row>
    <row r="88" spans="1:37" s="251" customFormat="1" ht="20.100000000000001" customHeight="1" outlineLevel="1" x14ac:dyDescent="0.3">
      <c r="B88" s="252"/>
      <c r="C88" s="246" t="s">
        <v>57</v>
      </c>
      <c r="D88" s="253"/>
      <c r="E88" s="247"/>
      <c r="F88" s="247"/>
      <c r="G88" s="247"/>
      <c r="H88" s="247"/>
      <c r="I88" s="247"/>
      <c r="J88" s="248"/>
      <c r="K88" s="248"/>
      <c r="L88" s="247"/>
      <c r="M88" s="247"/>
      <c r="N88" s="247"/>
      <c r="O88" s="247"/>
      <c r="P88" s="247"/>
      <c r="Q88" s="248"/>
      <c r="R88" s="248"/>
      <c r="S88" s="247"/>
      <c r="T88" s="247"/>
      <c r="U88" s="247"/>
      <c r="V88" s="247"/>
      <c r="W88" s="247"/>
      <c r="X88" s="248"/>
      <c r="Y88" s="248"/>
      <c r="Z88" s="247"/>
      <c r="AA88" s="247"/>
      <c r="AB88" s="247"/>
      <c r="AC88" s="247"/>
      <c r="AD88" s="247"/>
      <c r="AE88" s="248"/>
      <c r="AF88" s="248"/>
      <c r="AG88" s="247"/>
      <c r="AH88" s="247"/>
      <c r="AI88" s="247"/>
      <c r="AJ88" s="249">
        <f t="shared" si="54"/>
        <v>0</v>
      </c>
      <c r="AK88" s="254">
        <f t="shared" si="55"/>
        <v>0</v>
      </c>
    </row>
    <row r="89" spans="1:37" s="251" customFormat="1" ht="20.100000000000001" customHeight="1" outlineLevel="1" x14ac:dyDescent="0.3">
      <c r="B89" s="252"/>
      <c r="C89" s="246" t="s">
        <v>120</v>
      </c>
      <c r="D89" s="253"/>
      <c r="E89" s="247"/>
      <c r="F89" s="247"/>
      <c r="G89" s="247"/>
      <c r="H89" s="247"/>
      <c r="I89" s="247"/>
      <c r="J89" s="248"/>
      <c r="K89" s="248"/>
      <c r="L89" s="247"/>
      <c r="M89" s="247"/>
      <c r="N89" s="247"/>
      <c r="O89" s="247"/>
      <c r="P89" s="247"/>
      <c r="Q89" s="248"/>
      <c r="R89" s="248"/>
      <c r="S89" s="247"/>
      <c r="T89" s="247"/>
      <c r="U89" s="247"/>
      <c r="V89" s="247"/>
      <c r="W89" s="247"/>
      <c r="X89" s="248"/>
      <c r="Y89" s="248"/>
      <c r="Z89" s="247"/>
      <c r="AA89" s="247"/>
      <c r="AB89" s="247"/>
      <c r="AC89" s="247"/>
      <c r="AD89" s="247"/>
      <c r="AE89" s="248"/>
      <c r="AF89" s="248"/>
      <c r="AG89" s="247"/>
      <c r="AH89" s="247"/>
      <c r="AI89" s="247"/>
      <c r="AJ89" s="249">
        <f t="shared" si="54"/>
        <v>0</v>
      </c>
      <c r="AK89" s="254">
        <f t="shared" si="55"/>
        <v>0</v>
      </c>
    </row>
    <row r="90" spans="1:37" s="251" customFormat="1" ht="20.100000000000001" customHeight="1" outlineLevel="1" x14ac:dyDescent="0.3">
      <c r="A90" s="255"/>
      <c r="B90" s="252"/>
      <c r="C90" s="246" t="s">
        <v>56</v>
      </c>
      <c r="D90" s="253"/>
      <c r="E90" s="247"/>
      <c r="F90" s="247"/>
      <c r="G90" s="247"/>
      <c r="H90" s="247"/>
      <c r="I90" s="247"/>
      <c r="J90" s="248"/>
      <c r="K90" s="248"/>
      <c r="L90" s="247"/>
      <c r="M90" s="247"/>
      <c r="N90" s="247"/>
      <c r="O90" s="247"/>
      <c r="P90" s="247"/>
      <c r="Q90" s="248"/>
      <c r="R90" s="248"/>
      <c r="S90" s="247"/>
      <c r="T90" s="247"/>
      <c r="U90" s="247"/>
      <c r="V90" s="247"/>
      <c r="W90" s="247"/>
      <c r="X90" s="248"/>
      <c r="Y90" s="248"/>
      <c r="Z90" s="247"/>
      <c r="AA90" s="247"/>
      <c r="AB90" s="247"/>
      <c r="AC90" s="247"/>
      <c r="AD90" s="247"/>
      <c r="AE90" s="248"/>
      <c r="AF90" s="248"/>
      <c r="AG90" s="247"/>
      <c r="AH90" s="247"/>
      <c r="AI90" s="247"/>
      <c r="AJ90" s="249">
        <f t="shared" si="54"/>
        <v>0</v>
      </c>
      <c r="AK90" s="254">
        <f t="shared" si="55"/>
        <v>0</v>
      </c>
    </row>
    <row r="91" spans="1:37" s="238" customFormat="1" ht="20.100000000000001" customHeight="1" x14ac:dyDescent="0.3">
      <c r="B91" s="245">
        <v>3</v>
      </c>
      <c r="C91" s="246" t="s">
        <v>54</v>
      </c>
      <c r="D91" s="253"/>
      <c r="E91" s="247"/>
      <c r="F91" s="247"/>
      <c r="G91" s="247"/>
      <c r="H91" s="247"/>
      <c r="I91" s="247"/>
      <c r="J91" s="248"/>
      <c r="K91" s="248"/>
      <c r="L91" s="247"/>
      <c r="M91" s="247"/>
      <c r="N91" s="247"/>
      <c r="O91" s="247"/>
      <c r="P91" s="247"/>
      <c r="Q91" s="248"/>
      <c r="R91" s="248"/>
      <c r="S91" s="247"/>
      <c r="T91" s="247"/>
      <c r="U91" s="247"/>
      <c r="V91" s="247"/>
      <c r="W91" s="247"/>
      <c r="X91" s="248"/>
      <c r="Y91" s="248"/>
      <c r="Z91" s="247"/>
      <c r="AA91" s="247"/>
      <c r="AB91" s="247"/>
      <c r="AC91" s="247"/>
      <c r="AD91" s="247"/>
      <c r="AE91" s="248"/>
      <c r="AF91" s="248"/>
      <c r="AG91" s="247"/>
      <c r="AH91" s="247"/>
      <c r="AI91" s="247"/>
      <c r="AJ91" s="249">
        <f t="shared" si="54"/>
        <v>0</v>
      </c>
      <c r="AK91" s="254">
        <f t="shared" si="55"/>
        <v>0</v>
      </c>
    </row>
    <row r="92" spans="1:37" s="238" customFormat="1" ht="20.100000000000001" customHeight="1" x14ac:dyDescent="0.3">
      <c r="B92" s="245">
        <v>4</v>
      </c>
      <c r="C92" s="246" t="s">
        <v>855</v>
      </c>
      <c r="D92" s="253"/>
      <c r="E92" s="247"/>
      <c r="F92" s="247"/>
      <c r="G92" s="247"/>
      <c r="H92" s="247"/>
      <c r="I92" s="247"/>
      <c r="J92" s="248"/>
      <c r="K92" s="248"/>
      <c r="L92" s="247"/>
      <c r="M92" s="247"/>
      <c r="N92" s="247"/>
      <c r="O92" s="247"/>
      <c r="P92" s="247"/>
      <c r="Q92" s="248"/>
      <c r="R92" s="248"/>
      <c r="S92" s="247"/>
      <c r="T92" s="247"/>
      <c r="U92" s="247"/>
      <c r="V92" s="247"/>
      <c r="W92" s="247"/>
      <c r="X92" s="248"/>
      <c r="Y92" s="248"/>
      <c r="Z92" s="247"/>
      <c r="AA92" s="247"/>
      <c r="AB92" s="247"/>
      <c r="AC92" s="247"/>
      <c r="AD92" s="247"/>
      <c r="AE92" s="248"/>
      <c r="AF92" s="248"/>
      <c r="AG92" s="247"/>
      <c r="AH92" s="247"/>
      <c r="AI92" s="247"/>
      <c r="AJ92" s="249">
        <f t="shared" si="54"/>
        <v>0</v>
      </c>
      <c r="AK92" s="254">
        <f t="shared" si="55"/>
        <v>0</v>
      </c>
    </row>
    <row r="93" spans="1:37" s="238" customFormat="1" ht="20.100000000000001" customHeight="1" x14ac:dyDescent="0.3">
      <c r="B93" s="245">
        <v>5</v>
      </c>
      <c r="C93" s="246" t="s">
        <v>108</v>
      </c>
      <c r="D93" s="253"/>
      <c r="E93" s="247"/>
      <c r="F93" s="247"/>
      <c r="G93" s="247"/>
      <c r="H93" s="247"/>
      <c r="I93" s="247"/>
      <c r="J93" s="248"/>
      <c r="K93" s="248"/>
      <c r="L93" s="247"/>
      <c r="M93" s="247"/>
      <c r="N93" s="247"/>
      <c r="O93" s="247"/>
      <c r="P93" s="247"/>
      <c r="Q93" s="248"/>
      <c r="R93" s="248"/>
      <c r="S93" s="247"/>
      <c r="T93" s="247"/>
      <c r="U93" s="247"/>
      <c r="V93" s="247"/>
      <c r="W93" s="247"/>
      <c r="X93" s="248"/>
      <c r="Y93" s="248"/>
      <c r="Z93" s="247"/>
      <c r="AA93" s="247"/>
      <c r="AB93" s="247"/>
      <c r="AC93" s="247"/>
      <c r="AD93" s="247"/>
      <c r="AE93" s="248"/>
      <c r="AF93" s="248"/>
      <c r="AG93" s="247"/>
      <c r="AH93" s="247"/>
      <c r="AI93" s="247"/>
      <c r="AJ93" s="249">
        <f t="shared" si="54"/>
        <v>0</v>
      </c>
      <c r="AK93" s="254">
        <f t="shared" si="55"/>
        <v>0</v>
      </c>
    </row>
    <row r="94" spans="1:37" s="238" customFormat="1" ht="20.100000000000001" customHeight="1" x14ac:dyDescent="0.3">
      <c r="B94" s="235" t="s">
        <v>856</v>
      </c>
      <c r="C94" s="236" t="s">
        <v>857</v>
      </c>
      <c r="D94" s="237">
        <f t="shared" ref="D94:E94" si="65">SUM(D95,D100,D107,D112,D113)</f>
        <v>18440288.835607599</v>
      </c>
      <c r="E94" s="237">
        <f t="shared" si="65"/>
        <v>46328.556521739134</v>
      </c>
      <c r="F94" s="237">
        <f t="shared" ref="F94:AI94" si="66">SUM(F95,F100,F107,F112,F113)</f>
        <v>46328.556521739134</v>
      </c>
      <c r="G94" s="237">
        <f t="shared" si="66"/>
        <v>46328.556521739134</v>
      </c>
      <c r="H94" s="237">
        <f t="shared" si="66"/>
        <v>46328.556521739134</v>
      </c>
      <c r="I94" s="237">
        <f t="shared" si="66"/>
        <v>46328.556521739134</v>
      </c>
      <c r="J94" s="237">
        <f t="shared" si="66"/>
        <v>0</v>
      </c>
      <c r="K94" s="237">
        <f t="shared" si="66"/>
        <v>0</v>
      </c>
      <c r="L94" s="237">
        <f t="shared" si="66"/>
        <v>46328.556521739134</v>
      </c>
      <c r="M94" s="237">
        <f t="shared" si="66"/>
        <v>46328.556521739134</v>
      </c>
      <c r="N94" s="237">
        <f t="shared" si="66"/>
        <v>480791.87351933919</v>
      </c>
      <c r="O94" s="237">
        <f t="shared" si="66"/>
        <v>46328.556521739134</v>
      </c>
      <c r="P94" s="237">
        <f t="shared" si="66"/>
        <v>575762.02552173915</v>
      </c>
      <c r="Q94" s="237">
        <f t="shared" si="66"/>
        <v>0</v>
      </c>
      <c r="R94" s="237">
        <f t="shared" si="66"/>
        <v>0</v>
      </c>
      <c r="S94" s="237">
        <f t="shared" si="66"/>
        <v>1131066.7795017392</v>
      </c>
      <c r="T94" s="237">
        <f t="shared" si="66"/>
        <v>46328.556521739134</v>
      </c>
      <c r="U94" s="237">
        <f t="shared" si="66"/>
        <v>46328.556521739134</v>
      </c>
      <c r="V94" s="237">
        <f t="shared" si="66"/>
        <v>46328.556521739134</v>
      </c>
      <c r="W94" s="237">
        <f t="shared" si="66"/>
        <v>95528.556521739141</v>
      </c>
      <c r="X94" s="237">
        <f t="shared" si="66"/>
        <v>0</v>
      </c>
      <c r="Y94" s="237">
        <f t="shared" si="66"/>
        <v>0</v>
      </c>
      <c r="Z94" s="237">
        <f t="shared" si="66"/>
        <v>46328.556521739134</v>
      </c>
      <c r="AA94" s="237">
        <f t="shared" si="66"/>
        <v>46328.556521739134</v>
      </c>
      <c r="AB94" s="237">
        <f t="shared" si="66"/>
        <v>46328.556521739134</v>
      </c>
      <c r="AC94" s="237">
        <f t="shared" si="66"/>
        <v>3250883.8603517395</v>
      </c>
      <c r="AD94" s="237">
        <f t="shared" si="66"/>
        <v>46328.556521739134</v>
      </c>
      <c r="AE94" s="237">
        <f t="shared" si="66"/>
        <v>0</v>
      </c>
      <c r="AF94" s="237">
        <f t="shared" si="66"/>
        <v>0</v>
      </c>
      <c r="AG94" s="237">
        <f t="shared" si="66"/>
        <v>46328.556521739134</v>
      </c>
      <c r="AH94" s="237">
        <f t="shared" si="66"/>
        <v>46328.556521739134</v>
      </c>
      <c r="AI94" s="237">
        <f t="shared" si="66"/>
        <v>749814.03652173909</v>
      </c>
      <c r="AJ94" s="237">
        <f t="shared" si="54"/>
        <v>7071432.5928076021</v>
      </c>
      <c r="AK94" s="237">
        <f t="shared" si="55"/>
        <v>11368856.242799997</v>
      </c>
    </row>
    <row r="95" spans="1:37" s="238" customFormat="1" ht="20.100000000000001" customHeight="1" x14ac:dyDescent="0.3">
      <c r="B95" s="245">
        <v>1</v>
      </c>
      <c r="C95" s="246" t="s">
        <v>858</v>
      </c>
      <c r="D95" s="241">
        <f>SUM(D96:D99)</f>
        <v>17956625.518610001</v>
      </c>
      <c r="E95" s="241">
        <f t="shared" ref="E95" si="67">SUM(E96:E99)</f>
        <v>46328.556521739134</v>
      </c>
      <c r="F95" s="241">
        <f t="shared" ref="F95:AI95" si="68">SUM(F96:F99)</f>
        <v>46328.556521739134</v>
      </c>
      <c r="G95" s="241">
        <f t="shared" si="68"/>
        <v>46328.556521739134</v>
      </c>
      <c r="H95" s="241">
        <f t="shared" si="68"/>
        <v>46328.556521739134</v>
      </c>
      <c r="I95" s="241">
        <f t="shared" si="68"/>
        <v>46328.556521739134</v>
      </c>
      <c r="J95" s="242">
        <f t="shared" si="68"/>
        <v>0</v>
      </c>
      <c r="K95" s="242">
        <f t="shared" si="68"/>
        <v>0</v>
      </c>
      <c r="L95" s="241">
        <f t="shared" si="68"/>
        <v>46328.556521739134</v>
      </c>
      <c r="M95" s="241">
        <f t="shared" si="68"/>
        <v>46328.556521739134</v>
      </c>
      <c r="N95" s="241">
        <f t="shared" si="68"/>
        <v>46328.556521739134</v>
      </c>
      <c r="O95" s="241">
        <f t="shared" si="68"/>
        <v>46328.556521739134</v>
      </c>
      <c r="P95" s="241">
        <f t="shared" si="68"/>
        <v>575762.02552173915</v>
      </c>
      <c r="Q95" s="242">
        <f t="shared" si="68"/>
        <v>0</v>
      </c>
      <c r="R95" s="242">
        <f t="shared" si="68"/>
        <v>0</v>
      </c>
      <c r="S95" s="241">
        <f t="shared" si="68"/>
        <v>1131066.7795017392</v>
      </c>
      <c r="T95" s="241">
        <f t="shared" si="68"/>
        <v>46328.556521739134</v>
      </c>
      <c r="U95" s="241">
        <f t="shared" si="68"/>
        <v>46328.556521739134</v>
      </c>
      <c r="V95" s="241">
        <f t="shared" si="68"/>
        <v>46328.556521739134</v>
      </c>
      <c r="W95" s="241">
        <f t="shared" si="68"/>
        <v>46328.556521739134</v>
      </c>
      <c r="X95" s="242">
        <f t="shared" si="68"/>
        <v>0</v>
      </c>
      <c r="Y95" s="242">
        <f t="shared" si="68"/>
        <v>0</v>
      </c>
      <c r="Z95" s="241">
        <f t="shared" si="68"/>
        <v>46328.556521739134</v>
      </c>
      <c r="AA95" s="241">
        <f t="shared" si="68"/>
        <v>46328.556521739134</v>
      </c>
      <c r="AB95" s="241">
        <f t="shared" si="68"/>
        <v>46328.556521739134</v>
      </c>
      <c r="AC95" s="241">
        <f t="shared" si="68"/>
        <v>3250883.8603517395</v>
      </c>
      <c r="AD95" s="241">
        <f t="shared" si="68"/>
        <v>46328.556521739134</v>
      </c>
      <c r="AE95" s="242">
        <f t="shared" si="68"/>
        <v>0</v>
      </c>
      <c r="AF95" s="242">
        <f t="shared" si="68"/>
        <v>0</v>
      </c>
      <c r="AG95" s="241">
        <f t="shared" si="68"/>
        <v>46328.556521739134</v>
      </c>
      <c r="AH95" s="241">
        <f t="shared" si="68"/>
        <v>46328.556521739134</v>
      </c>
      <c r="AI95" s="241">
        <f t="shared" si="68"/>
        <v>749814.03652173909</v>
      </c>
      <c r="AJ95" s="249">
        <f t="shared" si="54"/>
        <v>6587769.2758100014</v>
      </c>
      <c r="AK95" s="244">
        <f t="shared" si="55"/>
        <v>11368856.242799999</v>
      </c>
    </row>
    <row r="96" spans="1:37" s="259" customFormat="1" ht="20.100000000000001" customHeight="1" outlineLevel="1" x14ac:dyDescent="0.3">
      <c r="A96" s="256"/>
      <c r="B96" s="257"/>
      <c r="C96" s="258" t="s">
        <v>859</v>
      </c>
      <c r="D96" s="253">
        <v>11368856.242799999</v>
      </c>
      <c r="E96" s="247"/>
      <c r="F96" s="247"/>
      <c r="G96" s="247"/>
      <c r="H96" s="247"/>
      <c r="I96" s="247"/>
      <c r="J96" s="248"/>
      <c r="K96" s="248"/>
      <c r="L96" s="247"/>
      <c r="M96" s="247"/>
      <c r="N96" s="247"/>
      <c r="O96" s="247"/>
      <c r="P96" s="247"/>
      <c r="Q96" s="248"/>
      <c r="R96" s="248"/>
      <c r="S96" s="247"/>
      <c r="T96" s="247"/>
      <c r="U96" s="247"/>
      <c r="V96" s="247"/>
      <c r="W96" s="247"/>
      <c r="X96" s="248"/>
      <c r="Y96" s="248"/>
      <c r="Z96" s="247"/>
      <c r="AA96" s="247"/>
      <c r="AB96" s="247"/>
      <c r="AC96" s="247"/>
      <c r="AD96" s="247"/>
      <c r="AE96" s="248"/>
      <c r="AF96" s="248"/>
      <c r="AG96" s="247"/>
      <c r="AH96" s="247"/>
      <c r="AI96" s="247"/>
      <c r="AJ96" s="249">
        <f t="shared" si="54"/>
        <v>0</v>
      </c>
      <c r="AK96" s="254">
        <f t="shared" si="55"/>
        <v>11368856.242799999</v>
      </c>
    </row>
    <row r="97" spans="1:37" s="251" customFormat="1" ht="20.100000000000001" customHeight="1" outlineLevel="1" x14ac:dyDescent="0.3">
      <c r="A97" s="260"/>
      <c r="B97" s="252"/>
      <c r="C97" s="246" t="s">
        <v>263</v>
      </c>
      <c r="D97" s="253">
        <v>5508174.8758100001</v>
      </c>
      <c r="E97" s="247"/>
      <c r="F97" s="247"/>
      <c r="G97" s="247"/>
      <c r="H97" s="247"/>
      <c r="I97" s="247"/>
      <c r="J97" s="248"/>
      <c r="K97" s="248"/>
      <c r="L97" s="247"/>
      <c r="M97" s="247"/>
      <c r="N97" s="247"/>
      <c r="O97" s="247"/>
      <c r="P97" s="247">
        <v>529433.46900000004</v>
      </c>
      <c r="Q97" s="248"/>
      <c r="R97" s="248"/>
      <c r="S97" s="247">
        <v>1084738.2229800001</v>
      </c>
      <c r="T97" s="247"/>
      <c r="U97" s="247"/>
      <c r="V97" s="247"/>
      <c r="W97" s="247"/>
      <c r="X97" s="248"/>
      <c r="Y97" s="248"/>
      <c r="Z97" s="247"/>
      <c r="AA97" s="247"/>
      <c r="AB97" s="247"/>
      <c r="AC97" s="247">
        <v>3190517.70383</v>
      </c>
      <c r="AD97" s="247"/>
      <c r="AE97" s="248"/>
      <c r="AF97" s="248"/>
      <c r="AG97" s="247"/>
      <c r="AH97" s="247"/>
      <c r="AI97" s="247">
        <v>703485.48</v>
      </c>
      <c r="AJ97" s="249">
        <f t="shared" si="54"/>
        <v>5508174.875810001</v>
      </c>
      <c r="AK97" s="254">
        <f t="shared" si="55"/>
        <v>0</v>
      </c>
    </row>
    <row r="98" spans="1:37" s="251" customFormat="1" ht="20.100000000000001" customHeight="1" outlineLevel="1" x14ac:dyDescent="0.3">
      <c r="A98" s="260"/>
      <c r="B98" s="252"/>
      <c r="C98" s="246" t="s">
        <v>131</v>
      </c>
      <c r="D98" s="253">
        <v>1065556.8</v>
      </c>
      <c r="E98" s="247">
        <v>46328.556521739134</v>
      </c>
      <c r="F98" s="247">
        <v>46328.556521739134</v>
      </c>
      <c r="G98" s="247">
        <v>46328.556521739134</v>
      </c>
      <c r="H98" s="247">
        <v>46328.556521739134</v>
      </c>
      <c r="I98" s="247">
        <v>46328.556521739134</v>
      </c>
      <c r="J98" s="248"/>
      <c r="K98" s="248"/>
      <c r="L98" s="247">
        <v>46328.556521739134</v>
      </c>
      <c r="M98" s="247">
        <v>46328.556521739134</v>
      </c>
      <c r="N98" s="247">
        <v>46328.556521739134</v>
      </c>
      <c r="O98" s="247">
        <v>46328.556521739134</v>
      </c>
      <c r="P98" s="247">
        <v>46328.556521739134</v>
      </c>
      <c r="Q98" s="248"/>
      <c r="R98" s="248"/>
      <c r="S98" s="247">
        <v>46328.556521739134</v>
      </c>
      <c r="T98" s="247">
        <v>46328.556521739134</v>
      </c>
      <c r="U98" s="247">
        <v>46328.556521739134</v>
      </c>
      <c r="V98" s="247">
        <v>46328.556521739134</v>
      </c>
      <c r="W98" s="247">
        <v>46328.556521739134</v>
      </c>
      <c r="X98" s="248"/>
      <c r="Y98" s="248"/>
      <c r="Z98" s="247">
        <v>46328.556521739134</v>
      </c>
      <c r="AA98" s="247">
        <v>46328.556521739134</v>
      </c>
      <c r="AB98" s="247">
        <v>46328.556521739134</v>
      </c>
      <c r="AC98" s="247">
        <v>46328.556521739134</v>
      </c>
      <c r="AD98" s="247">
        <v>46328.556521739134</v>
      </c>
      <c r="AE98" s="248"/>
      <c r="AF98" s="248"/>
      <c r="AG98" s="247">
        <v>46328.556521739134</v>
      </c>
      <c r="AH98" s="247">
        <v>46328.556521739134</v>
      </c>
      <c r="AI98" s="247">
        <v>46328.556521739134</v>
      </c>
      <c r="AJ98" s="249">
        <f t="shared" si="54"/>
        <v>1065556.7999999998</v>
      </c>
      <c r="AK98" s="254">
        <f t="shared" si="55"/>
        <v>0</v>
      </c>
    </row>
    <row r="99" spans="1:37" s="251" customFormat="1" ht="20.100000000000001" customHeight="1" outlineLevel="1" x14ac:dyDescent="0.3">
      <c r="A99" s="260"/>
      <c r="B99" s="252"/>
      <c r="C99" s="246" t="s">
        <v>328</v>
      </c>
      <c r="D99" s="253">
        <v>14037.6</v>
      </c>
      <c r="E99" s="247"/>
      <c r="F99" s="247"/>
      <c r="G99" s="247"/>
      <c r="H99" s="247"/>
      <c r="I99" s="247"/>
      <c r="J99" s="248"/>
      <c r="K99" s="248"/>
      <c r="L99" s="247"/>
      <c r="M99" s="247"/>
      <c r="N99" s="247"/>
      <c r="O99" s="247"/>
      <c r="P99" s="247"/>
      <c r="Q99" s="248"/>
      <c r="R99" s="248"/>
      <c r="S99" s="247"/>
      <c r="T99" s="247"/>
      <c r="U99" s="247"/>
      <c r="V99" s="247"/>
      <c r="W99" s="247"/>
      <c r="X99" s="248"/>
      <c r="Y99" s="248"/>
      <c r="Z99" s="247"/>
      <c r="AA99" s="247"/>
      <c r="AB99" s="247"/>
      <c r="AC99" s="247">
        <v>14037.6</v>
      </c>
      <c r="AD99" s="247"/>
      <c r="AE99" s="248"/>
      <c r="AF99" s="248"/>
      <c r="AG99" s="247"/>
      <c r="AH99" s="247"/>
      <c r="AI99" s="247"/>
      <c r="AJ99" s="249">
        <f t="shared" si="54"/>
        <v>14037.6</v>
      </c>
      <c r="AK99" s="254">
        <f t="shared" si="55"/>
        <v>0</v>
      </c>
    </row>
    <row r="100" spans="1:37" s="238" customFormat="1" ht="20.100000000000001" customHeight="1" x14ac:dyDescent="0.3">
      <c r="A100" s="261"/>
      <c r="B100" s="245">
        <v>2</v>
      </c>
      <c r="C100" s="246" t="s">
        <v>860</v>
      </c>
      <c r="D100" s="247">
        <f t="shared" ref="D100" si="69">SUM(D101:D106)</f>
        <v>199832.69550800003</v>
      </c>
      <c r="E100" s="247">
        <f t="shared" ref="E100" si="70">SUM(E101:E106)</f>
        <v>0</v>
      </c>
      <c r="F100" s="247">
        <f t="shared" ref="F100:AI100" si="71">SUM(F101:F106)</f>
        <v>0</v>
      </c>
      <c r="G100" s="247">
        <f t="shared" si="71"/>
        <v>0</v>
      </c>
      <c r="H100" s="247">
        <f t="shared" si="71"/>
        <v>0</v>
      </c>
      <c r="I100" s="247">
        <f t="shared" si="71"/>
        <v>0</v>
      </c>
      <c r="J100" s="248">
        <f t="shared" si="71"/>
        <v>0</v>
      </c>
      <c r="K100" s="248">
        <f t="shared" si="71"/>
        <v>0</v>
      </c>
      <c r="L100" s="247">
        <f t="shared" si="71"/>
        <v>0</v>
      </c>
      <c r="M100" s="247">
        <f t="shared" si="71"/>
        <v>0</v>
      </c>
      <c r="N100" s="247">
        <f t="shared" si="71"/>
        <v>199832.69550800003</v>
      </c>
      <c r="O100" s="247">
        <f t="shared" si="71"/>
        <v>0</v>
      </c>
      <c r="P100" s="247">
        <f t="shared" si="71"/>
        <v>0</v>
      </c>
      <c r="Q100" s="248">
        <f t="shared" si="71"/>
        <v>0</v>
      </c>
      <c r="R100" s="248">
        <f t="shared" si="71"/>
        <v>0</v>
      </c>
      <c r="S100" s="247">
        <f t="shared" si="71"/>
        <v>0</v>
      </c>
      <c r="T100" s="247">
        <f t="shared" si="71"/>
        <v>0</v>
      </c>
      <c r="U100" s="247">
        <f t="shared" si="71"/>
        <v>0</v>
      </c>
      <c r="V100" s="247">
        <f t="shared" si="71"/>
        <v>0</v>
      </c>
      <c r="W100" s="247">
        <f t="shared" si="71"/>
        <v>0</v>
      </c>
      <c r="X100" s="248">
        <f t="shared" si="71"/>
        <v>0</v>
      </c>
      <c r="Y100" s="248">
        <f t="shared" si="71"/>
        <v>0</v>
      </c>
      <c r="Z100" s="247">
        <f t="shared" si="71"/>
        <v>0</v>
      </c>
      <c r="AA100" s="247">
        <f t="shared" si="71"/>
        <v>0</v>
      </c>
      <c r="AB100" s="247">
        <f t="shared" si="71"/>
        <v>0</v>
      </c>
      <c r="AC100" s="247">
        <f t="shared" si="71"/>
        <v>0</v>
      </c>
      <c r="AD100" s="247">
        <f t="shared" si="71"/>
        <v>0</v>
      </c>
      <c r="AE100" s="248">
        <f t="shared" si="71"/>
        <v>0</v>
      </c>
      <c r="AF100" s="248">
        <f t="shared" si="71"/>
        <v>0</v>
      </c>
      <c r="AG100" s="247">
        <f t="shared" si="71"/>
        <v>0</v>
      </c>
      <c r="AH100" s="247">
        <f t="shared" si="71"/>
        <v>0</v>
      </c>
      <c r="AI100" s="247">
        <f t="shared" si="71"/>
        <v>0</v>
      </c>
      <c r="AJ100" s="249">
        <f t="shared" si="54"/>
        <v>199832.69550800003</v>
      </c>
      <c r="AK100" s="250">
        <f t="shared" si="55"/>
        <v>0</v>
      </c>
    </row>
    <row r="101" spans="1:37" s="251" customFormat="1" ht="20.100000000000001" customHeight="1" outlineLevel="1" x14ac:dyDescent="0.3">
      <c r="A101" s="260"/>
      <c r="B101" s="252"/>
      <c r="C101" s="246" t="s">
        <v>458</v>
      </c>
      <c r="D101" s="253">
        <v>197376.24750800003</v>
      </c>
      <c r="E101" s="247"/>
      <c r="F101" s="247"/>
      <c r="G101" s="247"/>
      <c r="H101" s="247"/>
      <c r="I101" s="247"/>
      <c r="J101" s="248"/>
      <c r="K101" s="248"/>
      <c r="L101" s="247"/>
      <c r="M101" s="247"/>
      <c r="N101" s="247">
        <v>197376.24750800003</v>
      </c>
      <c r="O101" s="247"/>
      <c r="P101" s="247"/>
      <c r="Q101" s="248"/>
      <c r="R101" s="248"/>
      <c r="S101" s="247"/>
      <c r="T101" s="247"/>
      <c r="U101" s="247"/>
      <c r="V101" s="247"/>
      <c r="W101" s="247"/>
      <c r="X101" s="248"/>
      <c r="Y101" s="248"/>
      <c r="Z101" s="247"/>
      <c r="AA101" s="247"/>
      <c r="AB101" s="247"/>
      <c r="AC101" s="247"/>
      <c r="AD101" s="247"/>
      <c r="AE101" s="248"/>
      <c r="AF101" s="248"/>
      <c r="AG101" s="247"/>
      <c r="AH101" s="247"/>
      <c r="AI101" s="247"/>
      <c r="AJ101" s="249">
        <f t="shared" si="54"/>
        <v>197376.24750800003</v>
      </c>
      <c r="AK101" s="254">
        <f t="shared" si="55"/>
        <v>0</v>
      </c>
    </row>
    <row r="102" spans="1:37" s="251" customFormat="1" ht="20.100000000000001" customHeight="1" outlineLevel="1" x14ac:dyDescent="0.3">
      <c r="A102" s="260"/>
      <c r="B102" s="252"/>
      <c r="C102" s="246" t="s">
        <v>459</v>
      </c>
      <c r="D102" s="253"/>
      <c r="E102" s="247"/>
      <c r="F102" s="247"/>
      <c r="G102" s="247"/>
      <c r="H102" s="247"/>
      <c r="I102" s="247"/>
      <c r="J102" s="248"/>
      <c r="K102" s="248"/>
      <c r="L102" s="247"/>
      <c r="M102" s="247"/>
      <c r="N102" s="247"/>
      <c r="O102" s="247"/>
      <c r="P102" s="247"/>
      <c r="Q102" s="248"/>
      <c r="R102" s="248"/>
      <c r="S102" s="247"/>
      <c r="T102" s="247"/>
      <c r="U102" s="247"/>
      <c r="V102" s="247"/>
      <c r="W102" s="247"/>
      <c r="X102" s="248"/>
      <c r="Y102" s="248"/>
      <c r="Z102" s="247"/>
      <c r="AA102" s="247"/>
      <c r="AB102" s="247"/>
      <c r="AC102" s="247"/>
      <c r="AD102" s="247"/>
      <c r="AE102" s="248"/>
      <c r="AF102" s="248"/>
      <c r="AG102" s="247"/>
      <c r="AH102" s="247"/>
      <c r="AI102" s="247"/>
      <c r="AJ102" s="249">
        <f t="shared" si="54"/>
        <v>0</v>
      </c>
      <c r="AK102" s="254">
        <f t="shared" si="55"/>
        <v>0</v>
      </c>
    </row>
    <row r="103" spans="1:37" s="251" customFormat="1" ht="20.100000000000001" customHeight="1" outlineLevel="1" x14ac:dyDescent="0.3">
      <c r="A103" s="260"/>
      <c r="B103" s="252"/>
      <c r="C103" s="246" t="s">
        <v>460</v>
      </c>
      <c r="D103" s="253"/>
      <c r="E103" s="247"/>
      <c r="F103" s="247"/>
      <c r="G103" s="247"/>
      <c r="H103" s="247"/>
      <c r="I103" s="247"/>
      <c r="J103" s="248"/>
      <c r="K103" s="248"/>
      <c r="L103" s="247"/>
      <c r="M103" s="247"/>
      <c r="N103" s="247"/>
      <c r="O103" s="247"/>
      <c r="P103" s="247"/>
      <c r="Q103" s="248"/>
      <c r="R103" s="248"/>
      <c r="S103" s="247"/>
      <c r="T103" s="247"/>
      <c r="U103" s="247"/>
      <c r="V103" s="247"/>
      <c r="W103" s="247"/>
      <c r="X103" s="248"/>
      <c r="Y103" s="248"/>
      <c r="Z103" s="247"/>
      <c r="AA103" s="247"/>
      <c r="AB103" s="247"/>
      <c r="AC103" s="247"/>
      <c r="AD103" s="247"/>
      <c r="AE103" s="248"/>
      <c r="AF103" s="248"/>
      <c r="AG103" s="247"/>
      <c r="AH103" s="247"/>
      <c r="AI103" s="247"/>
      <c r="AJ103" s="249">
        <f t="shared" si="54"/>
        <v>0</v>
      </c>
      <c r="AK103" s="254">
        <f t="shared" si="55"/>
        <v>0</v>
      </c>
    </row>
    <row r="104" spans="1:37" s="251" customFormat="1" ht="20.100000000000001" customHeight="1" outlineLevel="1" x14ac:dyDescent="0.3">
      <c r="A104" s="260"/>
      <c r="B104" s="252"/>
      <c r="C104" s="246" t="s">
        <v>121</v>
      </c>
      <c r="D104" s="253">
        <v>2456.4480000000003</v>
      </c>
      <c r="E104" s="247"/>
      <c r="F104" s="247"/>
      <c r="G104" s="247"/>
      <c r="H104" s="247"/>
      <c r="I104" s="247"/>
      <c r="J104" s="248"/>
      <c r="K104" s="248"/>
      <c r="L104" s="247"/>
      <c r="M104" s="247"/>
      <c r="N104" s="247">
        <v>2456.4480000000003</v>
      </c>
      <c r="O104" s="247"/>
      <c r="P104" s="247"/>
      <c r="Q104" s="248"/>
      <c r="R104" s="248"/>
      <c r="S104" s="247"/>
      <c r="T104" s="247"/>
      <c r="U104" s="247"/>
      <c r="V104" s="247"/>
      <c r="W104" s="247"/>
      <c r="X104" s="248"/>
      <c r="Y104" s="248"/>
      <c r="Z104" s="247"/>
      <c r="AA104" s="247"/>
      <c r="AB104" s="247"/>
      <c r="AC104" s="247"/>
      <c r="AD104" s="247"/>
      <c r="AE104" s="248"/>
      <c r="AF104" s="248"/>
      <c r="AG104" s="247"/>
      <c r="AH104" s="247"/>
      <c r="AI104" s="247"/>
      <c r="AJ104" s="249">
        <f t="shared" si="54"/>
        <v>2456.4480000000003</v>
      </c>
      <c r="AK104" s="254">
        <f t="shared" si="55"/>
        <v>0</v>
      </c>
    </row>
    <row r="105" spans="1:37" s="251" customFormat="1" ht="20.100000000000001" customHeight="1" outlineLevel="1" x14ac:dyDescent="0.3">
      <c r="A105" s="260"/>
      <c r="B105" s="252"/>
      <c r="C105" s="246" t="s">
        <v>461</v>
      </c>
      <c r="D105" s="253"/>
      <c r="E105" s="247"/>
      <c r="F105" s="247"/>
      <c r="G105" s="247"/>
      <c r="H105" s="247"/>
      <c r="I105" s="247"/>
      <c r="J105" s="248"/>
      <c r="K105" s="248"/>
      <c r="L105" s="247"/>
      <c r="M105" s="247"/>
      <c r="N105" s="247"/>
      <c r="O105" s="247"/>
      <c r="P105" s="247"/>
      <c r="Q105" s="248"/>
      <c r="R105" s="248"/>
      <c r="S105" s="247"/>
      <c r="T105" s="247"/>
      <c r="U105" s="247"/>
      <c r="V105" s="247"/>
      <c r="W105" s="247"/>
      <c r="X105" s="248"/>
      <c r="Y105" s="248"/>
      <c r="Z105" s="247"/>
      <c r="AA105" s="247"/>
      <c r="AB105" s="247"/>
      <c r="AC105" s="247"/>
      <c r="AD105" s="247"/>
      <c r="AE105" s="248"/>
      <c r="AF105" s="248"/>
      <c r="AG105" s="247"/>
      <c r="AH105" s="247"/>
      <c r="AI105" s="247"/>
      <c r="AJ105" s="249">
        <f t="shared" si="54"/>
        <v>0</v>
      </c>
      <c r="AK105" s="254">
        <f t="shared" si="55"/>
        <v>0</v>
      </c>
    </row>
    <row r="106" spans="1:37" s="251" customFormat="1" ht="20.100000000000001" customHeight="1" outlineLevel="1" x14ac:dyDescent="0.3">
      <c r="A106" s="260"/>
      <c r="B106" s="252"/>
      <c r="C106" s="246" t="s">
        <v>466</v>
      </c>
      <c r="D106" s="253"/>
      <c r="E106" s="247"/>
      <c r="F106" s="247"/>
      <c r="G106" s="247"/>
      <c r="H106" s="247"/>
      <c r="I106" s="247"/>
      <c r="J106" s="248"/>
      <c r="K106" s="248"/>
      <c r="L106" s="247"/>
      <c r="M106" s="247"/>
      <c r="N106" s="247"/>
      <c r="O106" s="247"/>
      <c r="P106" s="247"/>
      <c r="Q106" s="248"/>
      <c r="R106" s="248"/>
      <c r="S106" s="247"/>
      <c r="T106" s="247"/>
      <c r="U106" s="247"/>
      <c r="V106" s="247"/>
      <c r="W106" s="247"/>
      <c r="X106" s="248"/>
      <c r="Y106" s="248"/>
      <c r="Z106" s="247"/>
      <c r="AA106" s="247"/>
      <c r="AB106" s="247"/>
      <c r="AC106" s="247"/>
      <c r="AD106" s="247"/>
      <c r="AE106" s="248"/>
      <c r="AF106" s="248"/>
      <c r="AG106" s="247"/>
      <c r="AH106" s="247"/>
      <c r="AI106" s="247"/>
      <c r="AJ106" s="249">
        <f t="shared" ref="AJ106:AJ137" si="72">SUM(E106:AI106)</f>
        <v>0</v>
      </c>
      <c r="AK106" s="254">
        <f t="shared" si="55"/>
        <v>0</v>
      </c>
    </row>
    <row r="107" spans="1:37" s="238" customFormat="1" ht="20.100000000000001" customHeight="1" x14ac:dyDescent="0.3">
      <c r="A107" s="261"/>
      <c r="B107" s="245">
        <v>3</v>
      </c>
      <c r="C107" s="262" t="s">
        <v>861</v>
      </c>
      <c r="D107" s="247">
        <f t="shared" ref="D107:E107" si="73">SUM(D108:D111)</f>
        <v>16359.793329600001</v>
      </c>
      <c r="E107" s="247">
        <f t="shared" si="73"/>
        <v>0</v>
      </c>
      <c r="F107" s="247">
        <f t="shared" ref="F107:AI107" si="74">SUM(F108:F111)</f>
        <v>0</v>
      </c>
      <c r="G107" s="247">
        <f t="shared" si="74"/>
        <v>0</v>
      </c>
      <c r="H107" s="247">
        <f t="shared" si="74"/>
        <v>0</v>
      </c>
      <c r="I107" s="247">
        <f t="shared" si="74"/>
        <v>0</v>
      </c>
      <c r="J107" s="248">
        <f t="shared" si="74"/>
        <v>0</v>
      </c>
      <c r="K107" s="248">
        <f t="shared" si="74"/>
        <v>0</v>
      </c>
      <c r="L107" s="247">
        <f t="shared" si="74"/>
        <v>0</v>
      </c>
      <c r="M107" s="247">
        <f t="shared" si="74"/>
        <v>0</v>
      </c>
      <c r="N107" s="247">
        <f t="shared" si="74"/>
        <v>16359.793329600001</v>
      </c>
      <c r="O107" s="247">
        <f t="shared" si="74"/>
        <v>0</v>
      </c>
      <c r="P107" s="247">
        <f t="shared" si="74"/>
        <v>0</v>
      </c>
      <c r="Q107" s="248">
        <f t="shared" si="74"/>
        <v>0</v>
      </c>
      <c r="R107" s="248">
        <f t="shared" si="74"/>
        <v>0</v>
      </c>
      <c r="S107" s="247">
        <f t="shared" si="74"/>
        <v>0</v>
      </c>
      <c r="T107" s="247">
        <f t="shared" si="74"/>
        <v>0</v>
      </c>
      <c r="U107" s="247">
        <f t="shared" si="74"/>
        <v>0</v>
      </c>
      <c r="V107" s="247">
        <f t="shared" si="74"/>
        <v>0</v>
      </c>
      <c r="W107" s="247">
        <f t="shared" si="74"/>
        <v>0</v>
      </c>
      <c r="X107" s="248">
        <f t="shared" si="74"/>
        <v>0</v>
      </c>
      <c r="Y107" s="248">
        <f t="shared" si="74"/>
        <v>0</v>
      </c>
      <c r="Z107" s="247">
        <f t="shared" si="74"/>
        <v>0</v>
      </c>
      <c r="AA107" s="247">
        <f t="shared" si="74"/>
        <v>0</v>
      </c>
      <c r="AB107" s="247">
        <f t="shared" si="74"/>
        <v>0</v>
      </c>
      <c r="AC107" s="247">
        <f t="shared" si="74"/>
        <v>0</v>
      </c>
      <c r="AD107" s="247">
        <f t="shared" si="74"/>
        <v>0</v>
      </c>
      <c r="AE107" s="248">
        <f t="shared" si="74"/>
        <v>0</v>
      </c>
      <c r="AF107" s="248">
        <f t="shared" si="74"/>
        <v>0</v>
      </c>
      <c r="AG107" s="247">
        <f t="shared" si="74"/>
        <v>0</v>
      </c>
      <c r="AH107" s="247">
        <f t="shared" si="74"/>
        <v>0</v>
      </c>
      <c r="AI107" s="247">
        <f t="shared" si="74"/>
        <v>0</v>
      </c>
      <c r="AJ107" s="249">
        <f t="shared" si="72"/>
        <v>16359.793329600001</v>
      </c>
      <c r="AK107" s="250">
        <f t="shared" si="55"/>
        <v>0</v>
      </c>
    </row>
    <row r="108" spans="1:37" s="251" customFormat="1" ht="20.100000000000001" customHeight="1" outlineLevel="1" x14ac:dyDescent="0.3">
      <c r="A108" s="260"/>
      <c r="B108" s="252"/>
      <c r="C108" s="246" t="s">
        <v>462</v>
      </c>
      <c r="D108" s="253">
        <v>16359.793329600001</v>
      </c>
      <c r="E108" s="247"/>
      <c r="F108" s="247"/>
      <c r="G108" s="247"/>
      <c r="H108" s="247"/>
      <c r="I108" s="247"/>
      <c r="J108" s="248"/>
      <c r="K108" s="248"/>
      <c r="L108" s="247"/>
      <c r="M108" s="247"/>
      <c r="N108" s="247">
        <v>16359.793329600001</v>
      </c>
      <c r="O108" s="247"/>
      <c r="P108" s="247"/>
      <c r="Q108" s="248"/>
      <c r="R108" s="248"/>
      <c r="S108" s="247"/>
      <c r="T108" s="247"/>
      <c r="U108" s="247"/>
      <c r="V108" s="247"/>
      <c r="W108" s="247"/>
      <c r="X108" s="248"/>
      <c r="Y108" s="248"/>
      <c r="Z108" s="247"/>
      <c r="AA108" s="247"/>
      <c r="AB108" s="247"/>
      <c r="AC108" s="247"/>
      <c r="AD108" s="247"/>
      <c r="AE108" s="248"/>
      <c r="AF108" s="248"/>
      <c r="AG108" s="247"/>
      <c r="AH108" s="247"/>
      <c r="AI108" s="247"/>
      <c r="AJ108" s="249">
        <f t="shared" si="72"/>
        <v>16359.793329600001</v>
      </c>
      <c r="AK108" s="254">
        <f t="shared" si="55"/>
        <v>0</v>
      </c>
    </row>
    <row r="109" spans="1:37" s="251" customFormat="1" ht="20.100000000000001" customHeight="1" outlineLevel="1" x14ac:dyDescent="0.3">
      <c r="A109" s="260"/>
      <c r="B109" s="252"/>
      <c r="C109" s="246" t="s">
        <v>463</v>
      </c>
      <c r="D109" s="253"/>
      <c r="E109" s="247"/>
      <c r="F109" s="247"/>
      <c r="G109" s="247"/>
      <c r="H109" s="247"/>
      <c r="I109" s="247"/>
      <c r="J109" s="248"/>
      <c r="K109" s="248"/>
      <c r="L109" s="247"/>
      <c r="M109" s="247"/>
      <c r="N109" s="247"/>
      <c r="O109" s="247"/>
      <c r="P109" s="247"/>
      <c r="Q109" s="248"/>
      <c r="R109" s="248"/>
      <c r="S109" s="247"/>
      <c r="T109" s="247"/>
      <c r="U109" s="247"/>
      <c r="V109" s="247"/>
      <c r="W109" s="247"/>
      <c r="X109" s="248"/>
      <c r="Y109" s="248"/>
      <c r="Z109" s="247"/>
      <c r="AA109" s="247"/>
      <c r="AB109" s="247"/>
      <c r="AC109" s="247"/>
      <c r="AD109" s="247"/>
      <c r="AE109" s="248"/>
      <c r="AF109" s="248"/>
      <c r="AG109" s="247"/>
      <c r="AH109" s="247"/>
      <c r="AI109" s="247"/>
      <c r="AJ109" s="249">
        <f t="shared" si="72"/>
        <v>0</v>
      </c>
      <c r="AK109" s="254">
        <f t="shared" si="55"/>
        <v>0</v>
      </c>
    </row>
    <row r="110" spans="1:37" s="251" customFormat="1" ht="20.100000000000001" customHeight="1" outlineLevel="1" x14ac:dyDescent="0.3">
      <c r="A110" s="260"/>
      <c r="B110" s="252"/>
      <c r="C110" s="246" t="s">
        <v>464</v>
      </c>
      <c r="D110" s="253"/>
      <c r="E110" s="247"/>
      <c r="F110" s="247"/>
      <c r="G110" s="247"/>
      <c r="H110" s="247"/>
      <c r="I110" s="247"/>
      <c r="J110" s="248"/>
      <c r="K110" s="248"/>
      <c r="L110" s="247"/>
      <c r="M110" s="247"/>
      <c r="N110" s="247"/>
      <c r="O110" s="247"/>
      <c r="P110" s="247"/>
      <c r="Q110" s="248"/>
      <c r="R110" s="248"/>
      <c r="S110" s="247"/>
      <c r="T110" s="247"/>
      <c r="U110" s="247"/>
      <c r="V110" s="247"/>
      <c r="W110" s="247"/>
      <c r="X110" s="248"/>
      <c r="Y110" s="248"/>
      <c r="Z110" s="247"/>
      <c r="AA110" s="247"/>
      <c r="AB110" s="247"/>
      <c r="AC110" s="247"/>
      <c r="AD110" s="247"/>
      <c r="AE110" s="248"/>
      <c r="AF110" s="248"/>
      <c r="AG110" s="247"/>
      <c r="AH110" s="247"/>
      <c r="AI110" s="247"/>
      <c r="AJ110" s="249">
        <f t="shared" si="72"/>
        <v>0</v>
      </c>
      <c r="AK110" s="254">
        <f t="shared" si="55"/>
        <v>0</v>
      </c>
    </row>
    <row r="111" spans="1:37" s="251" customFormat="1" ht="20.100000000000001" customHeight="1" outlineLevel="1" x14ac:dyDescent="0.3">
      <c r="A111" s="260"/>
      <c r="B111" s="252"/>
      <c r="C111" s="246" t="s">
        <v>465</v>
      </c>
      <c r="D111" s="253"/>
      <c r="E111" s="247"/>
      <c r="F111" s="247"/>
      <c r="G111" s="247"/>
      <c r="H111" s="247"/>
      <c r="I111" s="247"/>
      <c r="J111" s="248"/>
      <c r="K111" s="248"/>
      <c r="L111" s="247"/>
      <c r="M111" s="247"/>
      <c r="N111" s="247"/>
      <c r="O111" s="247"/>
      <c r="P111" s="247"/>
      <c r="Q111" s="248"/>
      <c r="R111" s="248"/>
      <c r="S111" s="247"/>
      <c r="T111" s="247"/>
      <c r="U111" s="247"/>
      <c r="V111" s="247"/>
      <c r="W111" s="247"/>
      <c r="X111" s="248"/>
      <c r="Y111" s="248"/>
      <c r="Z111" s="247"/>
      <c r="AA111" s="247"/>
      <c r="AB111" s="247"/>
      <c r="AC111" s="247"/>
      <c r="AD111" s="247"/>
      <c r="AE111" s="248"/>
      <c r="AF111" s="248"/>
      <c r="AG111" s="247"/>
      <c r="AH111" s="247"/>
      <c r="AI111" s="247"/>
      <c r="AJ111" s="249">
        <f t="shared" si="72"/>
        <v>0</v>
      </c>
      <c r="AK111" s="254">
        <f t="shared" si="55"/>
        <v>0</v>
      </c>
    </row>
    <row r="112" spans="1:37" s="238" customFormat="1" ht="20.100000000000001" customHeight="1" x14ac:dyDescent="0.3">
      <c r="A112" s="261"/>
      <c r="B112" s="245">
        <v>4</v>
      </c>
      <c r="C112" s="246" t="s">
        <v>54</v>
      </c>
      <c r="D112" s="253">
        <v>209003.24304000003</v>
      </c>
      <c r="E112" s="247"/>
      <c r="F112" s="247"/>
      <c r="G112" s="247"/>
      <c r="H112" s="247"/>
      <c r="I112" s="247"/>
      <c r="J112" s="248"/>
      <c r="K112" s="248"/>
      <c r="L112" s="247"/>
      <c r="M112" s="247"/>
      <c r="N112" s="247">
        <v>209003.24304000003</v>
      </c>
      <c r="O112" s="247"/>
      <c r="P112" s="247"/>
      <c r="Q112" s="248"/>
      <c r="R112" s="248"/>
      <c r="S112" s="247"/>
      <c r="T112" s="247"/>
      <c r="U112" s="247"/>
      <c r="V112" s="247"/>
      <c r="W112" s="247"/>
      <c r="X112" s="248"/>
      <c r="Y112" s="248"/>
      <c r="Z112" s="247"/>
      <c r="AA112" s="247"/>
      <c r="AB112" s="247"/>
      <c r="AC112" s="247"/>
      <c r="AD112" s="247"/>
      <c r="AE112" s="248"/>
      <c r="AF112" s="248"/>
      <c r="AG112" s="247"/>
      <c r="AH112" s="247"/>
      <c r="AI112" s="247"/>
      <c r="AJ112" s="249">
        <f t="shared" si="72"/>
        <v>209003.24304000003</v>
      </c>
      <c r="AK112" s="254">
        <f t="shared" si="55"/>
        <v>0</v>
      </c>
    </row>
    <row r="113" spans="1:37" s="238" customFormat="1" ht="20.100000000000001" customHeight="1" x14ac:dyDescent="0.3">
      <c r="A113" s="261"/>
      <c r="B113" s="245">
        <v>5</v>
      </c>
      <c r="C113" s="246" t="s">
        <v>862</v>
      </c>
      <c r="D113" s="247">
        <f t="shared" ref="D113:E113" si="75">+D114+D119+D124+D127+D133</f>
        <v>58467.585120000003</v>
      </c>
      <c r="E113" s="247">
        <f t="shared" si="75"/>
        <v>0</v>
      </c>
      <c r="F113" s="247">
        <f t="shared" ref="F113:AI113" si="76">+F114+F119+F124+F127+F133</f>
        <v>0</v>
      </c>
      <c r="G113" s="247">
        <f t="shared" si="76"/>
        <v>0</v>
      </c>
      <c r="H113" s="247">
        <f t="shared" si="76"/>
        <v>0</v>
      </c>
      <c r="I113" s="247">
        <f t="shared" si="76"/>
        <v>0</v>
      </c>
      <c r="J113" s="248">
        <f t="shared" si="76"/>
        <v>0</v>
      </c>
      <c r="K113" s="248">
        <f t="shared" si="76"/>
        <v>0</v>
      </c>
      <c r="L113" s="247">
        <f t="shared" si="76"/>
        <v>0</v>
      </c>
      <c r="M113" s="247">
        <f t="shared" si="76"/>
        <v>0</v>
      </c>
      <c r="N113" s="247">
        <f t="shared" si="76"/>
        <v>9267.5851199999997</v>
      </c>
      <c r="O113" s="247">
        <f t="shared" si="76"/>
        <v>0</v>
      </c>
      <c r="P113" s="247">
        <f t="shared" si="76"/>
        <v>0</v>
      </c>
      <c r="Q113" s="248">
        <f t="shared" si="76"/>
        <v>0</v>
      </c>
      <c r="R113" s="248">
        <f t="shared" si="76"/>
        <v>0</v>
      </c>
      <c r="S113" s="247">
        <f t="shared" si="76"/>
        <v>0</v>
      </c>
      <c r="T113" s="247">
        <f t="shared" si="76"/>
        <v>0</v>
      </c>
      <c r="U113" s="247">
        <f t="shared" si="76"/>
        <v>0</v>
      </c>
      <c r="V113" s="247">
        <f t="shared" si="76"/>
        <v>0</v>
      </c>
      <c r="W113" s="247">
        <f t="shared" si="76"/>
        <v>49200</v>
      </c>
      <c r="X113" s="248">
        <f t="shared" si="76"/>
        <v>0</v>
      </c>
      <c r="Y113" s="248">
        <f t="shared" si="76"/>
        <v>0</v>
      </c>
      <c r="Z113" s="247">
        <f t="shared" si="76"/>
        <v>0</v>
      </c>
      <c r="AA113" s="247">
        <f t="shared" si="76"/>
        <v>0</v>
      </c>
      <c r="AB113" s="247">
        <f t="shared" si="76"/>
        <v>0</v>
      </c>
      <c r="AC113" s="247">
        <f t="shared" si="76"/>
        <v>0</v>
      </c>
      <c r="AD113" s="247">
        <f t="shared" si="76"/>
        <v>0</v>
      </c>
      <c r="AE113" s="248">
        <f t="shared" si="76"/>
        <v>0</v>
      </c>
      <c r="AF113" s="248">
        <f t="shared" si="76"/>
        <v>0</v>
      </c>
      <c r="AG113" s="247">
        <f t="shared" si="76"/>
        <v>0</v>
      </c>
      <c r="AH113" s="247">
        <f t="shared" si="76"/>
        <v>0</v>
      </c>
      <c r="AI113" s="247">
        <f t="shared" si="76"/>
        <v>0</v>
      </c>
      <c r="AJ113" s="249">
        <f t="shared" si="72"/>
        <v>58467.585120000003</v>
      </c>
      <c r="AK113" s="250">
        <f t="shared" si="55"/>
        <v>0</v>
      </c>
    </row>
    <row r="114" spans="1:37" s="251" customFormat="1" ht="20.100000000000001" customHeight="1" outlineLevel="1" x14ac:dyDescent="0.3">
      <c r="A114" s="260"/>
      <c r="B114" s="252"/>
      <c r="C114" s="246" t="s">
        <v>863</v>
      </c>
      <c r="D114" s="247">
        <f t="shared" ref="D114:E114" si="77">SUM(D115:D118)</f>
        <v>9267.5851199999997</v>
      </c>
      <c r="E114" s="247">
        <f t="shared" si="77"/>
        <v>0</v>
      </c>
      <c r="F114" s="247">
        <f t="shared" ref="F114:AI114" si="78">SUM(F115:F118)</f>
        <v>0</v>
      </c>
      <c r="G114" s="247">
        <f t="shared" si="78"/>
        <v>0</v>
      </c>
      <c r="H114" s="247">
        <f t="shared" si="78"/>
        <v>0</v>
      </c>
      <c r="I114" s="247">
        <f t="shared" si="78"/>
        <v>0</v>
      </c>
      <c r="J114" s="248">
        <f t="shared" si="78"/>
        <v>0</v>
      </c>
      <c r="K114" s="248">
        <f t="shared" si="78"/>
        <v>0</v>
      </c>
      <c r="L114" s="247">
        <f t="shared" si="78"/>
        <v>0</v>
      </c>
      <c r="M114" s="247">
        <f t="shared" si="78"/>
        <v>0</v>
      </c>
      <c r="N114" s="247">
        <f t="shared" si="78"/>
        <v>9267.5851199999997</v>
      </c>
      <c r="O114" s="247">
        <f t="shared" si="78"/>
        <v>0</v>
      </c>
      <c r="P114" s="247">
        <f t="shared" si="78"/>
        <v>0</v>
      </c>
      <c r="Q114" s="248">
        <f t="shared" si="78"/>
        <v>0</v>
      </c>
      <c r="R114" s="248">
        <f t="shared" si="78"/>
        <v>0</v>
      </c>
      <c r="S114" s="247">
        <f t="shared" si="78"/>
        <v>0</v>
      </c>
      <c r="T114" s="247">
        <f t="shared" si="78"/>
        <v>0</v>
      </c>
      <c r="U114" s="247">
        <f t="shared" si="78"/>
        <v>0</v>
      </c>
      <c r="V114" s="247">
        <f t="shared" si="78"/>
        <v>0</v>
      </c>
      <c r="W114" s="247">
        <f t="shared" si="78"/>
        <v>0</v>
      </c>
      <c r="X114" s="248">
        <f t="shared" si="78"/>
        <v>0</v>
      </c>
      <c r="Y114" s="248">
        <f t="shared" si="78"/>
        <v>0</v>
      </c>
      <c r="Z114" s="247">
        <f t="shared" si="78"/>
        <v>0</v>
      </c>
      <c r="AA114" s="247">
        <f t="shared" si="78"/>
        <v>0</v>
      </c>
      <c r="AB114" s="247">
        <f t="shared" si="78"/>
        <v>0</v>
      </c>
      <c r="AC114" s="247">
        <f t="shared" si="78"/>
        <v>0</v>
      </c>
      <c r="AD114" s="247">
        <f t="shared" si="78"/>
        <v>0</v>
      </c>
      <c r="AE114" s="248">
        <f t="shared" si="78"/>
        <v>0</v>
      </c>
      <c r="AF114" s="248">
        <f t="shared" si="78"/>
        <v>0</v>
      </c>
      <c r="AG114" s="247">
        <f t="shared" si="78"/>
        <v>0</v>
      </c>
      <c r="AH114" s="247">
        <f t="shared" si="78"/>
        <v>0</v>
      </c>
      <c r="AI114" s="247">
        <f t="shared" si="78"/>
        <v>0</v>
      </c>
      <c r="AJ114" s="249">
        <f t="shared" si="72"/>
        <v>9267.5851199999997</v>
      </c>
      <c r="AK114" s="254">
        <f t="shared" si="55"/>
        <v>0</v>
      </c>
    </row>
    <row r="115" spans="1:37" s="251" customFormat="1" ht="20.100000000000001" customHeight="1" outlineLevel="2" x14ac:dyDescent="0.3">
      <c r="A115" s="260"/>
      <c r="B115" s="252"/>
      <c r="C115" s="263" t="s">
        <v>422</v>
      </c>
      <c r="D115" s="253">
        <v>9267.5851199999997</v>
      </c>
      <c r="E115" s="247"/>
      <c r="F115" s="247"/>
      <c r="G115" s="247"/>
      <c r="H115" s="247"/>
      <c r="I115" s="247"/>
      <c r="J115" s="248"/>
      <c r="K115" s="248"/>
      <c r="L115" s="247"/>
      <c r="M115" s="247"/>
      <c r="N115" s="247">
        <v>9267.5851199999997</v>
      </c>
      <c r="O115" s="247"/>
      <c r="P115" s="247"/>
      <c r="Q115" s="248"/>
      <c r="R115" s="248"/>
      <c r="S115" s="247"/>
      <c r="T115" s="247"/>
      <c r="U115" s="247"/>
      <c r="V115" s="247"/>
      <c r="W115" s="247"/>
      <c r="X115" s="248"/>
      <c r="Y115" s="248"/>
      <c r="Z115" s="247"/>
      <c r="AA115" s="247"/>
      <c r="AB115" s="247"/>
      <c r="AC115" s="247"/>
      <c r="AD115" s="247"/>
      <c r="AE115" s="248"/>
      <c r="AF115" s="248"/>
      <c r="AG115" s="247"/>
      <c r="AH115" s="247"/>
      <c r="AI115" s="247"/>
      <c r="AJ115" s="249">
        <f t="shared" si="72"/>
        <v>9267.5851199999997</v>
      </c>
      <c r="AK115" s="254">
        <f t="shared" si="55"/>
        <v>0</v>
      </c>
    </row>
    <row r="116" spans="1:37" s="251" customFormat="1" ht="20.100000000000001" customHeight="1" outlineLevel="2" x14ac:dyDescent="0.3">
      <c r="A116" s="260"/>
      <c r="B116" s="252"/>
      <c r="C116" s="263" t="s">
        <v>622</v>
      </c>
      <c r="D116" s="253"/>
      <c r="E116" s="247"/>
      <c r="F116" s="247"/>
      <c r="G116" s="247"/>
      <c r="H116" s="247"/>
      <c r="I116" s="247"/>
      <c r="J116" s="248"/>
      <c r="K116" s="248"/>
      <c r="L116" s="247"/>
      <c r="M116" s="247"/>
      <c r="N116" s="247"/>
      <c r="O116" s="247"/>
      <c r="P116" s="247"/>
      <c r="Q116" s="248"/>
      <c r="R116" s="248"/>
      <c r="S116" s="247"/>
      <c r="T116" s="247"/>
      <c r="U116" s="247"/>
      <c r="V116" s="247"/>
      <c r="W116" s="247"/>
      <c r="X116" s="248"/>
      <c r="Y116" s="248"/>
      <c r="Z116" s="247"/>
      <c r="AA116" s="247"/>
      <c r="AB116" s="247"/>
      <c r="AC116" s="247"/>
      <c r="AD116" s="247"/>
      <c r="AE116" s="248"/>
      <c r="AF116" s="248"/>
      <c r="AG116" s="247"/>
      <c r="AH116" s="247"/>
      <c r="AI116" s="247"/>
      <c r="AJ116" s="249">
        <f t="shared" si="72"/>
        <v>0</v>
      </c>
      <c r="AK116" s="254">
        <f t="shared" si="55"/>
        <v>0</v>
      </c>
    </row>
    <row r="117" spans="1:37" s="251" customFormat="1" ht="20.100000000000001" customHeight="1" outlineLevel="2" x14ac:dyDescent="0.3">
      <c r="A117" s="260"/>
      <c r="B117" s="252"/>
      <c r="C117" s="263" t="s">
        <v>864</v>
      </c>
      <c r="D117" s="253"/>
      <c r="E117" s="247"/>
      <c r="F117" s="247"/>
      <c r="G117" s="247"/>
      <c r="H117" s="247"/>
      <c r="I117" s="247"/>
      <c r="J117" s="248"/>
      <c r="K117" s="248"/>
      <c r="L117" s="247"/>
      <c r="M117" s="247"/>
      <c r="N117" s="247"/>
      <c r="O117" s="247"/>
      <c r="P117" s="247"/>
      <c r="Q117" s="248"/>
      <c r="R117" s="248"/>
      <c r="S117" s="247"/>
      <c r="T117" s="247"/>
      <c r="U117" s="247"/>
      <c r="V117" s="247"/>
      <c r="W117" s="247"/>
      <c r="X117" s="248"/>
      <c r="Y117" s="248"/>
      <c r="Z117" s="247"/>
      <c r="AA117" s="247"/>
      <c r="AB117" s="247"/>
      <c r="AC117" s="247"/>
      <c r="AD117" s="247"/>
      <c r="AE117" s="248"/>
      <c r="AF117" s="248"/>
      <c r="AG117" s="247"/>
      <c r="AH117" s="247"/>
      <c r="AI117" s="247"/>
      <c r="AJ117" s="249">
        <f t="shared" si="72"/>
        <v>0</v>
      </c>
      <c r="AK117" s="254">
        <f t="shared" si="55"/>
        <v>0</v>
      </c>
    </row>
    <row r="118" spans="1:37" s="251" customFormat="1" ht="20.100000000000001" customHeight="1" outlineLevel="2" x14ac:dyDescent="0.3">
      <c r="A118" s="260"/>
      <c r="B118" s="252"/>
      <c r="C118" s="263" t="s">
        <v>865</v>
      </c>
      <c r="D118" s="264"/>
      <c r="E118" s="247"/>
      <c r="F118" s="247"/>
      <c r="G118" s="247"/>
      <c r="H118" s="247"/>
      <c r="I118" s="247"/>
      <c r="J118" s="248"/>
      <c r="K118" s="248"/>
      <c r="L118" s="247"/>
      <c r="M118" s="247"/>
      <c r="N118" s="247"/>
      <c r="O118" s="247"/>
      <c r="P118" s="247"/>
      <c r="Q118" s="248"/>
      <c r="R118" s="248"/>
      <c r="S118" s="247"/>
      <c r="T118" s="247"/>
      <c r="U118" s="247"/>
      <c r="V118" s="247"/>
      <c r="W118" s="247"/>
      <c r="X118" s="248"/>
      <c r="Y118" s="248"/>
      <c r="Z118" s="247"/>
      <c r="AA118" s="247"/>
      <c r="AB118" s="247"/>
      <c r="AC118" s="247"/>
      <c r="AD118" s="247"/>
      <c r="AE118" s="248"/>
      <c r="AF118" s="248"/>
      <c r="AG118" s="247"/>
      <c r="AH118" s="247"/>
      <c r="AI118" s="247"/>
      <c r="AJ118" s="249">
        <f t="shared" si="72"/>
        <v>0</v>
      </c>
      <c r="AK118" s="254">
        <f t="shared" si="55"/>
        <v>0</v>
      </c>
    </row>
    <row r="119" spans="1:37" s="251" customFormat="1" ht="20.100000000000001" customHeight="1" outlineLevel="1" x14ac:dyDescent="0.3">
      <c r="A119" s="260"/>
      <c r="B119" s="252"/>
      <c r="C119" s="246" t="s">
        <v>866</v>
      </c>
      <c r="D119" s="253">
        <f>SUM(D120:D123)</f>
        <v>0</v>
      </c>
      <c r="E119" s="247">
        <f t="shared" ref="E119" si="79">SUM(E120:E123)</f>
        <v>0</v>
      </c>
      <c r="F119" s="247">
        <f t="shared" ref="F119:AI119" si="80">SUM(F120:F123)</f>
        <v>0</v>
      </c>
      <c r="G119" s="247">
        <f t="shared" si="80"/>
        <v>0</v>
      </c>
      <c r="H119" s="247">
        <f t="shared" si="80"/>
        <v>0</v>
      </c>
      <c r="I119" s="247">
        <f t="shared" si="80"/>
        <v>0</v>
      </c>
      <c r="J119" s="248">
        <f t="shared" si="80"/>
        <v>0</v>
      </c>
      <c r="K119" s="248">
        <f t="shared" si="80"/>
        <v>0</v>
      </c>
      <c r="L119" s="247">
        <f t="shared" si="80"/>
        <v>0</v>
      </c>
      <c r="M119" s="247">
        <f t="shared" si="80"/>
        <v>0</v>
      </c>
      <c r="N119" s="247">
        <f t="shared" si="80"/>
        <v>0</v>
      </c>
      <c r="O119" s="247">
        <f t="shared" si="80"/>
        <v>0</v>
      </c>
      <c r="P119" s="247">
        <f t="shared" si="80"/>
        <v>0</v>
      </c>
      <c r="Q119" s="248">
        <f t="shared" si="80"/>
        <v>0</v>
      </c>
      <c r="R119" s="248">
        <f t="shared" si="80"/>
        <v>0</v>
      </c>
      <c r="S119" s="247">
        <f t="shared" si="80"/>
        <v>0</v>
      </c>
      <c r="T119" s="247">
        <f t="shared" si="80"/>
        <v>0</v>
      </c>
      <c r="U119" s="247">
        <f t="shared" si="80"/>
        <v>0</v>
      </c>
      <c r="V119" s="247">
        <f t="shared" si="80"/>
        <v>0</v>
      </c>
      <c r="W119" s="247">
        <f t="shared" si="80"/>
        <v>0</v>
      </c>
      <c r="X119" s="248">
        <f t="shared" si="80"/>
        <v>0</v>
      </c>
      <c r="Y119" s="248">
        <f t="shared" si="80"/>
        <v>0</v>
      </c>
      <c r="Z119" s="247">
        <f t="shared" si="80"/>
        <v>0</v>
      </c>
      <c r="AA119" s="247">
        <f t="shared" si="80"/>
        <v>0</v>
      </c>
      <c r="AB119" s="247">
        <f t="shared" si="80"/>
        <v>0</v>
      </c>
      <c r="AC119" s="247">
        <f t="shared" si="80"/>
        <v>0</v>
      </c>
      <c r="AD119" s="247">
        <f t="shared" si="80"/>
        <v>0</v>
      </c>
      <c r="AE119" s="248">
        <f t="shared" si="80"/>
        <v>0</v>
      </c>
      <c r="AF119" s="248">
        <f t="shared" si="80"/>
        <v>0</v>
      </c>
      <c r="AG119" s="247">
        <f t="shared" si="80"/>
        <v>0</v>
      </c>
      <c r="AH119" s="247">
        <f t="shared" si="80"/>
        <v>0</v>
      </c>
      <c r="AI119" s="247">
        <f t="shared" si="80"/>
        <v>0</v>
      </c>
      <c r="AJ119" s="249">
        <f t="shared" si="72"/>
        <v>0</v>
      </c>
      <c r="AK119" s="254">
        <f t="shared" si="55"/>
        <v>0</v>
      </c>
    </row>
    <row r="120" spans="1:37" s="251" customFormat="1" ht="20.100000000000001" customHeight="1" outlineLevel="2" x14ac:dyDescent="0.3">
      <c r="A120" s="260"/>
      <c r="B120" s="252"/>
      <c r="C120" s="263" t="s">
        <v>343</v>
      </c>
      <c r="D120" s="253"/>
      <c r="E120" s="247"/>
      <c r="F120" s="247"/>
      <c r="G120" s="247"/>
      <c r="H120" s="247"/>
      <c r="I120" s="247"/>
      <c r="J120" s="248"/>
      <c r="K120" s="248"/>
      <c r="L120" s="247"/>
      <c r="M120" s="247"/>
      <c r="N120" s="247"/>
      <c r="O120" s="247"/>
      <c r="P120" s="247"/>
      <c r="Q120" s="248"/>
      <c r="R120" s="248"/>
      <c r="S120" s="247"/>
      <c r="T120" s="247"/>
      <c r="U120" s="247"/>
      <c r="V120" s="247"/>
      <c r="W120" s="247"/>
      <c r="X120" s="248"/>
      <c r="Y120" s="248"/>
      <c r="Z120" s="247"/>
      <c r="AA120" s="247"/>
      <c r="AB120" s="247"/>
      <c r="AC120" s="247"/>
      <c r="AD120" s="247"/>
      <c r="AE120" s="248"/>
      <c r="AF120" s="248"/>
      <c r="AG120" s="247"/>
      <c r="AH120" s="247"/>
      <c r="AI120" s="247"/>
      <c r="AJ120" s="249">
        <f t="shared" si="72"/>
        <v>0</v>
      </c>
      <c r="AK120" s="254">
        <f t="shared" si="55"/>
        <v>0</v>
      </c>
    </row>
    <row r="121" spans="1:37" s="251" customFormat="1" ht="20.100000000000001" customHeight="1" outlineLevel="2" x14ac:dyDescent="0.3">
      <c r="A121" s="260"/>
      <c r="B121" s="252"/>
      <c r="C121" s="263" t="s">
        <v>609</v>
      </c>
      <c r="D121" s="253"/>
      <c r="E121" s="247"/>
      <c r="F121" s="247"/>
      <c r="G121" s="247"/>
      <c r="H121" s="247"/>
      <c r="I121" s="247"/>
      <c r="J121" s="248"/>
      <c r="K121" s="248"/>
      <c r="L121" s="247"/>
      <c r="M121" s="247"/>
      <c r="N121" s="247"/>
      <c r="O121" s="247"/>
      <c r="P121" s="247"/>
      <c r="Q121" s="248"/>
      <c r="R121" s="248"/>
      <c r="S121" s="247"/>
      <c r="T121" s="247"/>
      <c r="U121" s="247"/>
      <c r="V121" s="247"/>
      <c r="W121" s="247"/>
      <c r="X121" s="248"/>
      <c r="Y121" s="248"/>
      <c r="Z121" s="247"/>
      <c r="AA121" s="247"/>
      <c r="AB121" s="247"/>
      <c r="AC121" s="247"/>
      <c r="AD121" s="247"/>
      <c r="AE121" s="248"/>
      <c r="AF121" s="248"/>
      <c r="AG121" s="247"/>
      <c r="AH121" s="247"/>
      <c r="AI121" s="247"/>
      <c r="AJ121" s="249">
        <f t="shared" si="72"/>
        <v>0</v>
      </c>
      <c r="AK121" s="254">
        <f t="shared" si="55"/>
        <v>0</v>
      </c>
    </row>
    <row r="122" spans="1:37" s="251" customFormat="1" ht="20.100000000000001" customHeight="1" outlineLevel="2" x14ac:dyDescent="0.3">
      <c r="A122" s="260"/>
      <c r="B122" s="252"/>
      <c r="C122" s="263" t="s">
        <v>450</v>
      </c>
      <c r="D122" s="253"/>
      <c r="E122" s="247"/>
      <c r="F122" s="247"/>
      <c r="G122" s="247"/>
      <c r="H122" s="247"/>
      <c r="I122" s="247"/>
      <c r="J122" s="248"/>
      <c r="K122" s="248"/>
      <c r="L122" s="247"/>
      <c r="M122" s="247"/>
      <c r="N122" s="247"/>
      <c r="O122" s="247"/>
      <c r="P122" s="247"/>
      <c r="Q122" s="248"/>
      <c r="R122" s="248"/>
      <c r="S122" s="247"/>
      <c r="T122" s="247"/>
      <c r="U122" s="247"/>
      <c r="V122" s="247"/>
      <c r="W122" s="247"/>
      <c r="X122" s="248"/>
      <c r="Y122" s="248"/>
      <c r="Z122" s="247"/>
      <c r="AA122" s="247"/>
      <c r="AB122" s="247"/>
      <c r="AC122" s="247"/>
      <c r="AD122" s="247"/>
      <c r="AE122" s="248"/>
      <c r="AF122" s="248"/>
      <c r="AG122" s="247"/>
      <c r="AH122" s="247"/>
      <c r="AI122" s="247"/>
      <c r="AJ122" s="249">
        <f t="shared" si="72"/>
        <v>0</v>
      </c>
      <c r="AK122" s="254">
        <f t="shared" si="55"/>
        <v>0</v>
      </c>
    </row>
    <row r="123" spans="1:37" s="251" customFormat="1" ht="20.100000000000001" customHeight="1" outlineLevel="2" x14ac:dyDescent="0.3">
      <c r="A123" s="260"/>
      <c r="B123" s="252"/>
      <c r="C123" s="263" t="s">
        <v>1315</v>
      </c>
      <c r="D123" s="253"/>
      <c r="E123" s="247"/>
      <c r="F123" s="247"/>
      <c r="G123" s="247"/>
      <c r="H123" s="247"/>
      <c r="I123" s="247"/>
      <c r="J123" s="248"/>
      <c r="K123" s="248"/>
      <c r="L123" s="247"/>
      <c r="M123" s="247"/>
      <c r="N123" s="247"/>
      <c r="O123" s="247"/>
      <c r="P123" s="247"/>
      <c r="Q123" s="248"/>
      <c r="R123" s="248"/>
      <c r="S123" s="247"/>
      <c r="T123" s="247"/>
      <c r="U123" s="247"/>
      <c r="V123" s="247"/>
      <c r="W123" s="247"/>
      <c r="X123" s="248"/>
      <c r="Y123" s="248"/>
      <c r="Z123" s="247"/>
      <c r="AA123" s="247"/>
      <c r="AB123" s="247"/>
      <c r="AC123" s="247"/>
      <c r="AD123" s="247"/>
      <c r="AE123" s="248"/>
      <c r="AF123" s="248"/>
      <c r="AG123" s="247"/>
      <c r="AH123" s="247"/>
      <c r="AI123" s="247"/>
      <c r="AJ123" s="249">
        <f t="shared" si="72"/>
        <v>0</v>
      </c>
      <c r="AK123" s="254">
        <f t="shared" si="55"/>
        <v>0</v>
      </c>
    </row>
    <row r="124" spans="1:37" s="251" customFormat="1" ht="20.100000000000001" customHeight="1" outlineLevel="1" x14ac:dyDescent="0.3">
      <c r="A124" s="260"/>
      <c r="B124" s="252"/>
      <c r="C124" s="246" t="s">
        <v>868</v>
      </c>
      <c r="D124" s="253">
        <f>SUM(D125:D126)</f>
        <v>3000</v>
      </c>
      <c r="E124" s="253">
        <f>SUM(E125:E126)</f>
        <v>0</v>
      </c>
      <c r="F124" s="247">
        <f t="shared" ref="F124:AI124" si="81">SUM(F125:F126)</f>
        <v>0</v>
      </c>
      <c r="G124" s="247">
        <f t="shared" si="81"/>
        <v>0</v>
      </c>
      <c r="H124" s="247">
        <f t="shared" si="81"/>
        <v>0</v>
      </c>
      <c r="I124" s="247">
        <f t="shared" si="81"/>
        <v>0</v>
      </c>
      <c r="J124" s="248">
        <f t="shared" si="81"/>
        <v>0</v>
      </c>
      <c r="K124" s="248">
        <f t="shared" si="81"/>
        <v>0</v>
      </c>
      <c r="L124" s="247">
        <f t="shared" si="81"/>
        <v>0</v>
      </c>
      <c r="M124" s="247">
        <f t="shared" si="81"/>
        <v>0</v>
      </c>
      <c r="N124" s="247">
        <f t="shared" si="81"/>
        <v>0</v>
      </c>
      <c r="O124" s="247">
        <f t="shared" si="81"/>
        <v>0</v>
      </c>
      <c r="P124" s="247">
        <f t="shared" si="81"/>
        <v>0</v>
      </c>
      <c r="Q124" s="248">
        <f t="shared" si="81"/>
        <v>0</v>
      </c>
      <c r="R124" s="248">
        <f t="shared" si="81"/>
        <v>0</v>
      </c>
      <c r="S124" s="247">
        <f t="shared" si="81"/>
        <v>0</v>
      </c>
      <c r="T124" s="247">
        <f t="shared" si="81"/>
        <v>0</v>
      </c>
      <c r="U124" s="247">
        <f t="shared" si="81"/>
        <v>0</v>
      </c>
      <c r="V124" s="247">
        <f t="shared" si="81"/>
        <v>0</v>
      </c>
      <c r="W124" s="247">
        <f t="shared" si="81"/>
        <v>3000</v>
      </c>
      <c r="X124" s="248">
        <f t="shared" si="81"/>
        <v>0</v>
      </c>
      <c r="Y124" s="248">
        <f t="shared" si="81"/>
        <v>0</v>
      </c>
      <c r="Z124" s="247">
        <f t="shared" si="81"/>
        <v>0</v>
      </c>
      <c r="AA124" s="247">
        <f t="shared" si="81"/>
        <v>0</v>
      </c>
      <c r="AB124" s="247">
        <f t="shared" si="81"/>
        <v>0</v>
      </c>
      <c r="AC124" s="247">
        <f t="shared" si="81"/>
        <v>0</v>
      </c>
      <c r="AD124" s="247">
        <f t="shared" si="81"/>
        <v>0</v>
      </c>
      <c r="AE124" s="248">
        <f t="shared" si="81"/>
        <v>0</v>
      </c>
      <c r="AF124" s="248">
        <f t="shared" si="81"/>
        <v>0</v>
      </c>
      <c r="AG124" s="247">
        <f t="shared" si="81"/>
        <v>0</v>
      </c>
      <c r="AH124" s="247">
        <f t="shared" si="81"/>
        <v>0</v>
      </c>
      <c r="AI124" s="247">
        <f t="shared" si="81"/>
        <v>0</v>
      </c>
      <c r="AJ124" s="249">
        <f t="shared" si="72"/>
        <v>3000</v>
      </c>
      <c r="AK124" s="254">
        <f t="shared" si="55"/>
        <v>0</v>
      </c>
    </row>
    <row r="125" spans="1:37" s="251" customFormat="1" ht="20.100000000000001" customHeight="1" outlineLevel="2" x14ac:dyDescent="0.3">
      <c r="A125" s="260"/>
      <c r="B125" s="252"/>
      <c r="C125" s="263" t="s">
        <v>869</v>
      </c>
      <c r="D125" s="253"/>
      <c r="E125" s="247"/>
      <c r="F125" s="247"/>
      <c r="G125" s="247"/>
      <c r="H125" s="247"/>
      <c r="I125" s="247"/>
      <c r="J125" s="248"/>
      <c r="K125" s="248"/>
      <c r="L125" s="247"/>
      <c r="M125" s="247"/>
      <c r="N125" s="247"/>
      <c r="O125" s="247"/>
      <c r="P125" s="247"/>
      <c r="Q125" s="248"/>
      <c r="R125" s="248"/>
      <c r="S125" s="247"/>
      <c r="T125" s="247"/>
      <c r="U125" s="247"/>
      <c r="V125" s="247"/>
      <c r="W125" s="247"/>
      <c r="X125" s="248"/>
      <c r="Y125" s="248"/>
      <c r="Z125" s="247"/>
      <c r="AA125" s="247"/>
      <c r="AB125" s="247"/>
      <c r="AC125" s="247"/>
      <c r="AD125" s="247"/>
      <c r="AE125" s="248"/>
      <c r="AF125" s="248"/>
      <c r="AG125" s="247"/>
      <c r="AH125" s="247"/>
      <c r="AI125" s="247"/>
      <c r="AJ125" s="249">
        <f t="shared" si="72"/>
        <v>0</v>
      </c>
      <c r="AK125" s="254">
        <f t="shared" si="55"/>
        <v>0</v>
      </c>
    </row>
    <row r="126" spans="1:37" s="251" customFormat="1" ht="20.100000000000001" customHeight="1" outlineLevel="2" x14ac:dyDescent="0.3">
      <c r="A126" s="260"/>
      <c r="B126" s="252"/>
      <c r="C126" s="263" t="s">
        <v>415</v>
      </c>
      <c r="D126" s="253">
        <v>3000</v>
      </c>
      <c r="E126" s="247"/>
      <c r="F126" s="247"/>
      <c r="G126" s="247"/>
      <c r="H126" s="247"/>
      <c r="I126" s="247"/>
      <c r="J126" s="248"/>
      <c r="K126" s="248"/>
      <c r="L126" s="247"/>
      <c r="M126" s="247"/>
      <c r="N126" s="247"/>
      <c r="O126" s="247"/>
      <c r="P126" s="247"/>
      <c r="Q126" s="248"/>
      <c r="R126" s="248"/>
      <c r="S126" s="247"/>
      <c r="T126" s="247"/>
      <c r="U126" s="247"/>
      <c r="V126" s="247"/>
      <c r="W126" s="247">
        <v>3000</v>
      </c>
      <c r="X126" s="248"/>
      <c r="Y126" s="248"/>
      <c r="Z126" s="247"/>
      <c r="AA126" s="247"/>
      <c r="AB126" s="247"/>
      <c r="AC126" s="247"/>
      <c r="AD126" s="247"/>
      <c r="AE126" s="248"/>
      <c r="AF126" s="248"/>
      <c r="AG126" s="247"/>
      <c r="AH126" s="247"/>
      <c r="AI126" s="247"/>
      <c r="AJ126" s="249">
        <f t="shared" si="72"/>
        <v>3000</v>
      </c>
      <c r="AK126" s="254">
        <f t="shared" si="55"/>
        <v>0</v>
      </c>
    </row>
    <row r="127" spans="1:37" s="259" customFormat="1" ht="20.100000000000001" customHeight="1" outlineLevel="1" x14ac:dyDescent="0.3">
      <c r="A127" s="256"/>
      <c r="B127" s="257"/>
      <c r="C127" s="246" t="s">
        <v>870</v>
      </c>
      <c r="D127" s="247">
        <f t="shared" ref="D127:E127" si="82">SUM(D128:D132)</f>
        <v>3200</v>
      </c>
      <c r="E127" s="247">
        <f t="shared" si="82"/>
        <v>0</v>
      </c>
      <c r="F127" s="247">
        <f t="shared" ref="F127:AI127" si="83">SUM(F128:F132)</f>
        <v>0</v>
      </c>
      <c r="G127" s="247">
        <f t="shared" si="83"/>
        <v>0</v>
      </c>
      <c r="H127" s="247">
        <f t="shared" si="83"/>
        <v>0</v>
      </c>
      <c r="I127" s="247">
        <f t="shared" si="83"/>
        <v>0</v>
      </c>
      <c r="J127" s="248">
        <f t="shared" si="83"/>
        <v>0</v>
      </c>
      <c r="K127" s="248">
        <f t="shared" si="83"/>
        <v>0</v>
      </c>
      <c r="L127" s="247">
        <f t="shared" si="83"/>
        <v>0</v>
      </c>
      <c r="M127" s="247">
        <f t="shared" si="83"/>
        <v>0</v>
      </c>
      <c r="N127" s="247">
        <f t="shared" si="83"/>
        <v>0</v>
      </c>
      <c r="O127" s="247">
        <f t="shared" si="83"/>
        <v>0</v>
      </c>
      <c r="P127" s="247">
        <f t="shared" si="83"/>
        <v>0</v>
      </c>
      <c r="Q127" s="248">
        <f t="shared" si="83"/>
        <v>0</v>
      </c>
      <c r="R127" s="248">
        <f t="shared" si="83"/>
        <v>0</v>
      </c>
      <c r="S127" s="247">
        <f t="shared" si="83"/>
        <v>0</v>
      </c>
      <c r="T127" s="247">
        <f t="shared" si="83"/>
        <v>0</v>
      </c>
      <c r="U127" s="247">
        <f t="shared" si="83"/>
        <v>0</v>
      </c>
      <c r="V127" s="247">
        <f t="shared" si="83"/>
        <v>0</v>
      </c>
      <c r="W127" s="247">
        <f t="shared" si="83"/>
        <v>3200</v>
      </c>
      <c r="X127" s="248">
        <f t="shared" si="83"/>
        <v>0</v>
      </c>
      <c r="Y127" s="248">
        <f t="shared" si="83"/>
        <v>0</v>
      </c>
      <c r="Z127" s="247">
        <f t="shared" si="83"/>
        <v>0</v>
      </c>
      <c r="AA127" s="247">
        <f t="shared" si="83"/>
        <v>0</v>
      </c>
      <c r="AB127" s="247">
        <f t="shared" si="83"/>
        <v>0</v>
      </c>
      <c r="AC127" s="247">
        <f t="shared" si="83"/>
        <v>0</v>
      </c>
      <c r="AD127" s="247">
        <f t="shared" si="83"/>
        <v>0</v>
      </c>
      <c r="AE127" s="248">
        <f t="shared" si="83"/>
        <v>0</v>
      </c>
      <c r="AF127" s="248">
        <f t="shared" si="83"/>
        <v>0</v>
      </c>
      <c r="AG127" s="247">
        <f t="shared" si="83"/>
        <v>0</v>
      </c>
      <c r="AH127" s="247">
        <f t="shared" si="83"/>
        <v>0</v>
      </c>
      <c r="AI127" s="247">
        <f t="shared" si="83"/>
        <v>0</v>
      </c>
      <c r="AJ127" s="249">
        <f t="shared" si="72"/>
        <v>3200</v>
      </c>
      <c r="AK127" s="254">
        <f t="shared" si="55"/>
        <v>0</v>
      </c>
    </row>
    <row r="128" spans="1:37" s="259" customFormat="1" ht="20.100000000000001" customHeight="1" outlineLevel="2" x14ac:dyDescent="0.3">
      <c r="A128" s="256"/>
      <c r="B128" s="257"/>
      <c r="C128" s="263" t="s">
        <v>871</v>
      </c>
      <c r="D128" s="253"/>
      <c r="E128" s="247"/>
      <c r="F128" s="247"/>
      <c r="G128" s="247"/>
      <c r="H128" s="247"/>
      <c r="I128" s="247"/>
      <c r="J128" s="248"/>
      <c r="K128" s="248"/>
      <c r="L128" s="247"/>
      <c r="M128" s="247"/>
      <c r="N128" s="247"/>
      <c r="O128" s="247"/>
      <c r="P128" s="247"/>
      <c r="Q128" s="248"/>
      <c r="R128" s="248"/>
      <c r="S128" s="247"/>
      <c r="T128" s="247"/>
      <c r="U128" s="247"/>
      <c r="V128" s="247"/>
      <c r="W128" s="247"/>
      <c r="X128" s="248"/>
      <c r="Y128" s="248"/>
      <c r="Z128" s="247"/>
      <c r="AA128" s="247"/>
      <c r="AB128" s="247"/>
      <c r="AC128" s="247"/>
      <c r="AD128" s="247"/>
      <c r="AE128" s="248"/>
      <c r="AF128" s="248"/>
      <c r="AG128" s="247"/>
      <c r="AH128" s="247"/>
      <c r="AI128" s="247"/>
      <c r="AJ128" s="249">
        <f t="shared" si="72"/>
        <v>0</v>
      </c>
      <c r="AK128" s="254">
        <f t="shared" si="55"/>
        <v>0</v>
      </c>
    </row>
    <row r="129" spans="1:37" s="259" customFormat="1" ht="20.100000000000001" customHeight="1" outlineLevel="2" x14ac:dyDescent="0.3">
      <c r="A129" s="256"/>
      <c r="B129" s="257"/>
      <c r="C129" s="263" t="s">
        <v>872</v>
      </c>
      <c r="D129" s="253">
        <v>3200</v>
      </c>
      <c r="E129" s="247"/>
      <c r="F129" s="247"/>
      <c r="G129" s="247"/>
      <c r="H129" s="247"/>
      <c r="I129" s="247"/>
      <c r="J129" s="248"/>
      <c r="K129" s="248"/>
      <c r="L129" s="247"/>
      <c r="M129" s="247"/>
      <c r="N129" s="247"/>
      <c r="O129" s="247"/>
      <c r="P129" s="247"/>
      <c r="Q129" s="248"/>
      <c r="R129" s="248"/>
      <c r="S129" s="247"/>
      <c r="T129" s="247"/>
      <c r="U129" s="247"/>
      <c r="V129" s="247"/>
      <c r="W129" s="247">
        <v>3200</v>
      </c>
      <c r="X129" s="248"/>
      <c r="Y129" s="248"/>
      <c r="Z129" s="247"/>
      <c r="AA129" s="247"/>
      <c r="AB129" s="247"/>
      <c r="AC129" s="247"/>
      <c r="AD129" s="247"/>
      <c r="AE129" s="248"/>
      <c r="AF129" s="248"/>
      <c r="AG129" s="247"/>
      <c r="AH129" s="247"/>
      <c r="AI129" s="247"/>
      <c r="AJ129" s="249">
        <f t="shared" si="72"/>
        <v>3200</v>
      </c>
      <c r="AK129" s="254">
        <f t="shared" si="55"/>
        <v>0</v>
      </c>
    </row>
    <row r="130" spans="1:37" s="259" customFormat="1" ht="20.100000000000001" customHeight="1" outlineLevel="2" x14ac:dyDescent="0.3">
      <c r="A130" s="256"/>
      <c r="B130" s="257"/>
      <c r="C130" s="263" t="s">
        <v>786</v>
      </c>
      <c r="D130" s="253"/>
      <c r="E130" s="247"/>
      <c r="F130" s="247"/>
      <c r="G130" s="247"/>
      <c r="H130" s="247"/>
      <c r="I130" s="247"/>
      <c r="J130" s="248"/>
      <c r="K130" s="248"/>
      <c r="L130" s="247"/>
      <c r="M130" s="247"/>
      <c r="N130" s="247"/>
      <c r="O130" s="247"/>
      <c r="P130" s="247"/>
      <c r="Q130" s="248"/>
      <c r="R130" s="248"/>
      <c r="S130" s="247"/>
      <c r="T130" s="247"/>
      <c r="U130" s="247"/>
      <c r="V130" s="247"/>
      <c r="W130" s="247"/>
      <c r="X130" s="248"/>
      <c r="Y130" s="248"/>
      <c r="Z130" s="247"/>
      <c r="AA130" s="247"/>
      <c r="AB130" s="247"/>
      <c r="AC130" s="247"/>
      <c r="AD130" s="247"/>
      <c r="AE130" s="248"/>
      <c r="AF130" s="248"/>
      <c r="AG130" s="247"/>
      <c r="AH130" s="247"/>
      <c r="AI130" s="247"/>
      <c r="AJ130" s="249">
        <f t="shared" si="72"/>
        <v>0</v>
      </c>
      <c r="AK130" s="254">
        <f t="shared" si="55"/>
        <v>0</v>
      </c>
    </row>
    <row r="131" spans="1:37" s="259" customFormat="1" ht="20.100000000000001" customHeight="1" outlineLevel="2" x14ac:dyDescent="0.3">
      <c r="A131" s="256"/>
      <c r="B131" s="257"/>
      <c r="C131" s="263" t="s">
        <v>873</v>
      </c>
      <c r="D131" s="253"/>
      <c r="E131" s="247"/>
      <c r="F131" s="247"/>
      <c r="G131" s="247"/>
      <c r="H131" s="247"/>
      <c r="I131" s="247"/>
      <c r="J131" s="248"/>
      <c r="K131" s="248"/>
      <c r="L131" s="247"/>
      <c r="M131" s="247"/>
      <c r="N131" s="247"/>
      <c r="O131" s="247"/>
      <c r="P131" s="247"/>
      <c r="Q131" s="248"/>
      <c r="R131" s="248"/>
      <c r="S131" s="247"/>
      <c r="T131" s="247"/>
      <c r="U131" s="247"/>
      <c r="V131" s="247"/>
      <c r="W131" s="247"/>
      <c r="X131" s="248"/>
      <c r="Y131" s="248"/>
      <c r="Z131" s="247"/>
      <c r="AA131" s="247"/>
      <c r="AB131" s="247"/>
      <c r="AC131" s="247"/>
      <c r="AD131" s="247"/>
      <c r="AE131" s="248"/>
      <c r="AF131" s="248"/>
      <c r="AG131" s="247"/>
      <c r="AH131" s="247"/>
      <c r="AI131" s="247"/>
      <c r="AJ131" s="249">
        <f t="shared" si="72"/>
        <v>0</v>
      </c>
      <c r="AK131" s="254">
        <f t="shared" si="55"/>
        <v>0</v>
      </c>
    </row>
    <row r="132" spans="1:37" s="259" customFormat="1" ht="20.100000000000001" customHeight="1" outlineLevel="2" x14ac:dyDescent="0.3">
      <c r="A132" s="256"/>
      <c r="B132" s="257"/>
      <c r="C132" s="263" t="s">
        <v>874</v>
      </c>
      <c r="D132" s="253"/>
      <c r="E132" s="247"/>
      <c r="F132" s="247"/>
      <c r="G132" s="247"/>
      <c r="H132" s="247"/>
      <c r="I132" s="247"/>
      <c r="J132" s="248"/>
      <c r="K132" s="248"/>
      <c r="L132" s="247"/>
      <c r="M132" s="247"/>
      <c r="N132" s="247"/>
      <c r="O132" s="247"/>
      <c r="P132" s="247"/>
      <c r="Q132" s="248"/>
      <c r="R132" s="248"/>
      <c r="S132" s="247"/>
      <c r="T132" s="247"/>
      <c r="U132" s="247"/>
      <c r="V132" s="247"/>
      <c r="W132" s="247"/>
      <c r="X132" s="248"/>
      <c r="Y132" s="248"/>
      <c r="Z132" s="247"/>
      <c r="AA132" s="247"/>
      <c r="AB132" s="247"/>
      <c r="AC132" s="247"/>
      <c r="AD132" s="247"/>
      <c r="AE132" s="248"/>
      <c r="AF132" s="248"/>
      <c r="AG132" s="247"/>
      <c r="AH132" s="247"/>
      <c r="AI132" s="247"/>
      <c r="AJ132" s="249">
        <f t="shared" si="72"/>
        <v>0</v>
      </c>
      <c r="AK132" s="254">
        <f t="shared" si="55"/>
        <v>0</v>
      </c>
    </row>
    <row r="133" spans="1:37" s="259" customFormat="1" ht="20.100000000000001" customHeight="1" outlineLevel="1" x14ac:dyDescent="0.3">
      <c r="A133" s="256"/>
      <c r="B133" s="257"/>
      <c r="C133" s="258" t="s">
        <v>875</v>
      </c>
      <c r="D133" s="247">
        <f t="shared" ref="D133:E133" si="84">SUM(D134:D136)</f>
        <v>43000</v>
      </c>
      <c r="E133" s="247">
        <f t="shared" si="84"/>
        <v>0</v>
      </c>
      <c r="F133" s="247">
        <f t="shared" ref="F133:AI133" si="85">SUM(F134:F136)</f>
        <v>0</v>
      </c>
      <c r="G133" s="247">
        <f t="shared" si="85"/>
        <v>0</v>
      </c>
      <c r="H133" s="247">
        <f t="shared" si="85"/>
        <v>0</v>
      </c>
      <c r="I133" s="247">
        <f t="shared" si="85"/>
        <v>0</v>
      </c>
      <c r="J133" s="248">
        <f t="shared" si="85"/>
        <v>0</v>
      </c>
      <c r="K133" s="248">
        <f t="shared" si="85"/>
        <v>0</v>
      </c>
      <c r="L133" s="247">
        <f t="shared" si="85"/>
        <v>0</v>
      </c>
      <c r="M133" s="247">
        <f t="shared" si="85"/>
        <v>0</v>
      </c>
      <c r="N133" s="247">
        <f t="shared" si="85"/>
        <v>0</v>
      </c>
      <c r="O133" s="247">
        <f t="shared" si="85"/>
        <v>0</v>
      </c>
      <c r="P133" s="247">
        <f t="shared" si="85"/>
        <v>0</v>
      </c>
      <c r="Q133" s="248">
        <f t="shared" si="85"/>
        <v>0</v>
      </c>
      <c r="R133" s="248">
        <f t="shared" si="85"/>
        <v>0</v>
      </c>
      <c r="S133" s="247">
        <f t="shared" si="85"/>
        <v>0</v>
      </c>
      <c r="T133" s="247">
        <f t="shared" si="85"/>
        <v>0</v>
      </c>
      <c r="U133" s="247">
        <f t="shared" si="85"/>
        <v>0</v>
      </c>
      <c r="V133" s="247">
        <f t="shared" si="85"/>
        <v>0</v>
      </c>
      <c r="W133" s="247">
        <f t="shared" si="85"/>
        <v>43000</v>
      </c>
      <c r="X133" s="248">
        <f t="shared" si="85"/>
        <v>0</v>
      </c>
      <c r="Y133" s="248">
        <f t="shared" si="85"/>
        <v>0</v>
      </c>
      <c r="Z133" s="247">
        <f t="shared" si="85"/>
        <v>0</v>
      </c>
      <c r="AA133" s="247">
        <f t="shared" si="85"/>
        <v>0</v>
      </c>
      <c r="AB133" s="247">
        <f t="shared" si="85"/>
        <v>0</v>
      </c>
      <c r="AC133" s="247">
        <f t="shared" si="85"/>
        <v>0</v>
      </c>
      <c r="AD133" s="247">
        <f t="shared" si="85"/>
        <v>0</v>
      </c>
      <c r="AE133" s="248">
        <f t="shared" si="85"/>
        <v>0</v>
      </c>
      <c r="AF133" s="248">
        <f t="shared" si="85"/>
        <v>0</v>
      </c>
      <c r="AG133" s="247">
        <f t="shared" si="85"/>
        <v>0</v>
      </c>
      <c r="AH133" s="247">
        <f t="shared" si="85"/>
        <v>0</v>
      </c>
      <c r="AI133" s="247">
        <f t="shared" si="85"/>
        <v>0</v>
      </c>
      <c r="AJ133" s="249">
        <f t="shared" si="72"/>
        <v>43000</v>
      </c>
      <c r="AK133" s="254">
        <f t="shared" si="55"/>
        <v>0</v>
      </c>
    </row>
    <row r="134" spans="1:37" s="259" customFormat="1" ht="20.100000000000001" customHeight="1" outlineLevel="2" x14ac:dyDescent="0.3">
      <c r="A134" s="256"/>
      <c r="B134" s="257"/>
      <c r="C134" s="265" t="s">
        <v>876</v>
      </c>
      <c r="D134" s="253">
        <v>35000</v>
      </c>
      <c r="E134" s="247"/>
      <c r="F134" s="247"/>
      <c r="G134" s="247"/>
      <c r="H134" s="247"/>
      <c r="I134" s="247"/>
      <c r="J134" s="248"/>
      <c r="K134" s="248"/>
      <c r="L134" s="247"/>
      <c r="M134" s="247"/>
      <c r="N134" s="247"/>
      <c r="O134" s="247"/>
      <c r="P134" s="247"/>
      <c r="Q134" s="248"/>
      <c r="R134" s="248"/>
      <c r="S134" s="247"/>
      <c r="T134" s="247"/>
      <c r="U134" s="247"/>
      <c r="V134" s="247"/>
      <c r="W134" s="247">
        <v>35000</v>
      </c>
      <c r="X134" s="248"/>
      <c r="Y134" s="248"/>
      <c r="Z134" s="247"/>
      <c r="AA134" s="247"/>
      <c r="AB134" s="247"/>
      <c r="AC134" s="247"/>
      <c r="AD134" s="247"/>
      <c r="AE134" s="248"/>
      <c r="AF134" s="248"/>
      <c r="AG134" s="247"/>
      <c r="AH134" s="247"/>
      <c r="AI134" s="247"/>
      <c r="AJ134" s="249">
        <f t="shared" si="72"/>
        <v>35000</v>
      </c>
      <c r="AK134" s="254">
        <f t="shared" si="55"/>
        <v>0</v>
      </c>
    </row>
    <row r="135" spans="1:37" s="259" customFormat="1" ht="20.100000000000001" customHeight="1" outlineLevel="2" x14ac:dyDescent="0.3">
      <c r="A135" s="256"/>
      <c r="B135" s="257"/>
      <c r="C135" s="265" t="s">
        <v>623</v>
      </c>
      <c r="D135" s="253">
        <v>8000</v>
      </c>
      <c r="E135" s="247"/>
      <c r="F135" s="247"/>
      <c r="G135" s="247"/>
      <c r="H135" s="247"/>
      <c r="I135" s="247"/>
      <c r="J135" s="248"/>
      <c r="K135" s="248"/>
      <c r="L135" s="247"/>
      <c r="M135" s="247"/>
      <c r="N135" s="247"/>
      <c r="O135" s="247"/>
      <c r="P135" s="247"/>
      <c r="Q135" s="248"/>
      <c r="R135" s="248"/>
      <c r="S135" s="247"/>
      <c r="T135" s="247"/>
      <c r="U135" s="247"/>
      <c r="V135" s="247"/>
      <c r="W135" s="247">
        <v>8000</v>
      </c>
      <c r="X135" s="248"/>
      <c r="Y135" s="248"/>
      <c r="Z135" s="247"/>
      <c r="AA135" s="247"/>
      <c r="AB135" s="247"/>
      <c r="AC135" s="247"/>
      <c r="AD135" s="247"/>
      <c r="AE135" s="248"/>
      <c r="AF135" s="248"/>
      <c r="AG135" s="247"/>
      <c r="AH135" s="247"/>
      <c r="AI135" s="247"/>
      <c r="AJ135" s="249">
        <f t="shared" si="72"/>
        <v>8000</v>
      </c>
      <c r="AK135" s="254">
        <f>+D135-AJ135</f>
        <v>0</v>
      </c>
    </row>
    <row r="136" spans="1:37" s="259" customFormat="1" ht="20.100000000000001" customHeight="1" outlineLevel="2" x14ac:dyDescent="0.3">
      <c r="A136" s="256"/>
      <c r="B136" s="257"/>
      <c r="C136" s="265" t="s">
        <v>877</v>
      </c>
      <c r="D136" s="253"/>
      <c r="E136" s="247"/>
      <c r="F136" s="247"/>
      <c r="G136" s="247"/>
      <c r="H136" s="247"/>
      <c r="I136" s="247"/>
      <c r="J136" s="248"/>
      <c r="K136" s="248"/>
      <c r="L136" s="247"/>
      <c r="M136" s="247"/>
      <c r="N136" s="247"/>
      <c r="O136" s="247"/>
      <c r="P136" s="247"/>
      <c r="Q136" s="248"/>
      <c r="R136" s="248"/>
      <c r="S136" s="247"/>
      <c r="T136" s="247"/>
      <c r="U136" s="247"/>
      <c r="V136" s="247"/>
      <c r="W136" s="247"/>
      <c r="X136" s="248"/>
      <c r="Y136" s="248"/>
      <c r="Z136" s="247"/>
      <c r="AA136" s="247"/>
      <c r="AB136" s="247"/>
      <c r="AC136" s="247"/>
      <c r="AD136" s="247"/>
      <c r="AE136" s="248"/>
      <c r="AF136" s="248"/>
      <c r="AG136" s="247"/>
      <c r="AH136" s="247"/>
      <c r="AI136" s="247"/>
      <c r="AJ136" s="249">
        <f t="shared" si="72"/>
        <v>0</v>
      </c>
      <c r="AK136" s="254">
        <f t="shared" si="55"/>
        <v>0</v>
      </c>
    </row>
    <row r="137" spans="1:37" s="269" customFormat="1" ht="20.100000000000001" customHeight="1" x14ac:dyDescent="0.25">
      <c r="A137" s="266"/>
      <c r="B137" s="267" t="s">
        <v>878</v>
      </c>
      <c r="C137" s="268" t="s">
        <v>879</v>
      </c>
      <c r="D137" s="237">
        <f t="shared" ref="D137:AI137" si="86">D74-D94</f>
        <v>-6255606.7865096014</v>
      </c>
      <c r="E137" s="237">
        <f t="shared" si="86"/>
        <v>-46328.556521739134</v>
      </c>
      <c r="F137" s="237">
        <f t="shared" si="86"/>
        <v>-46328.556521739134</v>
      </c>
      <c r="G137" s="237">
        <f t="shared" si="86"/>
        <v>-46328.556521739134</v>
      </c>
      <c r="H137" s="237">
        <f t="shared" si="86"/>
        <v>-46328.556521739134</v>
      </c>
      <c r="I137" s="237">
        <f t="shared" si="86"/>
        <v>-46328.556521739134</v>
      </c>
      <c r="J137" s="237">
        <f t="shared" si="86"/>
        <v>0</v>
      </c>
      <c r="K137" s="237">
        <f t="shared" si="86"/>
        <v>0</v>
      </c>
      <c r="L137" s="237">
        <f t="shared" si="86"/>
        <v>-46328.556521739134</v>
      </c>
      <c r="M137" s="237">
        <f t="shared" si="86"/>
        <v>-46328.556521739134</v>
      </c>
      <c r="N137" s="237">
        <f t="shared" si="86"/>
        <v>-430388.23230133922</v>
      </c>
      <c r="O137" s="237">
        <f t="shared" si="86"/>
        <v>-46328.556521739134</v>
      </c>
      <c r="P137" s="237">
        <f t="shared" si="86"/>
        <v>-575762.02552173915</v>
      </c>
      <c r="Q137" s="237">
        <f t="shared" si="86"/>
        <v>0</v>
      </c>
      <c r="R137" s="237">
        <f t="shared" si="86"/>
        <v>0</v>
      </c>
      <c r="S137" s="237">
        <f t="shared" si="86"/>
        <v>-1131066.7795017392</v>
      </c>
      <c r="T137" s="237">
        <f t="shared" si="86"/>
        <v>-46328.556521739134</v>
      </c>
      <c r="U137" s="237">
        <f t="shared" si="86"/>
        <v>-46328.556521739134</v>
      </c>
      <c r="V137" s="237">
        <f t="shared" si="86"/>
        <v>-46328.556521739134</v>
      </c>
      <c r="W137" s="237">
        <f t="shared" si="86"/>
        <v>-95528.556521739141</v>
      </c>
      <c r="X137" s="237">
        <f t="shared" si="86"/>
        <v>0</v>
      </c>
      <c r="Y137" s="237">
        <f t="shared" si="86"/>
        <v>0</v>
      </c>
      <c r="Z137" s="237">
        <f t="shared" si="86"/>
        <v>454884.19514277688</v>
      </c>
      <c r="AA137" s="237">
        <f t="shared" si="86"/>
        <v>-46328.556521739134</v>
      </c>
      <c r="AB137" s="237">
        <f t="shared" si="86"/>
        <v>-46328.556521739134</v>
      </c>
      <c r="AC137" s="237">
        <f t="shared" si="86"/>
        <v>-3250883.8603517395</v>
      </c>
      <c r="AD137" s="237">
        <f t="shared" si="86"/>
        <v>-46328.556521739134</v>
      </c>
      <c r="AE137" s="237">
        <f t="shared" si="86"/>
        <v>0</v>
      </c>
      <c r="AF137" s="237">
        <f t="shared" si="86"/>
        <v>0</v>
      </c>
      <c r="AG137" s="237">
        <f t="shared" si="86"/>
        <v>-46328.556521739134</v>
      </c>
      <c r="AH137" s="237">
        <f t="shared" si="86"/>
        <v>-46328.556521739134</v>
      </c>
      <c r="AI137" s="237">
        <f t="shared" si="86"/>
        <v>-485604.62310625525</v>
      </c>
      <c r="AJ137" s="237">
        <f t="shared" si="72"/>
        <v>-6255606.7865096014</v>
      </c>
      <c r="AK137" s="237">
        <f t="shared" si="55"/>
        <v>0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DC7D-733A-4105-ABE9-5EBFE0E7D8EE}">
  <sheetPr>
    <tabColor theme="7" tint="0.79998168889431442"/>
  </sheetPr>
  <dimension ref="A1:AK153"/>
  <sheetViews>
    <sheetView topLeftCell="A37" zoomScale="60" zoomScaleNormal="60" workbookViewId="0">
      <pane xSplit="4" topLeftCell="E1" activePane="topRight" state="frozen"/>
      <selection pane="topRight" activeCell="C49" sqref="C49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customWidth="1"/>
    <col min="4" max="4" width="23" style="28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45505</v>
      </c>
      <c r="F2" s="81">
        <f>+E2+1</f>
        <v>45506</v>
      </c>
      <c r="G2" s="83">
        <f t="shared" ref="G2:AI2" si="0">+F2+1</f>
        <v>45507</v>
      </c>
      <c r="H2" s="83">
        <f t="shared" si="0"/>
        <v>45508</v>
      </c>
      <c r="I2" s="81">
        <f t="shared" si="0"/>
        <v>45509</v>
      </c>
      <c r="J2" s="81">
        <f t="shared" si="0"/>
        <v>45510</v>
      </c>
      <c r="K2" s="81">
        <f t="shared" si="0"/>
        <v>45511</v>
      </c>
      <c r="L2" s="81">
        <f t="shared" si="0"/>
        <v>45512</v>
      </c>
      <c r="M2" s="81">
        <f t="shared" si="0"/>
        <v>45513</v>
      </c>
      <c r="N2" s="83">
        <f t="shared" si="0"/>
        <v>45514</v>
      </c>
      <c r="O2" s="83">
        <f>+N2+1</f>
        <v>45515</v>
      </c>
      <c r="P2" s="81">
        <f t="shared" si="0"/>
        <v>45516</v>
      </c>
      <c r="Q2" s="82">
        <f t="shared" si="0"/>
        <v>45517</v>
      </c>
      <c r="R2" s="82">
        <f t="shared" si="0"/>
        <v>45518</v>
      </c>
      <c r="S2" s="81">
        <f t="shared" si="0"/>
        <v>45519</v>
      </c>
      <c r="T2" s="81">
        <f t="shared" si="0"/>
        <v>45520</v>
      </c>
      <c r="U2" s="83">
        <f t="shared" si="0"/>
        <v>45521</v>
      </c>
      <c r="V2" s="83">
        <f t="shared" si="0"/>
        <v>45522</v>
      </c>
      <c r="W2" s="81">
        <f t="shared" si="0"/>
        <v>45523</v>
      </c>
      <c r="X2" s="81">
        <f t="shared" si="0"/>
        <v>45524</v>
      </c>
      <c r="Y2" s="81">
        <f t="shared" si="0"/>
        <v>45525</v>
      </c>
      <c r="Z2" s="81">
        <f t="shared" si="0"/>
        <v>45526</v>
      </c>
      <c r="AA2" s="81">
        <f t="shared" si="0"/>
        <v>45527</v>
      </c>
      <c r="AB2" s="83">
        <f t="shared" si="0"/>
        <v>45528</v>
      </c>
      <c r="AC2" s="83">
        <f t="shared" si="0"/>
        <v>45529</v>
      </c>
      <c r="AD2" s="81">
        <f t="shared" si="0"/>
        <v>45530</v>
      </c>
      <c r="AE2" s="81">
        <f t="shared" si="0"/>
        <v>45531</v>
      </c>
      <c r="AF2" s="81">
        <f t="shared" si="0"/>
        <v>45532</v>
      </c>
      <c r="AG2" s="81">
        <f t="shared" si="0"/>
        <v>45533</v>
      </c>
      <c r="AH2" s="81">
        <f t="shared" si="0"/>
        <v>45534</v>
      </c>
      <c r="AI2" s="83">
        <f t="shared" si="0"/>
        <v>45535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SUM(D4,D27)</f>
        <v>11274706.944</v>
      </c>
      <c r="E3" s="54">
        <f t="shared" si="1"/>
        <v>37048.775999999998</v>
      </c>
      <c r="F3" s="54">
        <f t="shared" si="1"/>
        <v>0</v>
      </c>
      <c r="G3" s="54">
        <f t="shared" si="1"/>
        <v>2356.9560000000001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8424</v>
      </c>
      <c r="M3" s="54">
        <f t="shared" si="1"/>
        <v>5221.2359999999999</v>
      </c>
      <c r="N3" s="54">
        <f t="shared" si="1"/>
        <v>0</v>
      </c>
      <c r="O3" s="54">
        <f t="shared" si="1"/>
        <v>0</v>
      </c>
      <c r="P3" s="54">
        <f t="shared" si="1"/>
        <v>2260.7999999999997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3093.3</v>
      </c>
      <c r="AI3" s="54">
        <f t="shared" si="1"/>
        <v>0</v>
      </c>
      <c r="AJ3" s="54">
        <f t="shared" ref="AJ3:AJ50" si="2">SUM(E3:AI3)</f>
        <v>58405.067999999999</v>
      </c>
      <c r="AK3" s="54">
        <f t="shared" ref="AK3:AK82" si="3">+D3-AJ3</f>
        <v>11216301.876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SUM(D5,D9,D26)</f>
        <v>11274706.944</v>
      </c>
      <c r="E4" s="73">
        <f>SUM(E5,E9,E26)</f>
        <v>36042.383999999998</v>
      </c>
      <c r="F4" s="73">
        <f>SUM(F5,F9,F26)</f>
        <v>0</v>
      </c>
      <c r="G4" s="77">
        <f>SUM(G5,G9,G26)</f>
        <v>2302.2240000000002</v>
      </c>
      <c r="H4" s="77">
        <f>+H5+H9+H26</f>
        <v>0</v>
      </c>
      <c r="I4" s="73">
        <f t="shared" ref="I4:AI4" si="5">SUM(I5,I9,I26)</f>
        <v>0</v>
      </c>
      <c r="J4" s="73">
        <f t="shared" si="5"/>
        <v>0</v>
      </c>
      <c r="K4" s="73">
        <f t="shared" si="5"/>
        <v>0</v>
      </c>
      <c r="L4" s="73">
        <f t="shared" si="5"/>
        <v>8424</v>
      </c>
      <c r="M4" s="73">
        <f t="shared" si="5"/>
        <v>5181.0599999999995</v>
      </c>
      <c r="N4" s="77">
        <f t="shared" si="5"/>
        <v>0</v>
      </c>
      <c r="O4" s="77">
        <f t="shared" si="5"/>
        <v>0</v>
      </c>
      <c r="P4" s="73">
        <f t="shared" si="5"/>
        <v>2260.7999999999997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7">
        <f t="shared" si="5"/>
        <v>0</v>
      </c>
      <c r="V4" s="77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3093.3</v>
      </c>
      <c r="AI4" s="77">
        <f t="shared" si="5"/>
        <v>0</v>
      </c>
      <c r="AJ4" s="57">
        <f t="shared" si="2"/>
        <v>57303.768000000004</v>
      </c>
      <c r="AK4" s="58">
        <f t="shared" si="3"/>
        <v>11217403.176000001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11274706.944</v>
      </c>
      <c r="E5" s="74">
        <f t="shared" ref="E5" si="6">SUM(E6:E8)</f>
        <v>36042.383999999998</v>
      </c>
      <c r="F5" s="74">
        <f>SUM(F6:F8)</f>
        <v>0</v>
      </c>
      <c r="G5" s="76">
        <f>SUM(G6:G8)</f>
        <v>2302.2240000000002</v>
      </c>
      <c r="H5" s="76">
        <f>+H6+H7+H8</f>
        <v>0</v>
      </c>
      <c r="I5" s="74">
        <f t="shared" ref="I5:AI5" si="7">SUM(I6:I8)</f>
        <v>0</v>
      </c>
      <c r="J5" s="74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5181.0599999999995</v>
      </c>
      <c r="N5" s="76">
        <f t="shared" si="7"/>
        <v>0</v>
      </c>
      <c r="O5" s="76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6">
        <f t="shared" si="7"/>
        <v>0</v>
      </c>
      <c r="V5" s="76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4">
        <f t="shared" si="7"/>
        <v>0</v>
      </c>
      <c r="AH5" s="74">
        <f t="shared" si="7"/>
        <v>0</v>
      </c>
      <c r="AI5" s="76">
        <f t="shared" si="7"/>
        <v>0</v>
      </c>
      <c r="AJ5" s="61">
        <f t="shared" si="2"/>
        <v>43525.667999999998</v>
      </c>
      <c r="AK5" s="62">
        <f t="shared" si="3"/>
        <v>11231181.276000001</v>
      </c>
    </row>
    <row r="6" spans="1:37" s="23" customFormat="1" ht="20.100000000000001" customHeight="1" outlineLevel="1" x14ac:dyDescent="0.3">
      <c r="B6" s="24"/>
      <c r="C6" s="25" t="s">
        <v>851</v>
      </c>
      <c r="D6" s="79">
        <v>11274706.944</v>
      </c>
      <c r="E6" s="75"/>
      <c r="F6" s="75"/>
      <c r="G6" s="78"/>
      <c r="H6" s="78"/>
      <c r="I6" s="75"/>
      <c r="J6" s="75"/>
      <c r="K6" s="75"/>
      <c r="L6" s="75"/>
      <c r="M6" s="75"/>
      <c r="N6" s="78"/>
      <c r="O6" s="78"/>
      <c r="P6" s="75"/>
      <c r="Q6" s="75"/>
      <c r="R6" s="75"/>
      <c r="S6" s="75"/>
      <c r="T6" s="75"/>
      <c r="U6" s="78"/>
      <c r="V6" s="78"/>
      <c r="W6" s="75"/>
      <c r="X6" s="75"/>
      <c r="Y6" s="75"/>
      <c r="Z6" s="75"/>
      <c r="AA6" s="75"/>
      <c r="AB6" s="78"/>
      <c r="AC6" s="78"/>
      <c r="AD6" s="75"/>
      <c r="AE6" s="75"/>
      <c r="AF6" s="75"/>
      <c r="AG6" s="75"/>
      <c r="AH6" s="75"/>
      <c r="AI6" s="78"/>
      <c r="AJ6" s="66">
        <f t="shared" si="2"/>
        <v>0</v>
      </c>
      <c r="AK6" s="67">
        <f t="shared" si="3"/>
        <v>11274706.944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Август'!$C$7,приходи!$M:$M,'ПП Август'!E2)</f>
        <v>36042.383999999998</v>
      </c>
      <c r="F7" s="74">
        <f>SUMIFS(приходи!$L:$L,приходи!$E:$E,'ПП Август'!$C$7,приходи!$M:$M,'ПП Август'!F2)</f>
        <v>0</v>
      </c>
      <c r="G7" s="76">
        <f>SUMIFS(приходи!$L:$L,приходи!$E:$E,'ПП Август'!$C$7,приходи!$M:$M,'ПП Август'!G2)</f>
        <v>0</v>
      </c>
      <c r="H7" s="76">
        <f>SUMIFS(приходи!$L:$L,приходи!$E:$E,'ПП Август'!$C$7,приходи!$M:$M,'ПП Август'!H2)</f>
        <v>0</v>
      </c>
      <c r="I7" s="74">
        <f>SUMIFS(приходи!$L:$L,приходи!$E:$E,'ПП Август'!$C$7,приходи!$M:$M,'ПП Август'!I2)</f>
        <v>0</v>
      </c>
      <c r="J7" s="74">
        <f>SUMIFS(приходи!$L:$L,приходи!$E:$E,'ПП Август'!$C$7,приходи!$M:$M,'ПП Август'!J2)</f>
        <v>0</v>
      </c>
      <c r="K7" s="74">
        <f>SUMIFS(приходи!$L:$L,приходи!$E:$E,'ПП Август'!$C$7,приходи!$M:$M,'ПП Август'!K2)</f>
        <v>0</v>
      </c>
      <c r="L7" s="74">
        <f>SUMIFS(приходи!$L:$L,приходи!$E:$E,'ПП Август'!$C$7,приходи!$M:$M,'ПП Август'!L2)</f>
        <v>0</v>
      </c>
      <c r="M7" s="74">
        <f>SUMIFS(приходи!$L:$L,приходи!$E:$E,'ПП Август'!$C$7,приходи!$M:$M,'ПП Август'!M2)</f>
        <v>0</v>
      </c>
      <c r="N7" s="76">
        <f>SUMIFS(приходи!$L:$L,приходи!$E:$E,'ПП Август'!$C$7,приходи!$M:$M,'ПП Август'!N2)</f>
        <v>0</v>
      </c>
      <c r="O7" s="76">
        <f>SUMIFS(приходи!$L:$L,приходи!$E:$E,'ПП Август'!$C$7,приходи!$M:$M,'ПП Август'!O2)</f>
        <v>0</v>
      </c>
      <c r="P7" s="74">
        <f>SUMIFS(приходи!$L:$L,приходи!$E:$E,'ПП Август'!$C$7,приходи!$M:$M,'ПП Август'!P2)</f>
        <v>0</v>
      </c>
      <c r="Q7" s="74">
        <f>SUMIFS(приходи!$L:$L,приходи!$E:$E,'ПП Август'!$C$7,приходи!$M:$M,'ПП Август'!Q2)</f>
        <v>0</v>
      </c>
      <c r="R7" s="74">
        <f>SUMIFS(приходи!$L:$L,приходи!$E:$E,'ПП Август'!$C$7,приходи!$M:$M,'ПП Август'!R2)</f>
        <v>0</v>
      </c>
      <c r="S7" s="74">
        <f>SUMIFS(приходи!$L:$L,приходи!$E:$E,'ПП Август'!$C$7,приходи!$M:$M,'ПП Август'!S2)</f>
        <v>0</v>
      </c>
      <c r="T7" s="74">
        <f>SUMIFS(приходи!$L:$L,приходи!$E:$E,'ПП Август'!$C$7,приходи!$M:$M,'ПП Август'!T2)</f>
        <v>0</v>
      </c>
      <c r="U7" s="76">
        <f>SUMIFS(приходи!$L:$L,приходи!$E:$E,'ПП Август'!$C$7,приходи!$M:$M,'ПП Август'!U2)</f>
        <v>0</v>
      </c>
      <c r="V7" s="76">
        <f>SUMIFS(приходи!$L:$L,приходи!$E:$E,'ПП Август'!$C$7,приходи!$M:$M,'ПП Август'!V2)</f>
        <v>0</v>
      </c>
      <c r="W7" s="74">
        <f>SUMIFS(приходи!$L:$L,приходи!$E:$E,'ПП Август'!$C$7,приходи!$M:$M,'ПП Август'!W2)</f>
        <v>0</v>
      </c>
      <c r="X7" s="74">
        <f>SUMIFS(приходи!$L:$L,приходи!$E:$E,'ПП Август'!$C$7,приходи!$M:$M,'ПП Август'!X2)</f>
        <v>0</v>
      </c>
      <c r="Y7" s="74">
        <f>SUMIFS(приходи!$L:$L,приходи!$E:$E,'ПП Август'!$C$7,приходи!$M:$M,'ПП Август'!Y2)</f>
        <v>0</v>
      </c>
      <c r="Z7" s="74">
        <f>SUMIFS(приходи!$L:$L,приходи!$E:$E,'ПП Август'!$C$7,приходи!$M:$M,'ПП Август'!Z2)</f>
        <v>0</v>
      </c>
      <c r="AA7" s="74">
        <f>SUMIFS(приходи!$L:$L,приходи!$E:$E,'ПП Август'!$C$7,приходи!$M:$M,'ПП Август'!AA2)</f>
        <v>0</v>
      </c>
      <c r="AB7" s="76">
        <f>SUMIFS(приходи!$L:$L,приходи!$E:$E,'ПП Август'!$C$7,приходи!$M:$M,'ПП Август'!AB2)</f>
        <v>0</v>
      </c>
      <c r="AC7" s="76">
        <f>SUMIFS(приходи!$L:$L,приходи!$E:$E,'ПП Август'!$C$7,приходи!$M:$M,'ПП Август'!AC2)</f>
        <v>0</v>
      </c>
      <c r="AD7" s="74">
        <f>SUMIFS(приходи!$L:$L,приходи!$E:$E,'ПП Август'!$C$7,приходи!$M:$M,'ПП Август'!AD2)</f>
        <v>0</v>
      </c>
      <c r="AE7" s="74">
        <f>SUMIFS(приходи!$L:$L,приходи!$E:$E,'ПП Август'!$C$7,приходи!$M:$M,'ПП Август'!AE2)</f>
        <v>0</v>
      </c>
      <c r="AF7" s="74">
        <f>SUMIFS(приходи!$L:$L,приходи!$E:$E,'ПП Август'!$C$7,приходи!$M:$M,'ПП Август'!AF2)</f>
        <v>0</v>
      </c>
      <c r="AG7" s="74">
        <f>SUMIFS(приходи!$L:$L,приходи!$E:$E,'ПП Август'!$C$7,приходи!$M:$M,'ПП Август'!AG2)</f>
        <v>0</v>
      </c>
      <c r="AH7" s="74">
        <f>SUMIFS(приходи!$L:$L,приходи!$E:$E,'ПП Август'!$C$7,приходи!$M:$M,'ПП Август'!AH2)</f>
        <v>0</v>
      </c>
      <c r="AI7" s="76">
        <f>SUMIFS(приходи!$L:$L,приходи!$E:$E,'ПП Август'!$C$7,приходи!$M:$M,'ПП Август'!AI2)</f>
        <v>0</v>
      </c>
      <c r="AJ7" s="61">
        <f t="shared" si="2"/>
        <v>36042.383999999998</v>
      </c>
      <c r="AK7" s="69">
        <f t="shared" si="3"/>
        <v>-36042.383999999998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Август'!$C$8,приходи!$M:$M,'ПП Август'!E2)</f>
        <v>0</v>
      </c>
      <c r="F8" s="74">
        <f>SUMIFS(приходи!$L:$L,приходи!$E:$E,'ПП Август'!$C$8,приходи!$M:$M,'ПП Август'!F2)</f>
        <v>0</v>
      </c>
      <c r="G8" s="76">
        <f>SUMIFS(приходи!$L:$L,приходи!$E:$E,'ПП Август'!$C$8,приходи!$M:$M,'ПП Август'!G2)</f>
        <v>2302.2240000000002</v>
      </c>
      <c r="H8" s="76">
        <f>SUMIFS(приходи!$L:$L,приходи!$E:$E,'ПП Август'!$C$8,приходи!$M:$M,'ПП Август'!H2)</f>
        <v>0</v>
      </c>
      <c r="I8" s="74">
        <f>SUMIFS(приходи!$L:$L,приходи!$E:$E,'ПП Август'!$C$8,приходи!$M:$M,'ПП Август'!I2)</f>
        <v>0</v>
      </c>
      <c r="J8" s="74">
        <f>SUMIFS(приходи!$L:$L,приходи!$E:$E,'ПП Август'!$C$8,приходи!$M:$M,'ПП Август'!J2)</f>
        <v>0</v>
      </c>
      <c r="K8" s="74">
        <f>SUMIFS(приходи!$L:$L,приходи!$E:$E,'ПП Август'!$C$8,приходи!$M:$M,'ПП Август'!K2)</f>
        <v>0</v>
      </c>
      <c r="L8" s="74">
        <f>SUMIFS(приходи!$L:$L,приходи!$E:$E,'ПП Август'!$C$8,приходи!$M:$M,'ПП Август'!L2)</f>
        <v>0</v>
      </c>
      <c r="M8" s="74">
        <f>SUMIFS(приходи!$L:$L,приходи!$E:$E,'ПП Август'!$C$8,приходи!$M:$M,'ПП Август'!M2)</f>
        <v>5181.0599999999995</v>
      </c>
      <c r="N8" s="76">
        <f>SUMIFS(приходи!$L:$L,приходи!$E:$E,'ПП Август'!$C$8,приходи!$M:$M,'ПП Август'!N2)</f>
        <v>0</v>
      </c>
      <c r="O8" s="76">
        <f>SUMIFS(приходи!$L:$L,приходи!$E:$E,'ПП Август'!$C$8,приходи!$M:$M,'ПП Август'!O2)</f>
        <v>0</v>
      </c>
      <c r="P8" s="74">
        <f>SUMIFS(приходи!$L:$L,приходи!$E:$E,'ПП Август'!$C$8,приходи!$M:$M,'ПП Август'!P2)</f>
        <v>0</v>
      </c>
      <c r="Q8" s="74">
        <f>SUMIFS(приходи!$L:$L,приходи!$E:$E,'ПП Август'!$C$8,приходи!$M:$M,'ПП Август'!Q2)</f>
        <v>0</v>
      </c>
      <c r="R8" s="74">
        <f>SUMIFS(приходи!$L:$L,приходи!$E:$E,'ПП Август'!$C$8,приходи!$M:$M,'ПП Август'!R2)</f>
        <v>0</v>
      </c>
      <c r="S8" s="74">
        <f>SUMIFS(приходи!$L:$L,приходи!$E:$E,'ПП Август'!$C$8,приходи!$M:$M,'ПП Август'!S2)</f>
        <v>0</v>
      </c>
      <c r="T8" s="74">
        <f>SUMIFS(приходи!$L:$L,приходи!$E:$E,'ПП Август'!$C$8,приходи!$M:$M,'ПП Август'!T2)</f>
        <v>0</v>
      </c>
      <c r="U8" s="76">
        <f>SUMIFS(приходи!$L:$L,приходи!$E:$E,'ПП Август'!$C$8,приходи!$M:$M,'ПП Август'!U2)</f>
        <v>0</v>
      </c>
      <c r="V8" s="76">
        <f>SUMIFS(приходи!$L:$L,приходи!$E:$E,'ПП Август'!$C$8,приходи!$M:$M,'ПП Август'!V2)</f>
        <v>0</v>
      </c>
      <c r="W8" s="74">
        <f>SUMIFS(приходи!$L:$L,приходи!$E:$E,'ПП Август'!$C$8,приходи!$M:$M,'ПП Август'!W2)</f>
        <v>0</v>
      </c>
      <c r="X8" s="74">
        <f>SUMIFS(приходи!$L:$L,приходи!$E:$E,'ПП Август'!$C$8,приходи!$M:$M,'ПП Август'!X2)</f>
        <v>0</v>
      </c>
      <c r="Y8" s="74">
        <f>SUMIFS(приходи!$L:$L,приходи!$E:$E,'ПП Август'!$C$8,приходи!$M:$M,'ПП Август'!Y2)</f>
        <v>0</v>
      </c>
      <c r="Z8" s="74">
        <f>SUMIFS(приходи!$L:$L,приходи!$E:$E,'ПП Август'!$C$8,приходи!$M:$M,'ПП Август'!Z2)</f>
        <v>0</v>
      </c>
      <c r="AA8" s="74">
        <f>SUMIFS(приходи!$L:$L,приходи!$E:$E,'ПП Август'!$C$8,приходи!$M:$M,'ПП Август'!AA2)</f>
        <v>0</v>
      </c>
      <c r="AB8" s="76">
        <f>SUMIFS(приходи!$L:$L,приходи!$E:$E,'ПП Август'!$C$8,приходи!$M:$M,'ПП Август'!AB2)</f>
        <v>0</v>
      </c>
      <c r="AC8" s="76">
        <f>SUMIFS(приходи!$L:$L,приходи!$E:$E,'ПП Август'!$C$8,приходи!$M:$M,'ПП Август'!AC2)</f>
        <v>0</v>
      </c>
      <c r="AD8" s="74">
        <f>SUMIFS(приходи!$L:$L,приходи!$E:$E,'ПП Август'!$C$8,приходи!$M:$M,'ПП Август'!AD2)</f>
        <v>0</v>
      </c>
      <c r="AE8" s="74">
        <f>SUMIFS(приходи!$L:$L,приходи!$E:$E,'ПП Август'!$C$8,приходи!$M:$M,'ПП Август'!AE2)</f>
        <v>0</v>
      </c>
      <c r="AF8" s="74">
        <f>SUMIFS(приходи!$L:$L,приходи!$E:$E,'ПП Август'!$C$8,приходи!$M:$M,'ПП Август'!AF2)</f>
        <v>0</v>
      </c>
      <c r="AG8" s="74">
        <f>SUMIFS(приходи!$L:$L,приходи!$E:$E,'ПП Август'!$C$8,приходи!$M:$M,'ПП Август'!AG2)</f>
        <v>0</v>
      </c>
      <c r="AH8" s="74">
        <f>SUMIFS(приходи!$L:$L,приходи!$E:$E,'ПП Август'!$C$8,приходи!$M:$M,'ПП Август'!AH2)</f>
        <v>0</v>
      </c>
      <c r="AI8" s="76">
        <f>SUMIFS(приходи!$L:$L,приходи!$E:$E,'ПП Август'!$C$8,приходи!$M:$M,'ПП Август'!AI2)</f>
        <v>0</v>
      </c>
      <c r="AJ8" s="61">
        <f t="shared" si="2"/>
        <v>7483.2839999999997</v>
      </c>
      <c r="AK8" s="69">
        <f t="shared" si="3"/>
        <v>-7483.2839999999997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Август'!$C$9,приходи!$M:$M,'ПП Август'!E2)</f>
        <v>0</v>
      </c>
      <c r="F9" s="74">
        <f>SUMIFS(приходи!$L:$L,приходи!$E:$E,'ПП Август'!$C$9,приходи!$M:$M,'ПП Август'!F2)</f>
        <v>0</v>
      </c>
      <c r="G9" s="76">
        <f>SUMIFS(приходи!$L:$L,приходи!$E:$E,'ПП Август'!$C$9,приходи!$M:$M,'ПП Август'!G2)</f>
        <v>0</v>
      </c>
      <c r="H9" s="76">
        <f>SUMIFS(приходи!$L:$L,приходи!$E:$E,'ПП Август'!$C$9,приходи!$M:$M,'ПП Август'!H2)</f>
        <v>0</v>
      </c>
      <c r="I9" s="74">
        <f>SUMIFS(приходи!$L:$L,приходи!$E:$E,'ПП Август'!$C$9,приходи!$M:$M,'ПП Август'!I2)</f>
        <v>0</v>
      </c>
      <c r="J9" s="74">
        <f>SUMIFS(приходи!$L:$L,приходи!$E:$E,'ПП Август'!$C$9,приходи!$M:$M,'ПП Август'!J2)</f>
        <v>0</v>
      </c>
      <c r="K9" s="74">
        <f>SUMIFS(приходи!$L:$L,приходи!$E:$E,'ПП Август'!$C$9,приходи!$M:$M,'ПП Август'!K2)</f>
        <v>0</v>
      </c>
      <c r="L9" s="74">
        <f>SUMIFS(приходи!$L:$L,приходи!$E:$E,'ПП Август'!$C$9,приходи!$M:$M,'ПП Август'!L2)</f>
        <v>8424</v>
      </c>
      <c r="M9" s="74">
        <f>SUMIFS(приходи!$L:$L,приходи!$E:$E,'ПП Август'!$C$9,приходи!$M:$M,'ПП Август'!M2)</f>
        <v>0</v>
      </c>
      <c r="N9" s="76">
        <f>SUMIFS(приходи!$L:$L,приходи!$E:$E,'ПП Август'!$C$9,приходи!$M:$M,'ПП Август'!N2)</f>
        <v>0</v>
      </c>
      <c r="O9" s="76">
        <f>SUMIFS(приходи!$L:$L,приходи!$E:$E,'ПП Август'!$C$9,приходи!$M:$M,'ПП Август'!O2)</f>
        <v>0</v>
      </c>
      <c r="P9" s="74">
        <f>SUMIFS(приходи!$L:$L,приходи!$E:$E,'ПП Август'!$C$9,приходи!$M:$M,'ПП Август'!P2)</f>
        <v>2260.7999999999997</v>
      </c>
      <c r="Q9" s="74">
        <f>SUMIFS(приходи!$L:$L,приходи!$E:$E,'ПП Август'!$C$9,приходи!$M:$M,'ПП Август'!Q2)</f>
        <v>0</v>
      </c>
      <c r="R9" s="74">
        <f>SUMIFS(приходи!$L:$L,приходи!$E:$E,'ПП Август'!$C$9,приходи!$M:$M,'ПП Август'!R2)</f>
        <v>0</v>
      </c>
      <c r="S9" s="74">
        <f>SUMIFS(приходи!$L:$L,приходи!$E:$E,'ПП Август'!$C$9,приходи!$M:$M,'ПП Август'!S2)</f>
        <v>0</v>
      </c>
      <c r="T9" s="74">
        <f>SUMIFS(приходи!$L:$L,приходи!$E:$E,'ПП Август'!$C$9,приходи!$M:$M,'ПП Август'!T2)</f>
        <v>0</v>
      </c>
      <c r="U9" s="76">
        <f>SUMIFS(приходи!$L:$L,приходи!$E:$E,'ПП Август'!$C$9,приходи!$M:$M,'ПП Август'!U2)</f>
        <v>0</v>
      </c>
      <c r="V9" s="76">
        <f>SUMIFS(приходи!$L:$L,приходи!$E:$E,'ПП Август'!$C$9,приходи!$M:$M,'ПП Август'!V2)</f>
        <v>0</v>
      </c>
      <c r="W9" s="74">
        <f>SUMIFS(приходи!$L:$L,приходи!$E:$E,'ПП Август'!$C$9,приходи!$M:$M,'ПП Август'!W2)</f>
        <v>0</v>
      </c>
      <c r="X9" s="74">
        <f>SUMIFS(приходи!$L:$L,приходи!$E:$E,'ПП Август'!$C$9,приходи!$M:$M,'ПП Август'!X2)</f>
        <v>0</v>
      </c>
      <c r="Y9" s="74">
        <f>SUMIFS(приходи!$L:$L,приходи!$E:$E,'ПП Август'!$C$9,приходи!$M:$M,'ПП Август'!Y2)</f>
        <v>0</v>
      </c>
      <c r="Z9" s="74">
        <f>SUMIFS(приходи!$L:$L,приходи!$E:$E,'ПП Август'!$C$9,приходи!$M:$M,'ПП Август'!Z2)</f>
        <v>0</v>
      </c>
      <c r="AA9" s="74">
        <f>SUMIFS(приходи!$L:$L,приходи!$E:$E,'ПП Август'!$C$9,приходи!$M:$M,'ПП Август'!AA2)</f>
        <v>0</v>
      </c>
      <c r="AB9" s="76">
        <f>SUMIFS(приходи!$L:$L,приходи!$E:$E,'ПП Август'!$C$9,приходи!$M:$M,'ПП Август'!AB2)</f>
        <v>0</v>
      </c>
      <c r="AC9" s="76">
        <f>SUMIFS(приходи!$L:$L,приходи!$E:$E,'ПП Август'!$C$9,приходи!$M:$M,'ПП Август'!AC2)</f>
        <v>0</v>
      </c>
      <c r="AD9" s="74">
        <f>SUMIFS(приходи!$L:$L,приходи!$E:$E,'ПП Август'!$C$9,приходи!$M:$M,'ПП Август'!AD2)</f>
        <v>0</v>
      </c>
      <c r="AE9" s="74">
        <f>SUMIFS(приходи!$L:$L,приходи!$E:$E,'ПП Август'!$C$9,приходи!$M:$M,'ПП Август'!AE2)</f>
        <v>0</v>
      </c>
      <c r="AF9" s="74">
        <f>SUMIFS(приходи!$L:$L,приходи!$E:$E,'ПП Август'!$C$9,приходи!$M:$M,'ПП Август'!AF2)</f>
        <v>0</v>
      </c>
      <c r="AG9" s="74">
        <f>SUMIFS(приходи!$L:$L,приходи!$E:$E,'ПП Август'!$C$9,приходи!$M:$M,'ПП Август'!AG2)</f>
        <v>0</v>
      </c>
      <c r="AH9" s="74">
        <f>SUMIFS(приходи!$L:$L,приходи!$E:$E,'ПП Август'!$C$9,приходи!$M:$M,'ПП Август'!AH2)</f>
        <v>3093.3</v>
      </c>
      <c r="AI9" s="76">
        <f>SUMIFS(приходи!$L:$L,приходи!$E:$E,'ПП Август'!$C$9,приходи!$M:$M,'ПП Август'!AI2)</f>
        <v>0</v>
      </c>
      <c r="AJ9" s="61">
        <f t="shared" si="2"/>
        <v>13778.099999999999</v>
      </c>
      <c r="AK9" s="69">
        <f t="shared" si="3"/>
        <v>-13778.099999999999</v>
      </c>
    </row>
    <row r="10" spans="1:37" s="309" customFormat="1" ht="19.5" customHeight="1" outlineLevel="1" x14ac:dyDescent="0.3">
      <c r="B10" s="310"/>
      <c r="C10" s="308" t="s">
        <v>1601</v>
      </c>
      <c r="D10" s="311"/>
      <c r="E10" s="312">
        <f>SUMIFS(приходи!$L:$L,приходи!$A:$A,'ПП Август'!$C$10,приходи!$M:$M,'ПП Август'!E2)</f>
        <v>0</v>
      </c>
      <c r="F10" s="312">
        <f>SUMIFS(приходи!$L:$L,приходи!$A:$A,'ПП Август'!$C$10,приходи!$M:$M,'ПП Август'!F2)</f>
        <v>0</v>
      </c>
      <c r="G10" s="313">
        <f>SUMIFS(приходи!$L:$L,приходи!$A:$A,'ПП Август'!$C$10,приходи!$M:$M,'ПП Август'!G2)</f>
        <v>0</v>
      </c>
      <c r="H10" s="313">
        <f>SUMIFS(приходи!$L:$L,приходи!$A:$A,'ПП Август'!$C$10,приходи!$M:$M,'ПП Август'!H2)</f>
        <v>0</v>
      </c>
      <c r="I10" s="312">
        <f>SUMIFS(приходи!$L:$L,приходи!$A:$A,'ПП Август'!$C$10,приходи!$M:$M,'ПП Август'!I2)</f>
        <v>0</v>
      </c>
      <c r="J10" s="312">
        <f>SUMIFS(приходи!$L:$L,приходи!$A:$A,'ПП Август'!$C$10,приходи!$M:$M,'ПП Август'!J2)</f>
        <v>0</v>
      </c>
      <c r="K10" s="312">
        <f>SUMIFS(приходи!$L:$L,приходи!$A:$A,'ПП Август'!$C$10,приходи!$M:$M,'ПП Август'!K2)</f>
        <v>0</v>
      </c>
      <c r="L10" s="312">
        <f>SUMIFS(приходи!$L:$L,приходи!$A:$A,'ПП Август'!$C$10,приходи!$M:$M,'ПП Август'!L2)</f>
        <v>0</v>
      </c>
      <c r="M10" s="312">
        <f>SUMIFS(приходи!$L:$L,приходи!$A:$A,'ПП Август'!$C$10,приходи!$M:$M,'ПП Август'!M2)</f>
        <v>0</v>
      </c>
      <c r="N10" s="313">
        <f>SUMIFS(приходи!$L:$L,приходи!$A:$A,'ПП Август'!$C$10,приходи!$M:$M,'ПП Август'!N2)</f>
        <v>0</v>
      </c>
      <c r="O10" s="313">
        <f>SUMIFS(приходи!$L:$L,приходи!$A:$A,'ПП Август'!$C$10,приходи!$M:$M,'ПП Август'!O2)</f>
        <v>0</v>
      </c>
      <c r="P10" s="312">
        <f>SUMIFS(приходи!$L:$L,приходи!$A:$A,'ПП Август'!$C$10,приходи!$M:$M,'ПП Август'!P2)</f>
        <v>2260.7999999999997</v>
      </c>
      <c r="Q10" s="312">
        <f>SUMIFS(приходи!$L:$L,приходи!$A:$A,'ПП Август'!$C$10,приходи!$M:$M,'ПП Август'!Q2)</f>
        <v>0</v>
      </c>
      <c r="R10" s="312">
        <f>SUMIFS(приходи!$L:$L,приходи!$A:$A,'ПП Август'!$C$10,приходи!$M:$M,'ПП Август'!R2)</f>
        <v>0</v>
      </c>
      <c r="S10" s="312">
        <f>SUMIFS(приходи!$L:$L,приходи!$A:$A,'ПП Август'!$C$10,приходи!$M:$M,'ПП Август'!S2)</f>
        <v>0</v>
      </c>
      <c r="T10" s="312">
        <f>SUMIFS(приходи!$L:$L,приходи!$A:$A,'ПП Август'!$C$10,приходи!$M:$M,'ПП Август'!T2)</f>
        <v>0</v>
      </c>
      <c r="U10" s="313">
        <f>SUMIFS(приходи!$L:$L,приходи!$A:$A,'ПП Август'!$C$10,приходи!$M:$M,'ПП Август'!U2)</f>
        <v>0</v>
      </c>
      <c r="V10" s="313">
        <f>SUMIFS(приходи!$L:$L,приходи!$A:$A,'ПП Август'!$C$10,приходи!$M:$M,'ПП Август'!V2)</f>
        <v>0</v>
      </c>
      <c r="W10" s="312">
        <f>SUMIFS(приходи!$L:$L,приходи!$A:$A,'ПП Август'!$C$10,приходи!$M:$M,'ПП Август'!W2)</f>
        <v>0</v>
      </c>
      <c r="X10" s="312">
        <f>SUMIFS(приходи!$L:$L,приходи!$A:$A,'ПП Август'!$C$10,приходи!$M:$M,'ПП Август'!X2)</f>
        <v>0</v>
      </c>
      <c r="Y10" s="312">
        <f>SUMIFS(приходи!$L:$L,приходи!$A:$A,'ПП Август'!$C$10,приходи!$M:$M,'ПП Август'!Y2)</f>
        <v>0</v>
      </c>
      <c r="Z10" s="312">
        <f>SUMIFS(приходи!$L:$L,приходи!$A:$A,'ПП Август'!$C$10,приходи!$M:$M,'ПП Август'!Z2)</f>
        <v>0</v>
      </c>
      <c r="AA10" s="312">
        <f>SUMIFS(приходи!$L:$L,приходи!$A:$A,'ПП Август'!$C$10,приходи!$M:$M,'ПП Август'!AA2)</f>
        <v>0</v>
      </c>
      <c r="AB10" s="313">
        <f>SUMIFS(приходи!$L:$L,приходи!$A:$A,'ПП Август'!$C$10,приходи!$M:$M,'ПП Август'!AB2)</f>
        <v>0</v>
      </c>
      <c r="AC10" s="313">
        <f>SUMIFS(приходи!$L:$L,приходи!$A:$A,'ПП Август'!$C$10,приходи!$M:$M,'ПП Август'!AC2)</f>
        <v>0</v>
      </c>
      <c r="AD10" s="312">
        <f>SUMIFS(приходи!$L:$L,приходи!$A:$A,'ПП Август'!$C$10,приходи!$M:$M,'ПП Август'!AD2)</f>
        <v>0</v>
      </c>
      <c r="AE10" s="312">
        <f>SUMIFS(приходи!$L:$L,приходи!$A:$A,'ПП Август'!$C$10,приходи!$M:$M,'ПП Август'!AE2)</f>
        <v>0</v>
      </c>
      <c r="AF10" s="312">
        <f>SUMIFS(приходи!$L:$L,приходи!$A:$A,'ПП Август'!$C$10,приходи!$M:$M,'ПП Август'!AF2)</f>
        <v>0</v>
      </c>
      <c r="AG10" s="312">
        <f>SUMIFS(приходи!$L:$L,приходи!$A:$A,'ПП Август'!$C$10,приходи!$M:$M,'ПП Август'!AG2)</f>
        <v>0</v>
      </c>
      <c r="AH10" s="312">
        <f>SUMIFS(приходи!$L:$L,приходи!$A:$A,'ПП Август'!$C$10,приходи!$M:$M,'ПП Август'!AH2)</f>
        <v>0</v>
      </c>
      <c r="AI10" s="313">
        <f>SUMIFS(приходи!$L:$L,приходи!$A:$A,'ПП Август'!$C$10,приходи!$M:$M,'ПП Август'!AI2)</f>
        <v>0</v>
      </c>
      <c r="AJ10" s="314">
        <f t="shared" si="2"/>
        <v>2260.7999999999997</v>
      </c>
      <c r="AK10" s="315"/>
    </row>
    <row r="11" spans="1:37" s="309" customFormat="1" ht="19.5" customHeight="1" outlineLevel="1" x14ac:dyDescent="0.3">
      <c r="B11" s="310"/>
      <c r="C11" s="308" t="s">
        <v>1182</v>
      </c>
      <c r="D11" s="311"/>
      <c r="E11" s="312">
        <f>SUMIFS(приходи!$L:$L,приходи!$A:$A,'ПП Август'!$C$11,приходи!$M:$M,'ПП Август'!E2)</f>
        <v>0</v>
      </c>
      <c r="F11" s="312">
        <f>SUMIFS(приходи!$L:$L,приходи!$A:$A,'ПП Август'!$C$11,приходи!$M:$M,'ПП Август'!F2)</f>
        <v>0</v>
      </c>
      <c r="G11" s="313">
        <f>SUMIFS(приходи!$L:$L,приходи!$A:$A,'ПП Август'!$C$11,приходи!$M:$M,'ПП Август'!G2)</f>
        <v>0</v>
      </c>
      <c r="H11" s="313">
        <f>SUMIFS(приходи!$L:$L,приходи!$A:$A,'ПП Август'!$C$11,приходи!$M:$M,'ПП Август'!H2)</f>
        <v>0</v>
      </c>
      <c r="I11" s="312">
        <f>SUMIFS(приходи!$L:$L,приходи!$A:$A,'ПП Август'!$C$11,приходи!$M:$M,'ПП Август'!I2)</f>
        <v>0</v>
      </c>
      <c r="J11" s="312">
        <f>SUMIFS(приходи!$L:$L,приходи!$A:$A,'ПП Август'!$C$11,приходи!$M:$M,'ПП Август'!J2)</f>
        <v>0</v>
      </c>
      <c r="K11" s="312">
        <f>SUMIFS(приходи!$L:$L,приходи!$A:$A,'ПП Август'!$C$11,приходи!$M:$M,'ПП Август'!K2)</f>
        <v>0</v>
      </c>
      <c r="L11" s="312">
        <f>SUMIFS(приходи!$L:$L,приходи!$A:$A,'ПП Август'!$C$11,приходи!$M:$M,'ПП Август'!L2)</f>
        <v>6240</v>
      </c>
      <c r="M11" s="312">
        <f>SUMIFS(приходи!$L:$L,приходи!$A:$A,'ПП Август'!$C$11,приходи!$M:$M,'ПП Август'!M2)</f>
        <v>0</v>
      </c>
      <c r="N11" s="313">
        <f>SUMIFS(приходи!$L:$L,приходи!$A:$A,'ПП Август'!$C$11,приходи!$M:$M,'ПП Август'!N2)</f>
        <v>0</v>
      </c>
      <c r="O11" s="313">
        <f>SUMIFS(приходи!$L:$L,приходи!$A:$A,'ПП Август'!$C$11,приходи!$M:$M,'ПП Август'!O2)</f>
        <v>0</v>
      </c>
      <c r="P11" s="312">
        <f>SUMIFS(приходи!$L:$L,приходи!$A:$A,'ПП Август'!$C$11,приходи!$M:$M,'ПП Август'!P2)</f>
        <v>0</v>
      </c>
      <c r="Q11" s="312">
        <f>SUMIFS(приходи!$L:$L,приходи!$A:$A,'ПП Август'!$C$11,приходи!$M:$M,'ПП Август'!Q2)</f>
        <v>0</v>
      </c>
      <c r="R11" s="312">
        <f>SUMIFS(приходи!$L:$L,приходи!$A:$A,'ПП Август'!$C$11,приходи!$M:$M,'ПП Август'!R2)</f>
        <v>0</v>
      </c>
      <c r="S11" s="312">
        <f>SUMIFS(приходи!$L:$L,приходи!$A:$A,'ПП Август'!$C$11,приходи!$M:$M,'ПП Август'!S2)</f>
        <v>0</v>
      </c>
      <c r="T11" s="312">
        <f>SUMIFS(приходи!$L:$L,приходи!$A:$A,'ПП Август'!$C$11,приходи!$M:$M,'ПП Август'!T2)</f>
        <v>0</v>
      </c>
      <c r="U11" s="313">
        <f>SUMIFS(приходи!$L:$L,приходи!$A:$A,'ПП Август'!$C$11,приходи!$M:$M,'ПП Август'!U2)</f>
        <v>0</v>
      </c>
      <c r="V11" s="313">
        <f>SUMIFS(приходи!$L:$L,приходи!$A:$A,'ПП Август'!$C$11,приходи!$M:$M,'ПП Август'!V2)</f>
        <v>0</v>
      </c>
      <c r="W11" s="312">
        <f>SUMIFS(приходи!$L:$L,приходи!$A:$A,'ПП Август'!$C$11,приходи!$M:$M,'ПП Август'!W2)</f>
        <v>0</v>
      </c>
      <c r="X11" s="312">
        <f>SUMIFS(приходи!$L:$L,приходи!$A:$A,'ПП Август'!$C$11,приходи!$M:$M,'ПП Август'!X2)</f>
        <v>0</v>
      </c>
      <c r="Y11" s="312">
        <f>SUMIFS(приходи!$L:$L,приходи!$A:$A,'ПП Август'!$C$11,приходи!$M:$M,'ПП Август'!Y2)</f>
        <v>0</v>
      </c>
      <c r="Z11" s="312">
        <f>SUMIFS(приходи!$L:$L,приходи!$A:$A,'ПП Август'!$C$11,приходи!$M:$M,'ПП Август'!Z2)</f>
        <v>0</v>
      </c>
      <c r="AA11" s="312">
        <f>SUMIFS(приходи!$L:$L,приходи!$A:$A,'ПП Август'!$C$11,приходи!$M:$M,'ПП Август'!AA2)</f>
        <v>0</v>
      </c>
      <c r="AB11" s="313">
        <f>SUMIFS(приходи!$L:$L,приходи!$A:$A,'ПП Август'!$C$11,приходи!$M:$M,'ПП Август'!AB2)</f>
        <v>0</v>
      </c>
      <c r="AC11" s="313">
        <f>SUMIFS(приходи!$L:$L,приходи!$A:$A,'ПП Август'!$C$11,приходи!$M:$M,'ПП Август'!AC2)</f>
        <v>0</v>
      </c>
      <c r="AD11" s="312">
        <f>SUMIFS(приходи!$L:$L,приходи!$A:$A,'ПП Август'!$C$11,приходи!$M:$M,'ПП Август'!AD2)</f>
        <v>0</v>
      </c>
      <c r="AE11" s="312">
        <f>SUMIFS(приходи!$L:$L,приходи!$A:$A,'ПП Август'!$C$11,приходи!$M:$M,'ПП Август'!AE2)</f>
        <v>0</v>
      </c>
      <c r="AF11" s="312">
        <f>SUMIFS(приходи!$L:$L,приходи!$A:$A,'ПП Август'!$C$11,приходи!$M:$M,'ПП Август'!AF2)</f>
        <v>0</v>
      </c>
      <c r="AG11" s="312">
        <f>SUMIFS(приходи!$L:$L,приходи!$A:$A,'ПП Август'!$C$11,приходи!$M:$M,'ПП Август'!AG2)</f>
        <v>0</v>
      </c>
      <c r="AH11" s="312">
        <f>SUMIFS(приходи!$L:$L,приходи!$A:$A,'ПП Август'!$C$11,приходи!$M:$M,'ПП Август'!AH2)</f>
        <v>3093.3</v>
      </c>
      <c r="AI11" s="313">
        <f>SUMIFS(приходи!$L:$L,приходи!$A:$A,'ПП Август'!$C$11,приходи!$M:$M,'ПП Август'!AI2)</f>
        <v>0</v>
      </c>
      <c r="AJ11" s="314">
        <f t="shared" si="2"/>
        <v>9333.2999999999993</v>
      </c>
      <c r="AK11" s="315"/>
    </row>
    <row r="12" spans="1:37" s="309" customFormat="1" ht="19.5" customHeight="1" outlineLevel="1" x14ac:dyDescent="0.3">
      <c r="B12" s="310"/>
      <c r="C12" s="308" t="s">
        <v>1119</v>
      </c>
      <c r="D12" s="311"/>
      <c r="E12" s="312">
        <f>SUMIFS(приходи!$L:$L,приходи!$A:$A,'ПП Август'!$C$12,приходи!$M:$M,'ПП Август'!E2)</f>
        <v>0</v>
      </c>
      <c r="F12" s="312">
        <f>SUMIFS(приходи!$L:$L,приходи!$A:$A,'ПП Август'!$C$12,приходи!$M:$M,'ПП Август'!F2)</f>
        <v>0</v>
      </c>
      <c r="G12" s="313">
        <f>SUMIFS(приходи!$L:$L,приходи!$A:$A,'ПП Август'!$C$12,приходи!$M:$M,'ПП Август'!G2)</f>
        <v>0</v>
      </c>
      <c r="H12" s="313">
        <f>SUMIFS(приходи!$L:$L,приходи!$A:$A,'ПП Август'!$C$12,приходи!$M:$M,'ПП Август'!H2)</f>
        <v>0</v>
      </c>
      <c r="I12" s="312">
        <f>SUMIFS(приходи!$L:$L,приходи!$A:$A,'ПП Август'!$C$12,приходи!$M:$M,'ПП Август'!I2)</f>
        <v>0</v>
      </c>
      <c r="J12" s="312">
        <f>SUMIFS(приходи!$L:$L,приходи!$A:$A,'ПП Август'!$C$12,приходи!$M:$M,'ПП Август'!J2)</f>
        <v>0</v>
      </c>
      <c r="K12" s="312">
        <f>SUMIFS(приходи!$L:$L,приходи!$A:$A,'ПП Август'!$C$12,приходи!$M:$M,'ПП Август'!K2)</f>
        <v>0</v>
      </c>
      <c r="L12" s="312">
        <f>SUMIFS(приходи!$L:$L,приходи!$A:$A,'ПП Август'!$C$12,приходи!$M:$M,'ПП Август'!L2)</f>
        <v>2184</v>
      </c>
      <c r="M12" s="312">
        <f>SUMIFS(приходи!$L:$L,приходи!$A:$A,'ПП Август'!$C$12,приходи!$M:$M,'ПП Август'!M2)</f>
        <v>0</v>
      </c>
      <c r="N12" s="313">
        <f>SUMIFS(приходи!$L:$L,приходи!$A:$A,'ПП Август'!$C$12,приходи!$M:$M,'ПП Август'!N2)</f>
        <v>0</v>
      </c>
      <c r="O12" s="313">
        <f>SUMIFS(приходи!$L:$L,приходи!$A:$A,'ПП Август'!$C$12,приходи!$M:$M,'ПП Август'!O2)</f>
        <v>0</v>
      </c>
      <c r="P12" s="312">
        <f>SUMIFS(приходи!$L:$L,приходи!$A:$A,'ПП Август'!$C$12,приходи!$M:$M,'ПП Август'!P2)</f>
        <v>0</v>
      </c>
      <c r="Q12" s="312">
        <f>SUMIFS(приходи!$L:$L,приходи!$A:$A,'ПП Август'!$C$12,приходи!$M:$M,'ПП Август'!Q2)</f>
        <v>0</v>
      </c>
      <c r="R12" s="312">
        <f>SUMIFS(приходи!$L:$L,приходи!$A:$A,'ПП Август'!$C$12,приходи!$M:$M,'ПП Август'!R2)</f>
        <v>0</v>
      </c>
      <c r="S12" s="312">
        <f>SUMIFS(приходи!$L:$L,приходи!$A:$A,'ПП Август'!$C$12,приходи!$M:$M,'ПП Август'!S2)</f>
        <v>0</v>
      </c>
      <c r="T12" s="312">
        <f>SUMIFS(приходи!$L:$L,приходи!$A:$A,'ПП Август'!$C$12,приходи!$M:$M,'ПП Август'!T2)</f>
        <v>0</v>
      </c>
      <c r="U12" s="313">
        <f>SUMIFS(приходи!$L:$L,приходи!$A:$A,'ПП Август'!$C$12,приходи!$M:$M,'ПП Август'!U2)</f>
        <v>0</v>
      </c>
      <c r="V12" s="313">
        <f>SUMIFS(приходи!$L:$L,приходи!$A:$A,'ПП Август'!$C$12,приходи!$M:$M,'ПП Август'!V2)</f>
        <v>0</v>
      </c>
      <c r="W12" s="312">
        <f>SUMIFS(приходи!$L:$L,приходи!$A:$A,'ПП Август'!$C$12,приходи!$M:$M,'ПП Август'!W2)</f>
        <v>0</v>
      </c>
      <c r="X12" s="312">
        <f>SUMIFS(приходи!$L:$L,приходи!$A:$A,'ПП Август'!$C$12,приходи!$M:$M,'ПП Август'!X2)</f>
        <v>0</v>
      </c>
      <c r="Y12" s="312">
        <f>SUMIFS(приходи!$L:$L,приходи!$A:$A,'ПП Август'!$C$12,приходи!$M:$M,'ПП Август'!Y2)</f>
        <v>0</v>
      </c>
      <c r="Z12" s="312">
        <f>SUMIFS(приходи!$L:$L,приходи!$A:$A,'ПП Август'!$C$12,приходи!$M:$M,'ПП Август'!Z2)</f>
        <v>0</v>
      </c>
      <c r="AA12" s="312">
        <f>SUMIFS(приходи!$L:$L,приходи!$A:$A,'ПП Август'!$C$12,приходи!$M:$M,'ПП Август'!AA2)</f>
        <v>0</v>
      </c>
      <c r="AB12" s="313">
        <f>SUMIFS(приходи!$L:$L,приходи!$A:$A,'ПП Август'!$C$12,приходи!$M:$M,'ПП Август'!AB2)</f>
        <v>0</v>
      </c>
      <c r="AC12" s="313">
        <f>SUMIFS(приходи!$L:$L,приходи!$A:$A,'ПП Август'!$C$12,приходи!$M:$M,'ПП Август'!AC2)</f>
        <v>0</v>
      </c>
      <c r="AD12" s="312">
        <f>SUMIFS(приходи!$L:$L,приходи!$A:$A,'ПП Август'!$C$12,приходи!$M:$M,'ПП Август'!AD2)</f>
        <v>0</v>
      </c>
      <c r="AE12" s="312">
        <f>SUMIFS(приходи!$L:$L,приходи!$A:$A,'ПП Август'!$C$12,приходи!$M:$M,'ПП Август'!AE2)</f>
        <v>0</v>
      </c>
      <c r="AF12" s="312">
        <f>SUMIFS(приходи!$L:$L,приходи!$A:$A,'ПП Август'!$C$12,приходи!$M:$M,'ПП Август'!AF2)</f>
        <v>0</v>
      </c>
      <c r="AG12" s="312">
        <f>SUMIFS(приходи!$L:$L,приходи!$A:$A,'ПП Август'!$C$12,приходи!$M:$M,'ПП Август'!AG2)</f>
        <v>0</v>
      </c>
      <c r="AH12" s="312">
        <f>SUMIFS(приходи!$L:$L,приходи!$A:$A,'ПП Август'!$C$12,приходи!$M:$M,'ПП Август'!AH2)</f>
        <v>0</v>
      </c>
      <c r="AI12" s="313">
        <f>SUMIFS(приходи!$L:$L,приходи!$A:$A,'ПП Август'!$C$12,приходи!$M:$M,'ПП Август'!AI2)</f>
        <v>0</v>
      </c>
      <c r="AJ12" s="314">
        <f t="shared" si="2"/>
        <v>2184</v>
      </c>
      <c r="AK12" s="315"/>
    </row>
    <row r="13" spans="1:37" s="309" customFormat="1" ht="19.5" customHeight="1" outlineLevel="1" x14ac:dyDescent="0.3">
      <c r="B13" s="310"/>
      <c r="C13" s="308" t="s">
        <v>48</v>
      </c>
      <c r="D13" s="311"/>
      <c r="E13" s="312">
        <f>SUMIFS(приходи!$L:$L,приходи!$A:$A,'ПП Август'!$C$13,приходи!$M:$M,'ПП Август'!E2)</f>
        <v>0</v>
      </c>
      <c r="F13" s="312">
        <f>SUMIFS(приходи!$L:$L,приходи!$A:$A,'ПП Август'!$C$13,приходи!$M:$M,'ПП Август'!F2)</f>
        <v>0</v>
      </c>
      <c r="G13" s="313">
        <f>SUMIFS(приходи!$L:$L,приходи!$A:$A,'ПП Август'!$C$13,приходи!$M:$M,'ПП Август'!G2)</f>
        <v>0</v>
      </c>
      <c r="H13" s="313">
        <f>SUMIFS(приходи!$L:$L,приходи!$A:$A,'ПП Август'!$C$13,приходи!$M:$M,'ПП Август'!H2)</f>
        <v>0</v>
      </c>
      <c r="I13" s="312">
        <f>SUMIFS(приходи!$L:$L,приходи!$A:$A,'ПП Август'!$C$13,приходи!$M:$M,'ПП Август'!I2)</f>
        <v>0</v>
      </c>
      <c r="J13" s="312">
        <f>SUMIFS(приходи!$L:$L,приходи!$A:$A,'ПП Август'!$C$13,приходи!$M:$M,'ПП Август'!J2)</f>
        <v>0</v>
      </c>
      <c r="K13" s="312">
        <f>SUMIFS(приходи!$L:$L,приходи!$A:$A,'ПП Август'!$C$13,приходи!$M:$M,'ПП Август'!K2)</f>
        <v>0</v>
      </c>
      <c r="L13" s="312">
        <f>SUMIFS(приходи!$L:$L,приходи!$A:$A,'ПП Август'!$C$13,приходи!$M:$M,'ПП Август'!L2)</f>
        <v>0</v>
      </c>
      <c r="M13" s="312">
        <f>SUMIFS(приходи!$L:$L,приходи!$A:$A,'ПП Август'!$C$13,приходи!$M:$M,'ПП Август'!M2)</f>
        <v>0</v>
      </c>
      <c r="N13" s="313">
        <f>SUMIFS(приходи!$L:$L,приходи!$A:$A,'ПП Август'!$C$13,приходи!$M:$M,'ПП Август'!N2)</f>
        <v>0</v>
      </c>
      <c r="O13" s="313">
        <f>SUMIFS(приходи!$L:$L,приходи!$A:$A,'ПП Август'!$C$13,приходи!$M:$M,'ПП Август'!O2)</f>
        <v>0</v>
      </c>
      <c r="P13" s="312">
        <f>SUMIFS(приходи!$L:$L,приходи!$A:$A,'ПП Август'!$C$13,приходи!$M:$M,'ПП Август'!P2)</f>
        <v>0</v>
      </c>
      <c r="Q13" s="312">
        <f>SUMIFS(приходи!$L:$L,приходи!$A:$A,'ПП Август'!$C$13,приходи!$M:$M,'ПП Август'!Q2)</f>
        <v>0</v>
      </c>
      <c r="R13" s="312">
        <f>SUMIFS(приходи!$L:$L,приходи!$A:$A,'ПП Август'!$C$13,приходи!$M:$M,'ПП Август'!R2)</f>
        <v>0</v>
      </c>
      <c r="S13" s="312">
        <f>SUMIFS(приходи!$L:$L,приходи!$A:$A,'ПП Август'!$C$13,приходи!$M:$M,'ПП Август'!S2)</f>
        <v>0</v>
      </c>
      <c r="T13" s="312">
        <f>SUMIFS(приходи!$L:$L,приходи!$A:$A,'ПП Август'!$C$13,приходи!$M:$M,'ПП Август'!T2)</f>
        <v>0</v>
      </c>
      <c r="U13" s="313">
        <f>SUMIFS(приходи!$L:$L,приходи!$A:$A,'ПП Август'!$C$13,приходи!$M:$M,'ПП Август'!U2)</f>
        <v>0</v>
      </c>
      <c r="V13" s="313">
        <f>SUMIFS(приходи!$L:$L,приходи!$A:$A,'ПП Август'!$C$13,приходи!$M:$M,'ПП Август'!V2)</f>
        <v>0</v>
      </c>
      <c r="W13" s="312">
        <f>SUMIFS(приходи!$L:$L,приходи!$A:$A,'ПП Август'!$C$13,приходи!$M:$M,'ПП Август'!W2)</f>
        <v>0</v>
      </c>
      <c r="X13" s="312">
        <f>SUMIFS(приходи!$L:$L,приходи!$A:$A,'ПП Август'!$C$13,приходи!$M:$M,'ПП Август'!X2)</f>
        <v>0</v>
      </c>
      <c r="Y13" s="312">
        <f>SUMIFS(приходи!$L:$L,приходи!$A:$A,'ПП Август'!$C$13,приходи!$M:$M,'ПП Август'!Y2)</f>
        <v>0</v>
      </c>
      <c r="Z13" s="312">
        <f>SUMIFS(приходи!$L:$L,приходи!$A:$A,'ПП Август'!$C$13,приходи!$M:$M,'ПП Август'!Z2)</f>
        <v>0</v>
      </c>
      <c r="AA13" s="312">
        <f>SUMIFS(приходи!$L:$L,приходи!$A:$A,'ПП Август'!$C$13,приходи!$M:$M,'ПП Август'!AA2)</f>
        <v>0</v>
      </c>
      <c r="AB13" s="313">
        <f>SUMIFS(приходи!$L:$L,приходи!$A:$A,'ПП Август'!$C$13,приходи!$M:$M,'ПП Август'!AB2)</f>
        <v>0</v>
      </c>
      <c r="AC13" s="313">
        <f>SUMIFS(приходи!$L:$L,приходи!$A:$A,'ПП Август'!$C$13,приходи!$M:$M,'ПП Август'!AC2)</f>
        <v>0</v>
      </c>
      <c r="AD13" s="312">
        <f>SUMIFS(приходи!$L:$L,приходи!$A:$A,'ПП Август'!$C$13,приходи!$M:$M,'ПП Август'!AD2)</f>
        <v>0</v>
      </c>
      <c r="AE13" s="312">
        <f>SUMIFS(приходи!$L:$L,приходи!$A:$A,'ПП Август'!$C$13,приходи!$M:$M,'ПП Август'!AE2)</f>
        <v>0</v>
      </c>
      <c r="AF13" s="312">
        <f>SUMIFS(приходи!$L:$L,приходи!$A:$A,'ПП Август'!$C$13,приходи!$M:$M,'ПП Август'!AF2)</f>
        <v>0</v>
      </c>
      <c r="AG13" s="312">
        <f>SUMIFS(приходи!$L:$L,приходи!$A:$A,'ПП Август'!$C$13,приходи!$M:$M,'ПП Август'!AG2)</f>
        <v>0</v>
      </c>
      <c r="AH13" s="312">
        <f>SUMIFS(приходи!$L:$L,приходи!$A:$A,'ПП Август'!$C$13,приходи!$M:$M,'ПП Август'!AH2)</f>
        <v>0</v>
      </c>
      <c r="AI13" s="313">
        <f>SUMIFS(приходи!$L:$L,приходи!$A:$A,'ПП Август'!$C$13,приходи!$M:$M,'ПП Август'!AI2)</f>
        <v>0</v>
      </c>
      <c r="AJ13" s="314">
        <f t="shared" si="2"/>
        <v>0</v>
      </c>
      <c r="AK13" s="315"/>
    </row>
    <row r="14" spans="1:37" s="309" customFormat="1" ht="19.5" customHeight="1" outlineLevel="1" x14ac:dyDescent="0.3">
      <c r="B14" s="310"/>
      <c r="C14" s="308" t="s">
        <v>1602</v>
      </c>
      <c r="D14" s="311"/>
      <c r="E14" s="312">
        <f>SUMIFS(приходи!$L:$L,приходи!$A:$A,'ПП Август'!$C$14,приходи!$M:$M,'ПП Август'!E2)</f>
        <v>0</v>
      </c>
      <c r="F14" s="312">
        <f>SUMIFS(приходи!$L:$L,приходи!$A:$A,'ПП Август'!$C$14,приходи!$M:$M,'ПП Август'!F2)</f>
        <v>0</v>
      </c>
      <c r="G14" s="313">
        <f>SUMIFS(приходи!$L:$L,приходи!$A:$A,'ПП Август'!$C$14,приходи!$M:$M,'ПП Август'!G2)</f>
        <v>0</v>
      </c>
      <c r="H14" s="313">
        <f>SUMIFS(приходи!$L:$L,приходи!$A:$A,'ПП Август'!$C$14,приходи!$M:$M,'ПП Август'!H2)</f>
        <v>0</v>
      </c>
      <c r="I14" s="312">
        <f>SUMIFS(приходи!$L:$L,приходи!$A:$A,'ПП Август'!$C$14,приходи!$M:$M,'ПП Август'!I2)</f>
        <v>0</v>
      </c>
      <c r="J14" s="312">
        <f>SUMIFS(приходи!$L:$L,приходи!$A:$A,'ПП Август'!$C$14,приходи!$M:$M,'ПП Август'!J2)</f>
        <v>0</v>
      </c>
      <c r="K14" s="312">
        <f>SUMIFS(приходи!$L:$L,приходи!$A:$A,'ПП Август'!$C$14,приходи!$M:$M,'ПП Август'!K2)</f>
        <v>0</v>
      </c>
      <c r="L14" s="312">
        <f>SUMIFS(приходи!$L:$L,приходи!$A:$A,'ПП Август'!$C$14,приходи!$M:$M,'ПП Август'!L2)</f>
        <v>0</v>
      </c>
      <c r="M14" s="312">
        <f>SUMIFS(приходи!$L:$L,приходи!$A:$A,'ПП Август'!$C$14,приходи!$M:$M,'ПП Август'!M2)</f>
        <v>0</v>
      </c>
      <c r="N14" s="313">
        <f>SUMIFS(приходи!$L:$L,приходи!$A:$A,'ПП Август'!$C$14,приходи!$M:$M,'ПП Август'!N2)</f>
        <v>0</v>
      </c>
      <c r="O14" s="313">
        <f>SUMIFS(приходи!$L:$L,приходи!$A:$A,'ПП Август'!$C$14,приходи!$M:$M,'ПП Август'!O2)</f>
        <v>0</v>
      </c>
      <c r="P14" s="312">
        <f>SUMIFS(приходи!$L:$L,приходи!$A:$A,'ПП Август'!$C$14,приходи!$M:$M,'ПП Август'!P2)</f>
        <v>0</v>
      </c>
      <c r="Q14" s="312">
        <f>SUMIFS(приходи!$L:$L,приходи!$A:$A,'ПП Август'!$C$14,приходи!$M:$M,'ПП Август'!Q2)</f>
        <v>0</v>
      </c>
      <c r="R14" s="312">
        <f>SUMIFS(приходи!$L:$L,приходи!$A:$A,'ПП Август'!$C$14,приходи!$M:$M,'ПП Август'!R2)</f>
        <v>0</v>
      </c>
      <c r="S14" s="312">
        <f>SUMIFS(приходи!$L:$L,приходи!$A:$A,'ПП Август'!$C$14,приходи!$M:$M,'ПП Август'!S2)</f>
        <v>0</v>
      </c>
      <c r="T14" s="312">
        <f>SUMIFS(приходи!$L:$L,приходи!$A:$A,'ПП Август'!$C$14,приходи!$M:$M,'ПП Август'!T2)</f>
        <v>0</v>
      </c>
      <c r="U14" s="313">
        <f>SUMIFS(приходи!$L:$L,приходи!$A:$A,'ПП Август'!$C$14,приходи!$M:$M,'ПП Август'!U2)</f>
        <v>0</v>
      </c>
      <c r="V14" s="313">
        <f>SUMIFS(приходи!$L:$L,приходи!$A:$A,'ПП Август'!$C$14,приходи!$M:$M,'ПП Август'!V2)</f>
        <v>0</v>
      </c>
      <c r="W14" s="312">
        <f>SUMIFS(приходи!$L:$L,приходи!$A:$A,'ПП Август'!$C$14,приходи!$M:$M,'ПП Август'!W2)</f>
        <v>0</v>
      </c>
      <c r="X14" s="312">
        <f>SUMIFS(приходи!$L:$L,приходи!$A:$A,'ПП Август'!$C$14,приходи!$M:$M,'ПП Август'!X2)</f>
        <v>0</v>
      </c>
      <c r="Y14" s="312">
        <f>SUMIFS(приходи!$L:$L,приходи!$A:$A,'ПП Август'!$C$14,приходи!$M:$M,'ПП Август'!Y2)</f>
        <v>0</v>
      </c>
      <c r="Z14" s="312">
        <f>SUMIFS(приходи!$L:$L,приходи!$A:$A,'ПП Август'!$C$14,приходи!$M:$M,'ПП Август'!Z2)</f>
        <v>0</v>
      </c>
      <c r="AA14" s="312">
        <f>SUMIFS(приходи!$L:$L,приходи!$A:$A,'ПП Август'!$C$14,приходи!$M:$M,'ПП Август'!AA2)</f>
        <v>0</v>
      </c>
      <c r="AB14" s="313">
        <f>SUMIFS(приходи!$L:$L,приходи!$A:$A,'ПП Август'!$C$14,приходи!$M:$M,'ПП Август'!AB2)</f>
        <v>0</v>
      </c>
      <c r="AC14" s="313">
        <f>SUMIFS(приходи!$L:$L,приходи!$A:$A,'ПП Август'!$C$14,приходи!$M:$M,'ПП Август'!AC2)</f>
        <v>0</v>
      </c>
      <c r="AD14" s="312">
        <f>SUMIFS(приходи!$L:$L,приходи!$A:$A,'ПП Август'!$C$14,приходи!$M:$M,'ПП Август'!AD2)</f>
        <v>0</v>
      </c>
      <c r="AE14" s="312">
        <f>SUMIFS(приходи!$L:$L,приходи!$A:$A,'ПП Август'!$C$14,приходи!$M:$M,'ПП Август'!AE2)</f>
        <v>0</v>
      </c>
      <c r="AF14" s="312">
        <f>SUMIFS(приходи!$L:$L,приходи!$A:$A,'ПП Август'!$C$14,приходи!$M:$M,'ПП Август'!AF2)</f>
        <v>0</v>
      </c>
      <c r="AG14" s="312">
        <f>SUMIFS(приходи!$L:$L,приходи!$A:$A,'ПП Август'!$C$14,приходи!$M:$M,'ПП Август'!AG2)</f>
        <v>0</v>
      </c>
      <c r="AH14" s="312">
        <f>SUMIFS(приходи!$L:$L,приходи!$A:$A,'ПП Август'!$C$14,приходи!$M:$M,'ПП Август'!AH2)</f>
        <v>0</v>
      </c>
      <c r="AI14" s="313">
        <f>SUMIFS(приходи!$L:$L,приходи!$A:$A,'ПП Август'!$C$14,приходи!$M:$M,'ПП Август'!AI2)</f>
        <v>0</v>
      </c>
      <c r="AJ14" s="314">
        <f t="shared" si="2"/>
        <v>0</v>
      </c>
      <c r="AK14" s="315"/>
    </row>
    <row r="15" spans="1:37" s="309" customFormat="1" ht="19.5" customHeight="1" outlineLevel="1" x14ac:dyDescent="0.3">
      <c r="B15" s="310"/>
      <c r="C15" s="308" t="s">
        <v>1603</v>
      </c>
      <c r="D15" s="311"/>
      <c r="E15" s="312">
        <f>SUMIFS(приходи!$L:$L,приходи!$A:$A,'ПП Август'!$C$15,приходи!$M:$M,'ПП Август'!E2)</f>
        <v>0</v>
      </c>
      <c r="F15" s="312">
        <f>SUMIFS(приходи!$L:$L,приходи!$A:$A,'ПП Август'!$C$15,приходи!$M:$M,'ПП Август'!F2)</f>
        <v>0</v>
      </c>
      <c r="G15" s="313">
        <f>SUMIFS(приходи!$L:$L,приходи!$A:$A,'ПП Август'!$C$15,приходи!$M:$M,'ПП Август'!G2)</f>
        <v>0</v>
      </c>
      <c r="H15" s="313">
        <f>SUMIFS(приходи!$L:$L,приходи!$A:$A,'ПП Август'!$C$15,приходи!$M:$M,'ПП Август'!H2)</f>
        <v>0</v>
      </c>
      <c r="I15" s="312">
        <f>SUMIFS(приходи!$L:$L,приходи!$A:$A,'ПП Август'!$C$15,приходи!$M:$M,'ПП Август'!I2)</f>
        <v>0</v>
      </c>
      <c r="J15" s="312">
        <f>SUMIFS(приходи!$L:$L,приходи!$A:$A,'ПП Август'!$C$15,приходи!$M:$M,'ПП Август'!J2)</f>
        <v>0</v>
      </c>
      <c r="K15" s="312">
        <f>SUMIFS(приходи!$L:$L,приходи!$A:$A,'ПП Август'!$C$15,приходи!$M:$M,'ПП Август'!K2)</f>
        <v>0</v>
      </c>
      <c r="L15" s="312">
        <f>SUMIFS(приходи!$L:$L,приходи!$A:$A,'ПП Август'!$C$15,приходи!$M:$M,'ПП Август'!L2)</f>
        <v>0</v>
      </c>
      <c r="M15" s="312">
        <f>SUMIFS(приходи!$L:$L,приходи!$A:$A,'ПП Август'!$C$15,приходи!$M:$M,'ПП Август'!M2)</f>
        <v>0</v>
      </c>
      <c r="N15" s="313">
        <f>SUMIFS(приходи!$L:$L,приходи!$A:$A,'ПП Август'!$C$15,приходи!$M:$M,'ПП Август'!N2)</f>
        <v>0</v>
      </c>
      <c r="O15" s="313">
        <f>SUMIFS(приходи!$L:$L,приходи!$A:$A,'ПП Август'!$C$15,приходи!$M:$M,'ПП Август'!O2)</f>
        <v>0</v>
      </c>
      <c r="P15" s="312">
        <f>SUMIFS(приходи!$L:$L,приходи!$A:$A,'ПП Август'!$C$15,приходи!$M:$M,'ПП Август'!P2)</f>
        <v>0</v>
      </c>
      <c r="Q15" s="312">
        <f>SUMIFS(приходи!$L:$L,приходи!$A:$A,'ПП Август'!$C$15,приходи!$M:$M,'ПП Август'!Q2)</f>
        <v>0</v>
      </c>
      <c r="R15" s="312">
        <f>SUMIFS(приходи!$L:$L,приходи!$A:$A,'ПП Август'!$C$15,приходи!$M:$M,'ПП Август'!R2)</f>
        <v>0</v>
      </c>
      <c r="S15" s="312">
        <f>SUMIFS(приходи!$L:$L,приходи!$A:$A,'ПП Август'!$C$15,приходи!$M:$M,'ПП Август'!S2)</f>
        <v>0</v>
      </c>
      <c r="T15" s="312">
        <f>SUMIFS(приходи!$L:$L,приходи!$A:$A,'ПП Август'!$C$15,приходи!$M:$M,'ПП Август'!T2)</f>
        <v>0</v>
      </c>
      <c r="U15" s="313">
        <f>SUMIFS(приходи!$L:$L,приходи!$A:$A,'ПП Август'!$C$15,приходи!$M:$M,'ПП Август'!U2)</f>
        <v>0</v>
      </c>
      <c r="V15" s="313">
        <f>SUMIFS(приходи!$L:$L,приходи!$A:$A,'ПП Август'!$C$15,приходи!$M:$M,'ПП Август'!V2)</f>
        <v>0</v>
      </c>
      <c r="W15" s="312">
        <f>SUMIFS(приходи!$L:$L,приходи!$A:$A,'ПП Август'!$C$15,приходи!$M:$M,'ПП Август'!W2)</f>
        <v>0</v>
      </c>
      <c r="X15" s="312">
        <f>SUMIFS(приходи!$L:$L,приходи!$A:$A,'ПП Август'!$C$15,приходи!$M:$M,'ПП Август'!X2)</f>
        <v>0</v>
      </c>
      <c r="Y15" s="312">
        <f>SUMIFS(приходи!$L:$L,приходи!$A:$A,'ПП Август'!$C$15,приходи!$M:$M,'ПП Август'!Y2)</f>
        <v>0</v>
      </c>
      <c r="Z15" s="312">
        <f>SUMIFS(приходи!$L:$L,приходи!$A:$A,'ПП Август'!$C$15,приходи!$M:$M,'ПП Август'!Z2)</f>
        <v>0</v>
      </c>
      <c r="AA15" s="312">
        <f>SUMIFS(приходи!$L:$L,приходи!$A:$A,'ПП Август'!$C$15,приходи!$M:$M,'ПП Август'!AA2)</f>
        <v>0</v>
      </c>
      <c r="AB15" s="313">
        <f>SUMIFS(приходи!$L:$L,приходи!$A:$A,'ПП Август'!$C$15,приходи!$M:$M,'ПП Август'!AB2)</f>
        <v>0</v>
      </c>
      <c r="AC15" s="313">
        <f>SUMIFS(приходи!$L:$L,приходи!$A:$A,'ПП Август'!$C$15,приходи!$M:$M,'ПП Август'!AC2)</f>
        <v>0</v>
      </c>
      <c r="AD15" s="312">
        <f>SUMIFS(приходи!$L:$L,приходи!$A:$A,'ПП Август'!$C$15,приходи!$M:$M,'ПП Август'!AD2)</f>
        <v>0</v>
      </c>
      <c r="AE15" s="312">
        <f>SUMIFS(приходи!$L:$L,приходи!$A:$A,'ПП Август'!$C$15,приходи!$M:$M,'ПП Август'!AE2)</f>
        <v>0</v>
      </c>
      <c r="AF15" s="312">
        <f>SUMIFS(приходи!$L:$L,приходи!$A:$A,'ПП Август'!$C$15,приходи!$M:$M,'ПП Август'!AF2)</f>
        <v>0</v>
      </c>
      <c r="AG15" s="312">
        <f>SUMIFS(приходи!$L:$L,приходи!$A:$A,'ПП Август'!$C$15,приходи!$M:$M,'ПП Август'!AG2)</f>
        <v>0</v>
      </c>
      <c r="AH15" s="312">
        <f>SUMIFS(приходи!$L:$L,приходи!$A:$A,'ПП Август'!$C$15,приходи!$M:$M,'ПП Август'!AH2)</f>
        <v>0</v>
      </c>
      <c r="AI15" s="313">
        <f>SUMIFS(приходи!$L:$L,приходи!$A:$A,'ПП Август'!$C$15,приходи!$M:$M,'ПП Август'!AI2)</f>
        <v>0</v>
      </c>
      <c r="AJ15" s="314">
        <f t="shared" si="2"/>
        <v>0</v>
      </c>
      <c r="AK15" s="315"/>
    </row>
    <row r="16" spans="1:37" s="309" customFormat="1" ht="19.5" customHeight="1" outlineLevel="1" x14ac:dyDescent="0.3">
      <c r="B16" s="310"/>
      <c r="C16" s="308" t="s">
        <v>1604</v>
      </c>
      <c r="D16" s="311"/>
      <c r="E16" s="312">
        <f>SUMIFS(приходи!$L:$L,приходи!$A:$A,'ПП Август'!$C$16,приходи!$M:$M,'ПП Август'!E2)</f>
        <v>0</v>
      </c>
      <c r="F16" s="312">
        <f>SUMIFS(приходи!$L:$L,приходи!$A:$A,'ПП Август'!$C$16,приходи!$M:$M,'ПП Август'!F2)</f>
        <v>0</v>
      </c>
      <c r="G16" s="313">
        <f>SUMIFS(приходи!$L:$L,приходи!$A:$A,'ПП Август'!$C$16,приходи!$M:$M,'ПП Август'!G2)</f>
        <v>0</v>
      </c>
      <c r="H16" s="313">
        <f>SUMIFS(приходи!$L:$L,приходи!$A:$A,'ПП Август'!$C$16,приходи!$M:$M,'ПП Август'!H2)</f>
        <v>0</v>
      </c>
      <c r="I16" s="312">
        <f>SUMIFS(приходи!$L:$L,приходи!$A:$A,'ПП Август'!$C$16,приходи!$M:$M,'ПП Август'!I2)</f>
        <v>0</v>
      </c>
      <c r="J16" s="312">
        <f>SUMIFS(приходи!$L:$L,приходи!$A:$A,'ПП Август'!$C$16,приходи!$M:$M,'ПП Август'!J2)</f>
        <v>0</v>
      </c>
      <c r="K16" s="312">
        <f>SUMIFS(приходи!$L:$L,приходи!$A:$A,'ПП Август'!$C$16,приходи!$M:$M,'ПП Август'!K2)</f>
        <v>0</v>
      </c>
      <c r="L16" s="312">
        <f>SUMIFS(приходи!$L:$L,приходи!$A:$A,'ПП Август'!$C$16,приходи!$M:$M,'ПП Август'!L2)</f>
        <v>0</v>
      </c>
      <c r="M16" s="312">
        <f>SUMIFS(приходи!$L:$L,приходи!$A:$A,'ПП Август'!$C$16,приходи!$M:$M,'ПП Август'!M2)</f>
        <v>0</v>
      </c>
      <c r="N16" s="313">
        <f>SUMIFS(приходи!$L:$L,приходи!$A:$A,'ПП Август'!$C$16,приходи!$M:$M,'ПП Август'!N2)</f>
        <v>0</v>
      </c>
      <c r="O16" s="313">
        <f>SUMIFS(приходи!$L:$L,приходи!$A:$A,'ПП Август'!$C$16,приходи!$M:$M,'ПП Август'!O2)</f>
        <v>0</v>
      </c>
      <c r="P16" s="312">
        <f>SUMIFS(приходи!$L:$L,приходи!$A:$A,'ПП Август'!$C$16,приходи!$M:$M,'ПП Август'!P2)</f>
        <v>0</v>
      </c>
      <c r="Q16" s="312">
        <f>SUMIFS(приходи!$L:$L,приходи!$A:$A,'ПП Август'!$C$16,приходи!$M:$M,'ПП Август'!Q2)</f>
        <v>0</v>
      </c>
      <c r="R16" s="312">
        <f>SUMIFS(приходи!$L:$L,приходи!$A:$A,'ПП Август'!$C$16,приходи!$M:$M,'ПП Август'!R2)</f>
        <v>0</v>
      </c>
      <c r="S16" s="312">
        <f>SUMIFS(приходи!$L:$L,приходи!$A:$A,'ПП Август'!$C$16,приходи!$M:$M,'ПП Август'!S2)</f>
        <v>0</v>
      </c>
      <c r="T16" s="312">
        <f>SUMIFS(приходи!$L:$L,приходи!$A:$A,'ПП Август'!$C$16,приходи!$M:$M,'ПП Август'!T2)</f>
        <v>0</v>
      </c>
      <c r="U16" s="313">
        <f>SUMIFS(приходи!$L:$L,приходи!$A:$A,'ПП Август'!$C$16,приходи!$M:$M,'ПП Август'!U2)</f>
        <v>0</v>
      </c>
      <c r="V16" s="313">
        <f>SUMIFS(приходи!$L:$L,приходи!$A:$A,'ПП Август'!$C$16,приходи!$M:$M,'ПП Август'!V2)</f>
        <v>0</v>
      </c>
      <c r="W16" s="312">
        <f>SUMIFS(приходи!$L:$L,приходи!$A:$A,'ПП Август'!$C$16,приходи!$M:$M,'ПП Август'!W2)</f>
        <v>0</v>
      </c>
      <c r="X16" s="312">
        <f>SUMIFS(приходи!$L:$L,приходи!$A:$A,'ПП Август'!$C$16,приходи!$M:$M,'ПП Август'!X2)</f>
        <v>0</v>
      </c>
      <c r="Y16" s="312">
        <f>SUMIFS(приходи!$L:$L,приходи!$A:$A,'ПП Август'!$C$16,приходи!$M:$M,'ПП Август'!Y2)</f>
        <v>0</v>
      </c>
      <c r="Z16" s="312">
        <f>SUMIFS(приходи!$L:$L,приходи!$A:$A,'ПП Август'!$C$16,приходи!$M:$M,'ПП Август'!Z2)</f>
        <v>0</v>
      </c>
      <c r="AA16" s="312">
        <f>SUMIFS(приходи!$L:$L,приходи!$A:$A,'ПП Август'!$C$16,приходи!$M:$M,'ПП Август'!AA2)</f>
        <v>0</v>
      </c>
      <c r="AB16" s="313">
        <f>SUMIFS(приходи!$L:$L,приходи!$A:$A,'ПП Август'!$C$16,приходи!$M:$M,'ПП Август'!AB2)</f>
        <v>0</v>
      </c>
      <c r="AC16" s="313">
        <f>SUMIFS(приходи!$L:$L,приходи!$A:$A,'ПП Август'!$C$16,приходи!$M:$M,'ПП Август'!AC2)</f>
        <v>0</v>
      </c>
      <c r="AD16" s="312">
        <f>SUMIFS(приходи!$L:$L,приходи!$A:$A,'ПП Август'!$C$16,приходи!$M:$M,'ПП Август'!AD2)</f>
        <v>0</v>
      </c>
      <c r="AE16" s="312">
        <f>SUMIFS(приходи!$L:$L,приходи!$A:$A,'ПП Август'!$C$16,приходи!$M:$M,'ПП Август'!AE2)</f>
        <v>0</v>
      </c>
      <c r="AF16" s="312">
        <f>SUMIFS(приходи!$L:$L,приходи!$A:$A,'ПП Август'!$C$16,приходи!$M:$M,'ПП Август'!AF2)</f>
        <v>0</v>
      </c>
      <c r="AG16" s="312">
        <f>SUMIFS(приходи!$L:$L,приходи!$A:$A,'ПП Август'!$C$16,приходи!$M:$M,'ПП Август'!AG2)</f>
        <v>0</v>
      </c>
      <c r="AH16" s="312">
        <f>SUMIFS(приходи!$L:$L,приходи!$A:$A,'ПП Август'!$C$16,приходи!$M:$M,'ПП Август'!AH2)</f>
        <v>0</v>
      </c>
      <c r="AI16" s="313">
        <f>SUMIFS(приходи!$L:$L,приходи!$A:$A,'ПП Август'!$C$16,приходи!$M:$M,'ПП Август'!AI2)</f>
        <v>0</v>
      </c>
      <c r="AJ16" s="314">
        <f t="shared" si="2"/>
        <v>0</v>
      </c>
      <c r="AK16" s="315"/>
    </row>
    <row r="17" spans="2:37" s="309" customFormat="1" ht="19.5" customHeight="1" outlineLevel="1" x14ac:dyDescent="0.3">
      <c r="B17" s="310"/>
      <c r="C17" s="308" t="s">
        <v>1605</v>
      </c>
      <c r="D17" s="311"/>
      <c r="E17" s="312">
        <f>SUMIFS(приходи!$L:$L,приходи!$A:$A,'ПП Август'!$C$17,приходи!$M:$M,'ПП Август'!E2)</f>
        <v>0</v>
      </c>
      <c r="F17" s="312">
        <f>SUMIFS(приходи!$L:$L,приходи!$A:$A,'ПП Август'!$C$17,приходи!$M:$M,'ПП Август'!F2)</f>
        <v>0</v>
      </c>
      <c r="G17" s="313">
        <f>SUMIFS(приходи!$L:$L,приходи!$A:$A,'ПП Август'!$C$17,приходи!$M:$M,'ПП Август'!G2)</f>
        <v>0</v>
      </c>
      <c r="H17" s="313">
        <f>SUMIFS(приходи!$L:$L,приходи!$A:$A,'ПП Август'!$C$17,приходи!$M:$M,'ПП Август'!H2)</f>
        <v>0</v>
      </c>
      <c r="I17" s="312">
        <f>SUMIFS(приходи!$L:$L,приходи!$A:$A,'ПП Август'!$C$17,приходи!$M:$M,'ПП Август'!I2)</f>
        <v>0</v>
      </c>
      <c r="J17" s="312">
        <f>SUMIFS(приходи!$L:$L,приходи!$A:$A,'ПП Август'!$C$17,приходи!$M:$M,'ПП Август'!J2)</f>
        <v>0</v>
      </c>
      <c r="K17" s="312">
        <f>SUMIFS(приходи!$L:$L,приходи!$A:$A,'ПП Август'!$C$17,приходи!$M:$M,'ПП Август'!K2)</f>
        <v>0</v>
      </c>
      <c r="L17" s="312">
        <f>SUMIFS(приходи!$L:$L,приходи!$A:$A,'ПП Август'!$C$17,приходи!$M:$M,'ПП Август'!L2)</f>
        <v>0</v>
      </c>
      <c r="M17" s="312">
        <f>SUMIFS(приходи!$L:$L,приходи!$A:$A,'ПП Август'!$C$17,приходи!$M:$M,'ПП Август'!M2)</f>
        <v>0</v>
      </c>
      <c r="N17" s="313">
        <f>SUMIFS(приходи!$L:$L,приходи!$A:$A,'ПП Август'!$C$17,приходи!$M:$M,'ПП Август'!N2)</f>
        <v>0</v>
      </c>
      <c r="O17" s="313">
        <f>SUMIFS(приходи!$L:$L,приходи!$A:$A,'ПП Август'!$C$17,приходи!$M:$M,'ПП Август'!O2)</f>
        <v>0</v>
      </c>
      <c r="P17" s="312">
        <f>SUMIFS(приходи!$L:$L,приходи!$A:$A,'ПП Август'!$C$17,приходи!$M:$M,'ПП Август'!P2)</f>
        <v>0</v>
      </c>
      <c r="Q17" s="312">
        <f>SUMIFS(приходи!$L:$L,приходи!$A:$A,'ПП Август'!$C$17,приходи!$M:$M,'ПП Август'!Q2)</f>
        <v>0</v>
      </c>
      <c r="R17" s="312">
        <f>SUMIFS(приходи!$L:$L,приходи!$A:$A,'ПП Август'!$C$17,приходи!$M:$M,'ПП Август'!R2)</f>
        <v>0</v>
      </c>
      <c r="S17" s="312">
        <f>SUMIFS(приходи!$L:$L,приходи!$A:$A,'ПП Август'!$C$17,приходи!$M:$M,'ПП Август'!S2)</f>
        <v>0</v>
      </c>
      <c r="T17" s="312">
        <f>SUMIFS(приходи!$L:$L,приходи!$A:$A,'ПП Август'!$C$17,приходи!$M:$M,'ПП Август'!T2)</f>
        <v>0</v>
      </c>
      <c r="U17" s="313">
        <f>SUMIFS(приходи!$L:$L,приходи!$A:$A,'ПП Август'!$C$17,приходи!$M:$M,'ПП Август'!U2)</f>
        <v>0</v>
      </c>
      <c r="V17" s="313">
        <f>SUMIFS(приходи!$L:$L,приходи!$A:$A,'ПП Август'!$C$17,приходи!$M:$M,'ПП Август'!V2)</f>
        <v>0</v>
      </c>
      <c r="W17" s="312">
        <f>SUMIFS(приходи!$L:$L,приходи!$A:$A,'ПП Август'!$C$17,приходи!$M:$M,'ПП Август'!W2)</f>
        <v>0</v>
      </c>
      <c r="X17" s="312">
        <f>SUMIFS(приходи!$L:$L,приходи!$A:$A,'ПП Август'!$C$17,приходи!$M:$M,'ПП Август'!X2)</f>
        <v>0</v>
      </c>
      <c r="Y17" s="312">
        <f>SUMIFS(приходи!$L:$L,приходи!$A:$A,'ПП Август'!$C$17,приходи!$M:$M,'ПП Август'!Y2)</f>
        <v>0</v>
      </c>
      <c r="Z17" s="312">
        <f>SUMIFS(приходи!$L:$L,приходи!$A:$A,'ПП Август'!$C$17,приходи!$M:$M,'ПП Август'!Z2)</f>
        <v>0</v>
      </c>
      <c r="AA17" s="312">
        <f>SUMIFS(приходи!$L:$L,приходи!$A:$A,'ПП Август'!$C$17,приходи!$M:$M,'ПП Август'!AA2)</f>
        <v>0</v>
      </c>
      <c r="AB17" s="313">
        <f>SUMIFS(приходи!$L:$L,приходи!$A:$A,'ПП Август'!$C$17,приходи!$M:$M,'ПП Август'!AB2)</f>
        <v>0</v>
      </c>
      <c r="AC17" s="313">
        <f>SUMIFS(приходи!$L:$L,приходи!$A:$A,'ПП Август'!$C$17,приходи!$M:$M,'ПП Август'!AC2)</f>
        <v>0</v>
      </c>
      <c r="AD17" s="312">
        <f>SUMIFS(приходи!$L:$L,приходи!$A:$A,'ПП Август'!$C$17,приходи!$M:$M,'ПП Август'!AD2)</f>
        <v>0</v>
      </c>
      <c r="AE17" s="312">
        <f>SUMIFS(приходи!$L:$L,приходи!$A:$A,'ПП Август'!$C$17,приходи!$M:$M,'ПП Август'!AE2)</f>
        <v>0</v>
      </c>
      <c r="AF17" s="312">
        <f>SUMIFS(приходи!$L:$L,приходи!$A:$A,'ПП Август'!$C$17,приходи!$M:$M,'ПП Август'!AF2)</f>
        <v>0</v>
      </c>
      <c r="AG17" s="312">
        <f>SUMIFS(приходи!$L:$L,приходи!$A:$A,'ПП Август'!$C$17,приходи!$M:$M,'ПП Август'!AG2)</f>
        <v>0</v>
      </c>
      <c r="AH17" s="312">
        <f>SUMIFS(приходи!$L:$L,приходи!$A:$A,'ПП Август'!$C$17,приходи!$M:$M,'ПП Август'!AH2)</f>
        <v>0</v>
      </c>
      <c r="AI17" s="313">
        <f>SUMIFS(приходи!$L:$L,приходи!$A:$A,'ПП Август'!$C$17,приходи!$M:$M,'ПП Август'!AI2)</f>
        <v>0</v>
      </c>
      <c r="AJ17" s="314">
        <f t="shared" si="2"/>
        <v>0</v>
      </c>
      <c r="AK17" s="315"/>
    </row>
    <row r="18" spans="2:37" s="309" customFormat="1" ht="19.5" customHeight="1" outlineLevel="1" x14ac:dyDescent="0.3">
      <c r="B18" s="310"/>
      <c r="C18" s="308" t="s">
        <v>37</v>
      </c>
      <c r="D18" s="311"/>
      <c r="E18" s="312">
        <f>SUMIFS(приходи!$L:$L,приходи!$A:$A,'ПП Август'!$C$18,приходи!$M:$M,'ПП Август'!E2)</f>
        <v>0</v>
      </c>
      <c r="F18" s="312">
        <f>SUMIFS(приходи!$L:$L,приходи!$A:$A,'ПП Август'!$C$18,приходи!$M:$M,'ПП Август'!F2)</f>
        <v>0</v>
      </c>
      <c r="G18" s="313">
        <f>SUMIFS(приходи!$L:$L,приходи!$A:$A,'ПП Август'!$C$18,приходи!$M:$M,'ПП Август'!G2)</f>
        <v>0</v>
      </c>
      <c r="H18" s="313">
        <f>SUMIFS(приходи!$L:$L,приходи!$A:$A,'ПП Август'!$C$18,приходи!$M:$M,'ПП Август'!H2)</f>
        <v>0</v>
      </c>
      <c r="I18" s="312">
        <f>SUMIFS(приходи!$L:$L,приходи!$A:$A,'ПП Август'!$C$18,приходи!$M:$M,'ПП Август'!I2)</f>
        <v>0</v>
      </c>
      <c r="J18" s="312">
        <f>SUMIFS(приходи!$L:$L,приходи!$A:$A,'ПП Август'!$C$18,приходи!$M:$M,'ПП Август'!J2)</f>
        <v>0</v>
      </c>
      <c r="K18" s="312">
        <f>SUMIFS(приходи!$L:$L,приходи!$A:$A,'ПП Август'!$C$18,приходи!$M:$M,'ПП Август'!K2)</f>
        <v>0</v>
      </c>
      <c r="L18" s="312">
        <f>SUMIFS(приходи!$L:$L,приходи!$A:$A,'ПП Август'!$C$18,приходи!$M:$M,'ПП Август'!L2)</f>
        <v>0</v>
      </c>
      <c r="M18" s="312">
        <f>SUMIFS(приходи!$L:$L,приходи!$A:$A,'ПП Август'!$C$18,приходи!$M:$M,'ПП Август'!M2)</f>
        <v>0</v>
      </c>
      <c r="N18" s="313">
        <f>SUMIFS(приходи!$L:$L,приходи!$A:$A,'ПП Август'!$C$18,приходи!$M:$M,'ПП Август'!N2)</f>
        <v>0</v>
      </c>
      <c r="O18" s="313">
        <f>SUMIFS(приходи!$L:$L,приходи!$A:$A,'ПП Август'!$C$18,приходи!$M:$M,'ПП Август'!O2)</f>
        <v>0</v>
      </c>
      <c r="P18" s="312">
        <f>SUMIFS(приходи!$L:$L,приходи!$A:$A,'ПП Август'!$C$18,приходи!$M:$M,'ПП Август'!P2)</f>
        <v>0</v>
      </c>
      <c r="Q18" s="312">
        <f>SUMIFS(приходи!$L:$L,приходи!$A:$A,'ПП Август'!$C$18,приходи!$M:$M,'ПП Август'!Q2)</f>
        <v>0</v>
      </c>
      <c r="R18" s="312">
        <f>SUMIFS(приходи!$L:$L,приходи!$A:$A,'ПП Август'!$C$18,приходи!$M:$M,'ПП Август'!R2)</f>
        <v>0</v>
      </c>
      <c r="S18" s="312">
        <f>SUMIFS(приходи!$L:$L,приходи!$A:$A,'ПП Август'!$C$18,приходи!$M:$M,'ПП Август'!S2)</f>
        <v>0</v>
      </c>
      <c r="T18" s="312">
        <f>SUMIFS(приходи!$L:$L,приходи!$A:$A,'ПП Август'!$C$18,приходи!$M:$M,'ПП Август'!T2)</f>
        <v>0</v>
      </c>
      <c r="U18" s="313">
        <f>SUMIFS(приходи!$L:$L,приходи!$A:$A,'ПП Август'!$C$18,приходи!$M:$M,'ПП Август'!U2)</f>
        <v>0</v>
      </c>
      <c r="V18" s="313">
        <f>SUMIFS(приходи!$L:$L,приходи!$A:$A,'ПП Август'!$C$18,приходи!$M:$M,'ПП Август'!V2)</f>
        <v>0</v>
      </c>
      <c r="W18" s="312">
        <f>SUMIFS(приходи!$L:$L,приходи!$A:$A,'ПП Август'!$C$18,приходи!$M:$M,'ПП Август'!W2)</f>
        <v>0</v>
      </c>
      <c r="X18" s="312">
        <f>SUMIFS(приходи!$L:$L,приходи!$A:$A,'ПП Август'!$C$18,приходи!$M:$M,'ПП Август'!X2)</f>
        <v>0</v>
      </c>
      <c r="Y18" s="312">
        <f>SUMIFS(приходи!$L:$L,приходи!$A:$A,'ПП Август'!$C$18,приходи!$M:$M,'ПП Август'!Y2)</f>
        <v>0</v>
      </c>
      <c r="Z18" s="312">
        <f>SUMIFS(приходи!$L:$L,приходи!$A:$A,'ПП Август'!$C$18,приходи!$M:$M,'ПП Август'!Z2)</f>
        <v>0</v>
      </c>
      <c r="AA18" s="312">
        <f>SUMIFS(приходи!$L:$L,приходи!$A:$A,'ПП Август'!$C$18,приходи!$M:$M,'ПП Август'!AA2)</f>
        <v>0</v>
      </c>
      <c r="AB18" s="313">
        <f>SUMIFS(приходи!$L:$L,приходи!$A:$A,'ПП Август'!$C$18,приходи!$M:$M,'ПП Август'!AB2)</f>
        <v>0</v>
      </c>
      <c r="AC18" s="313">
        <f>SUMIFS(приходи!$L:$L,приходи!$A:$A,'ПП Август'!$C$18,приходи!$M:$M,'ПП Август'!AC2)</f>
        <v>0</v>
      </c>
      <c r="AD18" s="312">
        <f>SUMIFS(приходи!$L:$L,приходи!$A:$A,'ПП Август'!$C$18,приходи!$M:$M,'ПП Август'!AD2)</f>
        <v>0</v>
      </c>
      <c r="AE18" s="312">
        <f>SUMIFS(приходи!$L:$L,приходи!$A:$A,'ПП Август'!$C$18,приходи!$M:$M,'ПП Август'!AE2)</f>
        <v>0</v>
      </c>
      <c r="AF18" s="312">
        <f>SUMIFS(приходи!$L:$L,приходи!$A:$A,'ПП Август'!$C$18,приходи!$M:$M,'ПП Август'!AF2)</f>
        <v>0</v>
      </c>
      <c r="AG18" s="312">
        <f>SUMIFS(приходи!$L:$L,приходи!$A:$A,'ПП Август'!$C$18,приходи!$M:$M,'ПП Август'!AG2)</f>
        <v>0</v>
      </c>
      <c r="AH18" s="312">
        <f>SUMIFS(приходи!$L:$L,приходи!$A:$A,'ПП Август'!$C$18,приходи!$M:$M,'ПП Август'!AH2)</f>
        <v>0</v>
      </c>
      <c r="AI18" s="313">
        <f>SUMIFS(приходи!$L:$L,приходи!$A:$A,'ПП Август'!$C$18,приходи!$M:$M,'ПП Август'!AI2)</f>
        <v>0</v>
      </c>
      <c r="AJ18" s="314">
        <f t="shared" si="2"/>
        <v>0</v>
      </c>
      <c r="AK18" s="315"/>
    </row>
    <row r="19" spans="2:37" s="309" customFormat="1" ht="19.5" customHeight="1" outlineLevel="1" x14ac:dyDescent="0.3">
      <c r="B19" s="310"/>
      <c r="C19" s="308" t="s">
        <v>1606</v>
      </c>
      <c r="D19" s="311"/>
      <c r="E19" s="312">
        <f>SUMIFS(приходи!$L:$L,приходи!$A:$A,'ПП Август'!$C$19,приходи!$M:$M,'ПП Август'!E2)</f>
        <v>0</v>
      </c>
      <c r="F19" s="312">
        <f>SUMIFS(приходи!$L:$L,приходи!$A:$A,'ПП Август'!$C$19,приходи!$M:$M,'ПП Август'!F2)</f>
        <v>0</v>
      </c>
      <c r="G19" s="313">
        <f>SUMIFS(приходи!$L:$L,приходи!$A:$A,'ПП Август'!$C$19,приходи!$M:$M,'ПП Август'!G2)</f>
        <v>0</v>
      </c>
      <c r="H19" s="313">
        <f>SUMIFS(приходи!$L:$L,приходи!$A:$A,'ПП Август'!$C$19,приходи!$M:$M,'ПП Август'!H2)</f>
        <v>0</v>
      </c>
      <c r="I19" s="312">
        <f>SUMIFS(приходи!$L:$L,приходи!$A:$A,'ПП Август'!$C$19,приходи!$M:$M,'ПП Август'!I2)</f>
        <v>0</v>
      </c>
      <c r="J19" s="312">
        <f>SUMIFS(приходи!$L:$L,приходи!$A:$A,'ПП Август'!$C$19,приходи!$M:$M,'ПП Август'!J2)</f>
        <v>0</v>
      </c>
      <c r="K19" s="312">
        <f>SUMIFS(приходи!$L:$L,приходи!$A:$A,'ПП Август'!$C$19,приходи!$M:$M,'ПП Август'!K2)</f>
        <v>0</v>
      </c>
      <c r="L19" s="312">
        <f>SUMIFS(приходи!$L:$L,приходи!$A:$A,'ПП Август'!$C$19,приходи!$M:$M,'ПП Август'!L2)</f>
        <v>0</v>
      </c>
      <c r="M19" s="312">
        <f>SUMIFS(приходи!$L:$L,приходи!$A:$A,'ПП Август'!$C$19,приходи!$M:$M,'ПП Август'!M2)</f>
        <v>0</v>
      </c>
      <c r="N19" s="313">
        <f>SUMIFS(приходи!$L:$L,приходи!$A:$A,'ПП Август'!$C$19,приходи!$M:$M,'ПП Август'!N2)</f>
        <v>0</v>
      </c>
      <c r="O19" s="313">
        <f>SUMIFS(приходи!$L:$L,приходи!$A:$A,'ПП Август'!$C$19,приходи!$M:$M,'ПП Август'!O2)</f>
        <v>0</v>
      </c>
      <c r="P19" s="312">
        <f>SUMIFS(приходи!$L:$L,приходи!$A:$A,'ПП Август'!$C$19,приходи!$M:$M,'ПП Август'!P2)</f>
        <v>0</v>
      </c>
      <c r="Q19" s="312">
        <f>SUMIFS(приходи!$L:$L,приходи!$A:$A,'ПП Август'!$C$19,приходи!$M:$M,'ПП Август'!Q2)</f>
        <v>0</v>
      </c>
      <c r="R19" s="312">
        <f>SUMIFS(приходи!$L:$L,приходи!$A:$A,'ПП Август'!$C$19,приходи!$M:$M,'ПП Август'!R2)</f>
        <v>0</v>
      </c>
      <c r="S19" s="312">
        <f>SUMIFS(приходи!$L:$L,приходи!$A:$A,'ПП Август'!$C$19,приходи!$M:$M,'ПП Август'!S2)</f>
        <v>0</v>
      </c>
      <c r="T19" s="312">
        <f>SUMIFS(приходи!$L:$L,приходи!$A:$A,'ПП Август'!$C$19,приходи!$M:$M,'ПП Август'!T2)</f>
        <v>0</v>
      </c>
      <c r="U19" s="313">
        <f>SUMIFS(приходи!$L:$L,приходи!$A:$A,'ПП Август'!$C$19,приходи!$M:$M,'ПП Август'!U2)</f>
        <v>0</v>
      </c>
      <c r="V19" s="313">
        <f>SUMIFS(приходи!$L:$L,приходи!$A:$A,'ПП Август'!$C$19,приходи!$M:$M,'ПП Август'!V2)</f>
        <v>0</v>
      </c>
      <c r="W19" s="312">
        <f>SUMIFS(приходи!$L:$L,приходи!$A:$A,'ПП Август'!$C$19,приходи!$M:$M,'ПП Август'!W2)</f>
        <v>0</v>
      </c>
      <c r="X19" s="312">
        <f>SUMIFS(приходи!$L:$L,приходи!$A:$A,'ПП Август'!$C$19,приходи!$M:$M,'ПП Август'!X2)</f>
        <v>0</v>
      </c>
      <c r="Y19" s="312">
        <f>SUMIFS(приходи!$L:$L,приходи!$A:$A,'ПП Август'!$C$19,приходи!$M:$M,'ПП Август'!Y2)</f>
        <v>0</v>
      </c>
      <c r="Z19" s="312">
        <f>SUMIFS(приходи!$L:$L,приходи!$A:$A,'ПП Август'!$C$19,приходи!$M:$M,'ПП Август'!Z2)</f>
        <v>0</v>
      </c>
      <c r="AA19" s="312">
        <f>SUMIFS(приходи!$L:$L,приходи!$A:$A,'ПП Август'!$C$19,приходи!$M:$M,'ПП Август'!AA2)</f>
        <v>0</v>
      </c>
      <c r="AB19" s="313">
        <f>SUMIFS(приходи!$L:$L,приходи!$A:$A,'ПП Август'!$C$19,приходи!$M:$M,'ПП Август'!AB2)</f>
        <v>0</v>
      </c>
      <c r="AC19" s="313">
        <f>SUMIFS(приходи!$L:$L,приходи!$A:$A,'ПП Август'!$C$19,приходи!$M:$M,'ПП Август'!AC2)</f>
        <v>0</v>
      </c>
      <c r="AD19" s="312">
        <f>SUMIFS(приходи!$L:$L,приходи!$A:$A,'ПП Август'!$C$19,приходи!$M:$M,'ПП Август'!AD2)</f>
        <v>0</v>
      </c>
      <c r="AE19" s="312">
        <f>SUMIFS(приходи!$L:$L,приходи!$A:$A,'ПП Август'!$C$19,приходи!$M:$M,'ПП Август'!AE2)</f>
        <v>0</v>
      </c>
      <c r="AF19" s="312">
        <f>SUMIFS(приходи!$L:$L,приходи!$A:$A,'ПП Август'!$C$19,приходи!$M:$M,'ПП Август'!AF2)</f>
        <v>0</v>
      </c>
      <c r="AG19" s="312">
        <f>SUMIFS(приходи!$L:$L,приходи!$A:$A,'ПП Август'!$C$19,приходи!$M:$M,'ПП Август'!AG2)</f>
        <v>0</v>
      </c>
      <c r="AH19" s="312">
        <f>SUMIFS(приходи!$L:$L,приходи!$A:$A,'ПП Август'!$C$19,приходи!$M:$M,'ПП Август'!AH2)</f>
        <v>0</v>
      </c>
      <c r="AI19" s="313">
        <f>SUMIFS(приходи!$L:$L,приходи!$A:$A,'ПП Август'!$C$19,приходи!$M:$M,'ПП Август'!AI2)</f>
        <v>0</v>
      </c>
      <c r="AJ19" s="314">
        <f t="shared" si="2"/>
        <v>0</v>
      </c>
      <c r="AK19" s="315"/>
    </row>
    <row r="20" spans="2:37" s="309" customFormat="1" ht="19.5" customHeight="1" outlineLevel="1" x14ac:dyDescent="0.3">
      <c r="B20" s="310"/>
      <c r="C20" s="308" t="s">
        <v>1486</v>
      </c>
      <c r="D20" s="311"/>
      <c r="E20" s="312">
        <f>SUMIFS(приходи!$L:$L,приходи!$A:$A,'ПП Август'!$C$20,приходи!$M:$M,'ПП Август'!E2)</f>
        <v>0</v>
      </c>
      <c r="F20" s="312">
        <f>SUMIFS(приходи!$L:$L,приходи!$A:$A,'ПП Август'!$C$20,приходи!$M:$M,'ПП Август'!F2)</f>
        <v>0</v>
      </c>
      <c r="G20" s="313">
        <f>SUMIFS(приходи!$L:$L,приходи!$A:$A,'ПП Август'!$C$20,приходи!$M:$M,'ПП Август'!G2)</f>
        <v>0</v>
      </c>
      <c r="H20" s="313">
        <f>SUMIFS(приходи!$L:$L,приходи!$A:$A,'ПП Август'!$C$20,приходи!$M:$M,'ПП Август'!H2)</f>
        <v>0</v>
      </c>
      <c r="I20" s="312">
        <f>SUMIFS(приходи!$L:$L,приходи!$A:$A,'ПП Август'!$C$20,приходи!$M:$M,'ПП Август'!I2)</f>
        <v>0</v>
      </c>
      <c r="J20" s="312">
        <f>SUMIFS(приходи!$L:$L,приходи!$A:$A,'ПП Август'!$C$20,приходи!$M:$M,'ПП Август'!J2)</f>
        <v>0</v>
      </c>
      <c r="K20" s="312">
        <f>SUMIFS(приходи!$L:$L,приходи!$A:$A,'ПП Август'!$C$20,приходи!$M:$M,'ПП Август'!K2)</f>
        <v>0</v>
      </c>
      <c r="L20" s="312">
        <f>SUMIFS(приходи!$L:$L,приходи!$A:$A,'ПП Август'!$C$20,приходи!$M:$M,'ПП Август'!L2)</f>
        <v>0</v>
      </c>
      <c r="M20" s="312">
        <f>SUMIFS(приходи!$L:$L,приходи!$A:$A,'ПП Август'!$C$20,приходи!$M:$M,'ПП Август'!M2)</f>
        <v>0</v>
      </c>
      <c r="N20" s="313">
        <f>SUMIFS(приходи!$L:$L,приходи!$A:$A,'ПП Август'!$C$20,приходи!$M:$M,'ПП Август'!N2)</f>
        <v>0</v>
      </c>
      <c r="O20" s="313">
        <f>SUMIFS(приходи!$L:$L,приходи!$A:$A,'ПП Август'!$C$20,приходи!$M:$M,'ПП Август'!O2)</f>
        <v>0</v>
      </c>
      <c r="P20" s="312">
        <f>SUMIFS(приходи!$L:$L,приходи!$A:$A,'ПП Август'!$C$20,приходи!$M:$M,'ПП Август'!P2)</f>
        <v>0</v>
      </c>
      <c r="Q20" s="312">
        <f>SUMIFS(приходи!$L:$L,приходи!$A:$A,'ПП Август'!$C$20,приходи!$M:$M,'ПП Август'!Q2)</f>
        <v>0</v>
      </c>
      <c r="R20" s="312">
        <f>SUMIFS(приходи!$L:$L,приходи!$A:$A,'ПП Август'!$C$20,приходи!$M:$M,'ПП Август'!R2)</f>
        <v>0</v>
      </c>
      <c r="S20" s="312">
        <f>SUMIFS(приходи!$L:$L,приходи!$A:$A,'ПП Август'!$C$20,приходи!$M:$M,'ПП Август'!S2)</f>
        <v>0</v>
      </c>
      <c r="T20" s="312">
        <f>SUMIFS(приходи!$L:$L,приходи!$A:$A,'ПП Август'!$C$20,приходи!$M:$M,'ПП Август'!T2)</f>
        <v>0</v>
      </c>
      <c r="U20" s="313">
        <f>SUMIFS(приходи!$L:$L,приходи!$A:$A,'ПП Август'!$C$20,приходи!$M:$M,'ПП Август'!U2)</f>
        <v>0</v>
      </c>
      <c r="V20" s="313">
        <f>SUMIFS(приходи!$L:$L,приходи!$A:$A,'ПП Август'!$C$20,приходи!$M:$M,'ПП Август'!V2)</f>
        <v>0</v>
      </c>
      <c r="W20" s="312">
        <f>SUMIFS(приходи!$L:$L,приходи!$A:$A,'ПП Август'!$C$20,приходи!$M:$M,'ПП Август'!W2)</f>
        <v>0</v>
      </c>
      <c r="X20" s="312">
        <f>SUMIFS(приходи!$L:$L,приходи!$A:$A,'ПП Август'!$C$20,приходи!$M:$M,'ПП Август'!X2)</f>
        <v>0</v>
      </c>
      <c r="Y20" s="312">
        <f>SUMIFS(приходи!$L:$L,приходи!$A:$A,'ПП Август'!$C$20,приходи!$M:$M,'ПП Август'!Y2)</f>
        <v>0</v>
      </c>
      <c r="Z20" s="312">
        <f>SUMIFS(приходи!$L:$L,приходи!$A:$A,'ПП Август'!$C$20,приходи!$M:$M,'ПП Август'!Z2)</f>
        <v>0</v>
      </c>
      <c r="AA20" s="312">
        <f>SUMIFS(приходи!$L:$L,приходи!$A:$A,'ПП Август'!$C$20,приходи!$M:$M,'ПП Август'!AA2)</f>
        <v>0</v>
      </c>
      <c r="AB20" s="313">
        <f>SUMIFS(приходи!$L:$L,приходи!$A:$A,'ПП Август'!$C$20,приходи!$M:$M,'ПП Август'!AB2)</f>
        <v>0</v>
      </c>
      <c r="AC20" s="313">
        <f>SUMIFS(приходи!$L:$L,приходи!$A:$A,'ПП Август'!$C$20,приходи!$M:$M,'ПП Август'!AC2)</f>
        <v>0</v>
      </c>
      <c r="AD20" s="312">
        <f>SUMIFS(приходи!$L:$L,приходи!$A:$A,'ПП Август'!$C$20,приходи!$M:$M,'ПП Август'!AD2)</f>
        <v>0</v>
      </c>
      <c r="AE20" s="312">
        <f>SUMIFS(приходи!$L:$L,приходи!$A:$A,'ПП Август'!$C$20,приходи!$M:$M,'ПП Август'!AE2)</f>
        <v>0</v>
      </c>
      <c r="AF20" s="312">
        <f>SUMIFS(приходи!$L:$L,приходи!$A:$A,'ПП Август'!$C$20,приходи!$M:$M,'ПП Август'!AF2)</f>
        <v>0</v>
      </c>
      <c r="AG20" s="312">
        <f>SUMIFS(приходи!$L:$L,приходи!$A:$A,'ПП Август'!$C$20,приходи!$M:$M,'ПП Август'!AG2)</f>
        <v>0</v>
      </c>
      <c r="AH20" s="312">
        <f>SUMIFS(приходи!$L:$L,приходи!$A:$A,'ПП Август'!$C$20,приходи!$M:$M,'ПП Август'!AH2)</f>
        <v>0</v>
      </c>
      <c r="AI20" s="313">
        <f>SUMIFS(приходи!$L:$L,приходи!$A:$A,'ПП Август'!$C$20,приходи!$M:$M,'ПП Август'!AI2)</f>
        <v>0</v>
      </c>
      <c r="AJ20" s="314">
        <f t="shared" si="2"/>
        <v>0</v>
      </c>
      <c r="AK20" s="315"/>
    </row>
    <row r="21" spans="2:37" s="309" customFormat="1" ht="19.5" customHeight="1" outlineLevel="1" x14ac:dyDescent="0.3">
      <c r="B21" s="310"/>
      <c r="C21" s="308" t="s">
        <v>105</v>
      </c>
      <c r="D21" s="311"/>
      <c r="E21" s="312">
        <f>SUMIFS(приходи!$L:$L,приходи!$A:$A,'ПП Август'!$C$21,приходи!$M:$M,'ПП Август'!E2)</f>
        <v>0</v>
      </c>
      <c r="F21" s="312">
        <f>SUMIFS(приходи!$L:$L,приходи!$A:$A,'ПП Август'!$C$21,приходи!$M:$M,'ПП Август'!F2)</f>
        <v>0</v>
      </c>
      <c r="G21" s="313">
        <f>SUMIFS(приходи!$L:$L,приходи!$A:$A,'ПП Август'!$C$21,приходи!$M:$M,'ПП Август'!G2)</f>
        <v>0</v>
      </c>
      <c r="H21" s="313">
        <f>SUMIFS(приходи!$L:$L,приходи!$A:$A,'ПП Август'!$C$21,приходи!$M:$M,'ПП Август'!H2)</f>
        <v>0</v>
      </c>
      <c r="I21" s="312">
        <f>SUMIFS(приходи!$L:$L,приходи!$A:$A,'ПП Август'!$C$21,приходи!$M:$M,'ПП Август'!I2)</f>
        <v>0</v>
      </c>
      <c r="J21" s="312">
        <f>SUMIFS(приходи!$L:$L,приходи!$A:$A,'ПП Август'!$C$21,приходи!$M:$M,'ПП Август'!J2)</f>
        <v>0</v>
      </c>
      <c r="K21" s="312">
        <f>SUMIFS(приходи!$L:$L,приходи!$A:$A,'ПП Август'!$C$21,приходи!$M:$M,'ПП Август'!K2)</f>
        <v>0</v>
      </c>
      <c r="L21" s="312">
        <f>SUMIFS(приходи!$L:$L,приходи!$A:$A,'ПП Август'!$C$21,приходи!$M:$M,'ПП Август'!L2)</f>
        <v>0</v>
      </c>
      <c r="M21" s="312">
        <f>SUMIFS(приходи!$L:$L,приходи!$A:$A,'ПП Август'!$C$21,приходи!$M:$M,'ПП Август'!M2)</f>
        <v>0</v>
      </c>
      <c r="N21" s="313">
        <f>SUMIFS(приходи!$L:$L,приходи!$A:$A,'ПП Август'!$C$21,приходи!$M:$M,'ПП Август'!N2)</f>
        <v>0</v>
      </c>
      <c r="O21" s="313">
        <f>SUMIFS(приходи!$L:$L,приходи!$A:$A,'ПП Август'!$C$21,приходи!$M:$M,'ПП Август'!O2)</f>
        <v>0</v>
      </c>
      <c r="P21" s="312">
        <f>SUMIFS(приходи!$L:$L,приходи!$A:$A,'ПП Август'!$C$21,приходи!$M:$M,'ПП Август'!P2)</f>
        <v>0</v>
      </c>
      <c r="Q21" s="312">
        <f>SUMIFS(приходи!$L:$L,приходи!$A:$A,'ПП Август'!$C$21,приходи!$M:$M,'ПП Август'!Q2)</f>
        <v>0</v>
      </c>
      <c r="R21" s="312">
        <f>SUMIFS(приходи!$L:$L,приходи!$A:$A,'ПП Август'!$C$21,приходи!$M:$M,'ПП Август'!R2)</f>
        <v>0</v>
      </c>
      <c r="S21" s="312">
        <f>SUMIFS(приходи!$L:$L,приходи!$A:$A,'ПП Август'!$C$21,приходи!$M:$M,'ПП Август'!S2)</f>
        <v>0</v>
      </c>
      <c r="T21" s="312">
        <f>SUMIFS(приходи!$L:$L,приходи!$A:$A,'ПП Август'!$C$21,приходи!$M:$M,'ПП Август'!T2)</f>
        <v>0</v>
      </c>
      <c r="U21" s="313">
        <f>SUMIFS(приходи!$L:$L,приходи!$A:$A,'ПП Август'!$C$21,приходи!$M:$M,'ПП Август'!U2)</f>
        <v>0</v>
      </c>
      <c r="V21" s="313">
        <f>SUMIFS(приходи!$L:$L,приходи!$A:$A,'ПП Август'!$C$21,приходи!$M:$M,'ПП Август'!V2)</f>
        <v>0</v>
      </c>
      <c r="W21" s="312">
        <f>SUMIFS(приходи!$L:$L,приходи!$A:$A,'ПП Август'!$C$21,приходи!$M:$M,'ПП Август'!W2)</f>
        <v>0</v>
      </c>
      <c r="X21" s="312">
        <f>SUMIFS(приходи!$L:$L,приходи!$A:$A,'ПП Август'!$C$21,приходи!$M:$M,'ПП Август'!X2)</f>
        <v>0</v>
      </c>
      <c r="Y21" s="312">
        <f>SUMIFS(приходи!$L:$L,приходи!$A:$A,'ПП Август'!$C$21,приходи!$M:$M,'ПП Август'!Y2)</f>
        <v>0</v>
      </c>
      <c r="Z21" s="312">
        <f>SUMIFS(приходи!$L:$L,приходи!$A:$A,'ПП Август'!$C$21,приходи!$M:$M,'ПП Август'!Z2)</f>
        <v>0</v>
      </c>
      <c r="AA21" s="312">
        <f>SUMIFS(приходи!$L:$L,приходи!$A:$A,'ПП Август'!$C$21,приходи!$M:$M,'ПП Август'!AA2)</f>
        <v>0</v>
      </c>
      <c r="AB21" s="313">
        <f>SUMIFS(приходи!$L:$L,приходи!$A:$A,'ПП Август'!$C$21,приходи!$M:$M,'ПП Август'!AB2)</f>
        <v>0</v>
      </c>
      <c r="AC21" s="313">
        <f>SUMIFS(приходи!$L:$L,приходи!$A:$A,'ПП Август'!$C$21,приходи!$M:$M,'ПП Август'!AC2)</f>
        <v>0</v>
      </c>
      <c r="AD21" s="312">
        <f>SUMIFS(приходи!$L:$L,приходи!$A:$A,'ПП Август'!$C$21,приходи!$M:$M,'ПП Август'!AD2)</f>
        <v>0</v>
      </c>
      <c r="AE21" s="312">
        <f>SUMIFS(приходи!$L:$L,приходи!$A:$A,'ПП Август'!$C$21,приходи!$M:$M,'ПП Август'!AE2)</f>
        <v>0</v>
      </c>
      <c r="AF21" s="312">
        <f>SUMIFS(приходи!$L:$L,приходи!$A:$A,'ПП Август'!$C$21,приходи!$M:$M,'ПП Август'!AF2)</f>
        <v>0</v>
      </c>
      <c r="AG21" s="312">
        <f>SUMIFS(приходи!$L:$L,приходи!$A:$A,'ПП Август'!$C$21,приходи!$M:$M,'ПП Август'!AG2)</f>
        <v>0</v>
      </c>
      <c r="AH21" s="312">
        <f>SUMIFS(приходи!$L:$L,приходи!$A:$A,'ПП Август'!$C$21,приходи!$M:$M,'ПП Август'!AH2)</f>
        <v>0</v>
      </c>
      <c r="AI21" s="313">
        <f>SUMIFS(приходи!$L:$L,приходи!$A:$A,'ПП Август'!$C$21,приходи!$M:$M,'ПП Август'!AI2)</f>
        <v>0</v>
      </c>
      <c r="AJ21" s="314">
        <f t="shared" si="2"/>
        <v>0</v>
      </c>
      <c r="AK21" s="315"/>
    </row>
    <row r="22" spans="2:37" s="309" customFormat="1" ht="19.5" customHeight="1" outlineLevel="1" x14ac:dyDescent="0.3">
      <c r="B22" s="310"/>
      <c r="C22" s="308" t="s">
        <v>1118</v>
      </c>
      <c r="D22" s="311"/>
      <c r="E22" s="312">
        <f>SUMIFS(приходи!$L:$L,приходи!$A:$A,'ПП Август'!$C$22,приходи!$M:$M,'ПП Август'!E2)</f>
        <v>0</v>
      </c>
      <c r="F22" s="312">
        <f>SUMIFS(приходи!$L:$L,приходи!$A:$A,'ПП Август'!$C$22,приходи!$M:$M,'ПП Август'!F2)</f>
        <v>0</v>
      </c>
      <c r="G22" s="313">
        <f>SUMIFS(приходи!$L:$L,приходи!$A:$A,'ПП Август'!$C$22,приходи!$M:$M,'ПП Август'!G2)</f>
        <v>0</v>
      </c>
      <c r="H22" s="313">
        <f>SUMIFS(приходи!$L:$L,приходи!$A:$A,'ПП Август'!$C$22,приходи!$M:$M,'ПП Август'!H2)</f>
        <v>0</v>
      </c>
      <c r="I22" s="312">
        <f>SUMIFS(приходи!$L:$L,приходи!$A:$A,'ПП Август'!$C$22,приходи!$M:$M,'ПП Август'!I2)</f>
        <v>0</v>
      </c>
      <c r="J22" s="312">
        <f>SUMIFS(приходи!$L:$L,приходи!$A:$A,'ПП Август'!$C$22,приходи!$M:$M,'ПП Август'!J2)</f>
        <v>0</v>
      </c>
      <c r="K22" s="312">
        <f>SUMIFS(приходи!$L:$L,приходи!$A:$A,'ПП Август'!$C$22,приходи!$M:$M,'ПП Август'!K2)</f>
        <v>0</v>
      </c>
      <c r="L22" s="312">
        <f>SUMIFS(приходи!$L:$L,приходи!$A:$A,'ПП Август'!$C$22,приходи!$M:$M,'ПП Август'!L2)</f>
        <v>0</v>
      </c>
      <c r="M22" s="312">
        <f>SUMIFS(приходи!$L:$L,приходи!$A:$A,'ПП Август'!$C$22,приходи!$M:$M,'ПП Август'!M2)</f>
        <v>0</v>
      </c>
      <c r="N22" s="313">
        <f>SUMIFS(приходи!$L:$L,приходи!$A:$A,'ПП Август'!$C$22,приходи!$M:$M,'ПП Август'!N2)</f>
        <v>0</v>
      </c>
      <c r="O22" s="313">
        <f>SUMIFS(приходи!$L:$L,приходи!$A:$A,'ПП Август'!$C$22,приходи!$M:$M,'ПП Август'!O2)</f>
        <v>0</v>
      </c>
      <c r="P22" s="312">
        <f>SUMIFS(приходи!$L:$L,приходи!$A:$A,'ПП Август'!$C$22,приходи!$M:$M,'ПП Август'!P2)</f>
        <v>0</v>
      </c>
      <c r="Q22" s="312">
        <f>SUMIFS(приходи!$L:$L,приходи!$A:$A,'ПП Август'!$C$22,приходи!$M:$M,'ПП Август'!Q2)</f>
        <v>0</v>
      </c>
      <c r="R22" s="312">
        <f>SUMIFS(приходи!$L:$L,приходи!$A:$A,'ПП Август'!$C$22,приходи!$M:$M,'ПП Август'!R2)</f>
        <v>0</v>
      </c>
      <c r="S22" s="312">
        <f>SUMIFS(приходи!$L:$L,приходи!$A:$A,'ПП Август'!$C$22,приходи!$M:$M,'ПП Август'!S2)</f>
        <v>0</v>
      </c>
      <c r="T22" s="312">
        <f>SUMIFS(приходи!$L:$L,приходи!$A:$A,'ПП Август'!$C$22,приходи!$M:$M,'ПП Август'!T2)</f>
        <v>0</v>
      </c>
      <c r="U22" s="313">
        <f>SUMIFS(приходи!$L:$L,приходи!$A:$A,'ПП Август'!$C$22,приходи!$M:$M,'ПП Август'!U2)</f>
        <v>0</v>
      </c>
      <c r="V22" s="313">
        <f>SUMIFS(приходи!$L:$L,приходи!$A:$A,'ПП Август'!$C$22,приходи!$M:$M,'ПП Август'!V2)</f>
        <v>0</v>
      </c>
      <c r="W22" s="312">
        <f>SUMIFS(приходи!$L:$L,приходи!$A:$A,'ПП Август'!$C$22,приходи!$M:$M,'ПП Август'!W2)</f>
        <v>0</v>
      </c>
      <c r="X22" s="312">
        <f>SUMIFS(приходи!$L:$L,приходи!$A:$A,'ПП Август'!$C$22,приходи!$M:$M,'ПП Август'!X2)</f>
        <v>0</v>
      </c>
      <c r="Y22" s="312">
        <f>SUMIFS(приходи!$L:$L,приходи!$A:$A,'ПП Август'!$C$22,приходи!$M:$M,'ПП Август'!Y2)</f>
        <v>0</v>
      </c>
      <c r="Z22" s="312">
        <f>SUMIFS(приходи!$L:$L,приходи!$A:$A,'ПП Август'!$C$22,приходи!$M:$M,'ПП Август'!Z2)</f>
        <v>0</v>
      </c>
      <c r="AA22" s="312">
        <f>SUMIFS(приходи!$L:$L,приходи!$A:$A,'ПП Август'!$C$22,приходи!$M:$M,'ПП Август'!AA2)</f>
        <v>0</v>
      </c>
      <c r="AB22" s="313">
        <f>SUMIFS(приходи!$L:$L,приходи!$A:$A,'ПП Август'!$C$22,приходи!$M:$M,'ПП Август'!AB2)</f>
        <v>0</v>
      </c>
      <c r="AC22" s="313">
        <f>SUMIFS(приходи!$L:$L,приходи!$A:$A,'ПП Август'!$C$22,приходи!$M:$M,'ПП Август'!AC2)</f>
        <v>0</v>
      </c>
      <c r="AD22" s="312">
        <f>SUMIFS(приходи!$L:$L,приходи!$A:$A,'ПП Август'!$C$22,приходи!$M:$M,'ПП Август'!AD2)</f>
        <v>0</v>
      </c>
      <c r="AE22" s="312">
        <f>SUMIFS(приходи!$L:$L,приходи!$A:$A,'ПП Август'!$C$22,приходи!$M:$M,'ПП Август'!AE2)</f>
        <v>0</v>
      </c>
      <c r="AF22" s="312">
        <f>SUMIFS(приходи!$L:$L,приходи!$A:$A,'ПП Август'!$C$22,приходи!$M:$M,'ПП Август'!AF2)</f>
        <v>0</v>
      </c>
      <c r="AG22" s="312">
        <f>SUMIFS(приходи!$L:$L,приходи!$A:$A,'ПП Август'!$C$22,приходи!$M:$M,'ПП Август'!AG2)</f>
        <v>0</v>
      </c>
      <c r="AH22" s="312">
        <f>SUMIFS(приходи!$L:$L,приходи!$A:$A,'ПП Август'!$C$22,приходи!$M:$M,'ПП Август'!AH2)</f>
        <v>0</v>
      </c>
      <c r="AI22" s="313">
        <f>SUMIFS(приходи!$L:$L,приходи!$A:$A,'ПП Август'!$C$22,приходи!$M:$M,'ПП Август'!AI2)</f>
        <v>0</v>
      </c>
      <c r="AJ22" s="314">
        <f t="shared" si="2"/>
        <v>0</v>
      </c>
      <c r="AK22" s="315"/>
    </row>
    <row r="23" spans="2:37" s="309" customFormat="1" ht="19.5" customHeight="1" outlineLevel="1" x14ac:dyDescent="0.3">
      <c r="B23" s="310"/>
      <c r="C23" s="308" t="s">
        <v>45</v>
      </c>
      <c r="D23" s="311"/>
      <c r="E23" s="312">
        <f>SUMIFS(приходи!$L:$L,приходи!$A:$A,'ПП Август'!$C$23,приходи!$M:$M,'ПП Август'!E2)</f>
        <v>0</v>
      </c>
      <c r="F23" s="312">
        <f>SUMIFS(приходи!$L:$L,приходи!$A:$A,'ПП Август'!$C$23,приходи!$M:$M,'ПП Август'!F2)</f>
        <v>0</v>
      </c>
      <c r="G23" s="313">
        <f>SUMIFS(приходи!$L:$L,приходи!$A:$A,'ПП Август'!$C$23,приходи!$M:$M,'ПП Август'!G2)</f>
        <v>0</v>
      </c>
      <c r="H23" s="313">
        <f>SUMIFS(приходи!$L:$L,приходи!$A:$A,'ПП Август'!$C$23,приходи!$M:$M,'ПП Август'!H2)</f>
        <v>0</v>
      </c>
      <c r="I23" s="312">
        <f>SUMIFS(приходи!$L:$L,приходи!$A:$A,'ПП Август'!$C$23,приходи!$M:$M,'ПП Август'!I2)</f>
        <v>0</v>
      </c>
      <c r="J23" s="312">
        <f>SUMIFS(приходи!$L:$L,приходи!$A:$A,'ПП Август'!$C$23,приходи!$M:$M,'ПП Август'!J2)</f>
        <v>0</v>
      </c>
      <c r="K23" s="312">
        <f>SUMIFS(приходи!$L:$L,приходи!$A:$A,'ПП Август'!$C$23,приходи!$M:$M,'ПП Август'!K2)</f>
        <v>0</v>
      </c>
      <c r="L23" s="312">
        <f>SUMIFS(приходи!$L:$L,приходи!$A:$A,'ПП Август'!$C$23,приходи!$M:$M,'ПП Август'!L2)</f>
        <v>0</v>
      </c>
      <c r="M23" s="312">
        <f>SUMIFS(приходи!$L:$L,приходи!$A:$A,'ПП Август'!$C$23,приходи!$M:$M,'ПП Август'!M2)</f>
        <v>0</v>
      </c>
      <c r="N23" s="313">
        <f>SUMIFS(приходи!$L:$L,приходи!$A:$A,'ПП Август'!$C$23,приходи!$M:$M,'ПП Август'!N2)</f>
        <v>0</v>
      </c>
      <c r="O23" s="313">
        <f>SUMIFS(приходи!$L:$L,приходи!$A:$A,'ПП Август'!$C$23,приходи!$M:$M,'ПП Август'!O2)</f>
        <v>0</v>
      </c>
      <c r="P23" s="312">
        <f>SUMIFS(приходи!$L:$L,приходи!$A:$A,'ПП Август'!$C$23,приходи!$M:$M,'ПП Август'!P2)</f>
        <v>0</v>
      </c>
      <c r="Q23" s="312">
        <f>SUMIFS(приходи!$L:$L,приходи!$A:$A,'ПП Август'!$C$23,приходи!$M:$M,'ПП Август'!Q2)</f>
        <v>0</v>
      </c>
      <c r="R23" s="312">
        <f>SUMIFS(приходи!$L:$L,приходи!$A:$A,'ПП Август'!$C$23,приходи!$M:$M,'ПП Август'!R2)</f>
        <v>0</v>
      </c>
      <c r="S23" s="312">
        <f>SUMIFS(приходи!$L:$L,приходи!$A:$A,'ПП Август'!$C$23,приходи!$M:$M,'ПП Август'!S2)</f>
        <v>0</v>
      </c>
      <c r="T23" s="312">
        <f>SUMIFS(приходи!$L:$L,приходи!$A:$A,'ПП Август'!$C$23,приходи!$M:$M,'ПП Август'!T2)</f>
        <v>0</v>
      </c>
      <c r="U23" s="313">
        <f>SUMIFS(приходи!$L:$L,приходи!$A:$A,'ПП Август'!$C$23,приходи!$M:$M,'ПП Август'!U2)</f>
        <v>0</v>
      </c>
      <c r="V23" s="313">
        <f>SUMIFS(приходи!$L:$L,приходи!$A:$A,'ПП Август'!$C$23,приходи!$M:$M,'ПП Август'!V2)</f>
        <v>0</v>
      </c>
      <c r="W23" s="312">
        <f>SUMIFS(приходи!$L:$L,приходи!$A:$A,'ПП Август'!$C$23,приходи!$M:$M,'ПП Август'!W2)</f>
        <v>0</v>
      </c>
      <c r="X23" s="312">
        <f>SUMIFS(приходи!$L:$L,приходи!$A:$A,'ПП Август'!$C$23,приходи!$M:$M,'ПП Август'!X2)</f>
        <v>0</v>
      </c>
      <c r="Y23" s="312">
        <f>SUMIFS(приходи!$L:$L,приходи!$A:$A,'ПП Август'!$C$23,приходи!$M:$M,'ПП Август'!Y2)</f>
        <v>0</v>
      </c>
      <c r="Z23" s="312">
        <f>SUMIFS(приходи!$L:$L,приходи!$A:$A,'ПП Август'!$C$23,приходи!$M:$M,'ПП Август'!Z2)</f>
        <v>0</v>
      </c>
      <c r="AA23" s="312">
        <f>SUMIFS(приходи!$L:$L,приходи!$A:$A,'ПП Август'!$C$23,приходи!$M:$M,'ПП Август'!AA2)</f>
        <v>0</v>
      </c>
      <c r="AB23" s="313">
        <f>SUMIFS(приходи!$L:$L,приходи!$A:$A,'ПП Август'!$C$23,приходи!$M:$M,'ПП Август'!AB2)</f>
        <v>0</v>
      </c>
      <c r="AC23" s="313">
        <f>SUMIFS(приходи!$L:$L,приходи!$A:$A,'ПП Август'!$C$23,приходи!$M:$M,'ПП Август'!AC2)</f>
        <v>0</v>
      </c>
      <c r="AD23" s="312">
        <f>SUMIFS(приходи!$L:$L,приходи!$A:$A,'ПП Август'!$C$23,приходи!$M:$M,'ПП Август'!AD2)</f>
        <v>0</v>
      </c>
      <c r="AE23" s="312">
        <f>SUMIFS(приходи!$L:$L,приходи!$A:$A,'ПП Август'!$C$23,приходи!$M:$M,'ПП Август'!AE2)</f>
        <v>0</v>
      </c>
      <c r="AF23" s="312">
        <f>SUMIFS(приходи!$L:$L,приходи!$A:$A,'ПП Август'!$C$23,приходи!$M:$M,'ПП Август'!AF2)</f>
        <v>0</v>
      </c>
      <c r="AG23" s="312">
        <f>SUMIFS(приходи!$L:$L,приходи!$A:$A,'ПП Август'!$C$23,приходи!$M:$M,'ПП Август'!AG2)</f>
        <v>0</v>
      </c>
      <c r="AH23" s="312">
        <f>SUMIFS(приходи!$L:$L,приходи!$A:$A,'ПП Август'!$C$23,приходи!$M:$M,'ПП Август'!AH2)</f>
        <v>0</v>
      </c>
      <c r="AI23" s="313">
        <f>SUMIFS(приходи!$L:$L,приходи!$A:$A,'ПП Август'!$C$23,приходи!$M:$M,'ПП Август'!AI2)</f>
        <v>0</v>
      </c>
      <c r="AJ23" s="314">
        <f t="shared" si="2"/>
        <v>0</v>
      </c>
      <c r="AK23" s="315"/>
    </row>
    <row r="24" spans="2:37" s="309" customFormat="1" ht="19.5" customHeight="1" outlineLevel="1" x14ac:dyDescent="0.3">
      <c r="B24" s="310"/>
      <c r="C24" s="308" t="s">
        <v>101</v>
      </c>
      <c r="D24" s="311"/>
      <c r="E24" s="312">
        <f>SUMIFS(приходи!$L:$L,приходи!$A:$A,'ПП Август'!$C$24,приходи!$M:$M,'ПП Август'!E2)</f>
        <v>0</v>
      </c>
      <c r="F24" s="312">
        <f>SUMIFS(приходи!$L:$L,приходи!$A:$A,'ПП Август'!$C$24,приходи!$M:$M,'ПП Август'!F2)</f>
        <v>0</v>
      </c>
      <c r="G24" s="313">
        <f>SUMIFS(приходи!$L:$L,приходи!$A:$A,'ПП Август'!$C$24,приходи!$M:$M,'ПП Август'!G2)</f>
        <v>0</v>
      </c>
      <c r="H24" s="313">
        <f>SUMIFS(приходи!$L:$L,приходи!$A:$A,'ПП Август'!$C$24,приходи!$M:$M,'ПП Август'!H2)</f>
        <v>0</v>
      </c>
      <c r="I24" s="312">
        <f>SUMIFS(приходи!$L:$L,приходи!$A:$A,'ПП Август'!$C$24,приходи!$M:$M,'ПП Август'!I2)</f>
        <v>0</v>
      </c>
      <c r="J24" s="312">
        <f>SUMIFS(приходи!$L:$L,приходи!$A:$A,'ПП Август'!$C$24,приходи!$M:$M,'ПП Август'!J2)</f>
        <v>0</v>
      </c>
      <c r="K24" s="312">
        <f>SUMIFS(приходи!$L:$L,приходи!$A:$A,'ПП Август'!$C$24,приходи!$M:$M,'ПП Август'!K2)</f>
        <v>0</v>
      </c>
      <c r="L24" s="312">
        <f>SUMIFS(приходи!$L:$L,приходи!$A:$A,'ПП Август'!$C$24,приходи!$M:$M,'ПП Август'!L2)</f>
        <v>0</v>
      </c>
      <c r="M24" s="312">
        <f>SUMIFS(приходи!$L:$L,приходи!$A:$A,'ПП Август'!$C$24,приходи!$M:$M,'ПП Август'!M2)</f>
        <v>0</v>
      </c>
      <c r="N24" s="313">
        <f>SUMIFS(приходи!$L:$L,приходи!$A:$A,'ПП Август'!$C$24,приходи!$M:$M,'ПП Август'!N2)</f>
        <v>0</v>
      </c>
      <c r="O24" s="313">
        <f>SUMIFS(приходи!$L:$L,приходи!$A:$A,'ПП Август'!$C$24,приходи!$M:$M,'ПП Август'!O2)</f>
        <v>0</v>
      </c>
      <c r="P24" s="312">
        <f>SUMIFS(приходи!$L:$L,приходи!$A:$A,'ПП Август'!$C$24,приходи!$M:$M,'ПП Август'!P2)</f>
        <v>0</v>
      </c>
      <c r="Q24" s="312">
        <f>SUMIFS(приходи!$L:$L,приходи!$A:$A,'ПП Август'!$C$24,приходи!$M:$M,'ПП Август'!Q2)</f>
        <v>0</v>
      </c>
      <c r="R24" s="312">
        <f>SUMIFS(приходи!$L:$L,приходи!$A:$A,'ПП Август'!$C$24,приходи!$M:$M,'ПП Август'!R2)</f>
        <v>0</v>
      </c>
      <c r="S24" s="312">
        <f>SUMIFS(приходи!$L:$L,приходи!$A:$A,'ПП Август'!$C$24,приходи!$M:$M,'ПП Август'!S2)</f>
        <v>0</v>
      </c>
      <c r="T24" s="312">
        <f>SUMIFS(приходи!$L:$L,приходи!$A:$A,'ПП Август'!$C$24,приходи!$M:$M,'ПП Август'!T2)</f>
        <v>0</v>
      </c>
      <c r="U24" s="313">
        <f>SUMIFS(приходи!$L:$L,приходи!$A:$A,'ПП Август'!$C$24,приходи!$M:$M,'ПП Август'!U2)</f>
        <v>0</v>
      </c>
      <c r="V24" s="313">
        <f>SUMIFS(приходи!$L:$L,приходи!$A:$A,'ПП Август'!$C$24,приходи!$M:$M,'ПП Август'!V2)</f>
        <v>0</v>
      </c>
      <c r="W24" s="312">
        <f>SUMIFS(приходи!$L:$L,приходи!$A:$A,'ПП Август'!$C$24,приходи!$M:$M,'ПП Август'!W2)</f>
        <v>0</v>
      </c>
      <c r="X24" s="312">
        <f>SUMIFS(приходи!$L:$L,приходи!$A:$A,'ПП Август'!$C$24,приходи!$M:$M,'ПП Август'!X2)</f>
        <v>0</v>
      </c>
      <c r="Y24" s="312">
        <f>SUMIFS(приходи!$L:$L,приходи!$A:$A,'ПП Август'!$C$24,приходи!$M:$M,'ПП Август'!Y2)</f>
        <v>0</v>
      </c>
      <c r="Z24" s="312">
        <f>SUMIFS(приходи!$L:$L,приходи!$A:$A,'ПП Август'!$C$24,приходи!$M:$M,'ПП Август'!Z2)</f>
        <v>0</v>
      </c>
      <c r="AA24" s="312">
        <f>SUMIFS(приходи!$L:$L,приходи!$A:$A,'ПП Август'!$C$24,приходи!$M:$M,'ПП Август'!AA2)</f>
        <v>0</v>
      </c>
      <c r="AB24" s="313">
        <f>SUMIFS(приходи!$L:$L,приходи!$A:$A,'ПП Август'!$C$24,приходи!$M:$M,'ПП Август'!AB2)</f>
        <v>0</v>
      </c>
      <c r="AC24" s="313">
        <f>SUMIFS(приходи!$L:$L,приходи!$A:$A,'ПП Август'!$C$24,приходи!$M:$M,'ПП Август'!AC2)</f>
        <v>0</v>
      </c>
      <c r="AD24" s="312">
        <f>SUMIFS(приходи!$L:$L,приходи!$A:$A,'ПП Август'!$C$24,приходи!$M:$M,'ПП Август'!AD2)</f>
        <v>0</v>
      </c>
      <c r="AE24" s="312">
        <f>SUMIFS(приходи!$L:$L,приходи!$A:$A,'ПП Август'!$C$24,приходи!$M:$M,'ПП Август'!AE2)</f>
        <v>0</v>
      </c>
      <c r="AF24" s="312">
        <f>SUMIFS(приходи!$L:$L,приходи!$A:$A,'ПП Август'!$C$24,приходи!$M:$M,'ПП Август'!AF2)</f>
        <v>0</v>
      </c>
      <c r="AG24" s="312">
        <f>SUMIFS(приходи!$L:$L,приходи!$A:$A,'ПП Август'!$C$24,приходи!$M:$M,'ПП Август'!AG2)</f>
        <v>0</v>
      </c>
      <c r="AH24" s="312">
        <f>SUMIFS(приходи!$L:$L,приходи!$A:$A,'ПП Август'!$C$24,приходи!$M:$M,'ПП Август'!AH2)</f>
        <v>0</v>
      </c>
      <c r="AI24" s="313">
        <f>SUMIFS(приходи!$L:$L,приходи!$A:$A,'ПП Август'!$C$24,приходи!$M:$M,'ПП Август'!AI2)</f>
        <v>0</v>
      </c>
      <c r="AJ24" s="314">
        <f t="shared" si="2"/>
        <v>0</v>
      </c>
      <c r="AK24" s="315"/>
    </row>
    <row r="25" spans="2:37" s="309" customFormat="1" ht="19.5" customHeight="1" outlineLevel="1" x14ac:dyDescent="0.3">
      <c r="B25" s="310"/>
      <c r="C25" s="308" t="s">
        <v>1623</v>
      </c>
      <c r="D25" s="311"/>
      <c r="E25" s="312">
        <f>SUMIFS(приходи!$L:$L,приходи!$A:$A,'ПП Август'!$C$25,приходи!$M:$M,'ПП Август'!E2)</f>
        <v>0</v>
      </c>
      <c r="F25" s="312">
        <f>SUMIFS(приходи!$L:$L,приходи!$A:$A,'ПП Август'!$C$25,приходи!$M:$M,'ПП Август'!F2)</f>
        <v>0</v>
      </c>
      <c r="G25" s="313">
        <f>SUMIFS(приходи!$L:$L,приходи!$A:$A,'ПП Август'!$C$25,приходи!$M:$M,'ПП Август'!G2)</f>
        <v>0</v>
      </c>
      <c r="H25" s="313">
        <f>SUMIFS(приходи!$L:$L,приходи!$A:$A,'ПП Август'!$C$25,приходи!$M:$M,'ПП Август'!H2)</f>
        <v>0</v>
      </c>
      <c r="I25" s="312">
        <f>SUMIFS(приходи!$L:$L,приходи!$A:$A,'ПП Август'!$C$25,приходи!$M:$M,'ПП Август'!I2)</f>
        <v>0</v>
      </c>
      <c r="J25" s="312">
        <f>SUMIFS(приходи!$L:$L,приходи!$A:$A,'ПП Август'!$C$25,приходи!$M:$M,'ПП Август'!J2)</f>
        <v>0</v>
      </c>
      <c r="K25" s="312">
        <f>SUMIFS(приходи!$L:$L,приходи!$A:$A,'ПП Август'!$C$25,приходи!$M:$M,'ПП Август'!K2)</f>
        <v>0</v>
      </c>
      <c r="L25" s="312">
        <f>SUMIFS(приходи!$L:$L,приходи!$A:$A,'ПП Август'!$C$25,приходи!$M:$M,'ПП Август'!L2)</f>
        <v>0</v>
      </c>
      <c r="M25" s="312">
        <f>SUMIFS(приходи!$L:$L,приходи!$A:$A,'ПП Август'!$C$25,приходи!$M:$M,'ПП Август'!M2)</f>
        <v>0</v>
      </c>
      <c r="N25" s="313">
        <f>SUMIFS(приходи!$L:$L,приходи!$A:$A,'ПП Август'!$C$25,приходи!$M:$M,'ПП Август'!N2)</f>
        <v>0</v>
      </c>
      <c r="O25" s="313">
        <f>SUMIFS(приходи!$L:$L,приходи!$A:$A,'ПП Август'!$C$25,приходи!$M:$M,'ПП Август'!O2)</f>
        <v>0</v>
      </c>
      <c r="P25" s="312">
        <f>SUMIFS(приходи!$L:$L,приходи!$A:$A,'ПП Август'!$C$25,приходи!$M:$M,'ПП Август'!P2)</f>
        <v>0</v>
      </c>
      <c r="Q25" s="312">
        <f>SUMIFS(приходи!$L:$L,приходи!$A:$A,'ПП Август'!$C$25,приходи!$M:$M,'ПП Август'!Q2)</f>
        <v>0</v>
      </c>
      <c r="R25" s="312">
        <f>SUMIFS(приходи!$L:$L,приходи!$A:$A,'ПП Август'!$C$25,приходи!$M:$M,'ПП Август'!R2)</f>
        <v>0</v>
      </c>
      <c r="S25" s="312">
        <f>SUMIFS(приходи!$L:$L,приходи!$A:$A,'ПП Август'!$C$25,приходи!$M:$M,'ПП Август'!S2)</f>
        <v>0</v>
      </c>
      <c r="T25" s="312">
        <f>SUMIFS(приходи!$L:$L,приходи!$A:$A,'ПП Август'!$C$25,приходи!$M:$M,'ПП Август'!T2)</f>
        <v>0</v>
      </c>
      <c r="U25" s="313">
        <f>SUMIFS(приходи!$L:$L,приходи!$A:$A,'ПП Август'!$C$25,приходи!$M:$M,'ПП Август'!U2)</f>
        <v>0</v>
      </c>
      <c r="V25" s="313">
        <f>SUMIFS(приходи!$L:$L,приходи!$A:$A,'ПП Август'!$C$25,приходи!$M:$M,'ПП Август'!V2)</f>
        <v>0</v>
      </c>
      <c r="W25" s="312">
        <f>SUMIFS(приходи!$L:$L,приходи!$A:$A,'ПП Август'!$C$25,приходи!$M:$M,'ПП Август'!W2)</f>
        <v>0</v>
      </c>
      <c r="X25" s="312">
        <f>SUMIFS(приходи!$L:$L,приходи!$A:$A,'ПП Август'!$C$25,приходи!$M:$M,'ПП Август'!X2)</f>
        <v>0</v>
      </c>
      <c r="Y25" s="312">
        <f>SUMIFS(приходи!$L:$L,приходи!$A:$A,'ПП Август'!$C$25,приходи!$M:$M,'ПП Август'!Y2)</f>
        <v>0</v>
      </c>
      <c r="Z25" s="312">
        <f>SUMIFS(приходи!$L:$L,приходи!$A:$A,'ПП Август'!$C$25,приходи!$M:$M,'ПП Август'!Z2)</f>
        <v>0</v>
      </c>
      <c r="AA25" s="312">
        <f>SUMIFS(приходи!$L:$L,приходи!$A:$A,'ПП Август'!$C$25,приходи!$M:$M,'ПП Август'!AA2)</f>
        <v>0</v>
      </c>
      <c r="AB25" s="313">
        <f>SUMIFS(приходи!$L:$L,приходи!$A:$A,'ПП Август'!$C$25,приходи!$M:$M,'ПП Август'!AB2)</f>
        <v>0</v>
      </c>
      <c r="AC25" s="313">
        <f>SUMIFS(приходи!$L:$L,приходи!$A:$A,'ПП Август'!$C$25,приходи!$M:$M,'ПП Август'!AC2)</f>
        <v>0</v>
      </c>
      <c r="AD25" s="312">
        <f>SUMIFS(приходи!$L:$L,приходи!$A:$A,'ПП Август'!$C$25,приходи!$M:$M,'ПП Август'!AD2)</f>
        <v>0</v>
      </c>
      <c r="AE25" s="312">
        <f>SUMIFS(приходи!$L:$L,приходи!$A:$A,'ПП Август'!$C$25,приходи!$M:$M,'ПП Август'!AE2)</f>
        <v>0</v>
      </c>
      <c r="AF25" s="312">
        <f>SUMIFS(приходи!$L:$L,приходи!$A:$A,'ПП Август'!$C$25,приходи!$M:$M,'ПП Август'!AF2)</f>
        <v>0</v>
      </c>
      <c r="AG25" s="312">
        <f>SUMIFS(приходи!$L:$L,приходи!$A:$A,'ПП Август'!$C$25,приходи!$M:$M,'ПП Август'!AG2)</f>
        <v>0</v>
      </c>
      <c r="AH25" s="312">
        <f>SUMIFS(приходи!$L:$L,приходи!$A:$A,'ПП Август'!$C$25,приходи!$M:$M,'ПП Август'!AH2)</f>
        <v>0</v>
      </c>
      <c r="AI25" s="313">
        <f>SUMIFS(приходи!$L:$L,приходи!$A:$A,'ПП Август'!$C$25,приходи!$M:$M,'ПП Август'!AI2)</f>
        <v>0</v>
      </c>
      <c r="AJ25" s="314">
        <f t="shared" si="2"/>
        <v>0</v>
      </c>
      <c r="AK25" s="315"/>
    </row>
    <row r="26" spans="2:37" s="4" customFormat="1" ht="20.100000000000001" customHeight="1" x14ac:dyDescent="0.3">
      <c r="B26" s="7">
        <v>3</v>
      </c>
      <c r="C26" s="8" t="s">
        <v>119</v>
      </c>
      <c r="D26" s="80"/>
      <c r="E26" s="74">
        <f>SUMIFS(приходи!$L:$L,приходи!$E:$E,'ПП Август'!$C$26,приходи!$M:$M,'ПП Август'!E2)</f>
        <v>0</v>
      </c>
      <c r="F26" s="74">
        <f>SUMIFS(приходи!$L:$L,приходи!$E:$E,'ПП Август'!$C$26,приходи!$M:$M,'ПП Август'!F2)</f>
        <v>0</v>
      </c>
      <c r="G26" s="76">
        <f>SUMIFS(приходи!$L:$L,приходи!$E:$E,'ПП Август'!$C$26,приходи!$M:$M,'ПП Август'!G2)</f>
        <v>0</v>
      </c>
      <c r="H26" s="76">
        <f>SUMIFS(приходи!$L:$L,приходи!$E:$E,'ПП Август'!$C$26,приходи!$M:$M,'ПП Август'!H2)</f>
        <v>0</v>
      </c>
      <c r="I26" s="74">
        <f>SUMIFS(приходи!$L:$L,приходи!$E:$E,'ПП Август'!$C$26,приходи!$M:$M,'ПП Август'!I2)</f>
        <v>0</v>
      </c>
      <c r="J26" s="74">
        <f>SUMIFS(приходи!$L:$L,приходи!$E:$E,'ПП Август'!$C$26,приходи!$M:$M,'ПП Август'!J2)</f>
        <v>0</v>
      </c>
      <c r="K26" s="74">
        <f>SUMIFS(приходи!$L:$L,приходи!$E:$E,'ПП Август'!$C$26,приходи!$M:$M,'ПП Август'!K2)</f>
        <v>0</v>
      </c>
      <c r="L26" s="74">
        <f>SUMIFS(приходи!$L:$L,приходи!$E:$E,'ПП Август'!$C$26,приходи!$M:$M,'ПП Август'!L2)</f>
        <v>0</v>
      </c>
      <c r="M26" s="74">
        <f>SUMIFS(приходи!$L:$L,приходи!$E:$E,'ПП Август'!$C$26,приходи!$M:$M,'ПП Август'!M2)</f>
        <v>0</v>
      </c>
      <c r="N26" s="76">
        <f>SUMIFS(приходи!$L:$L,приходи!$E:$E,'ПП Август'!$C$26,приходи!$M:$M,'ПП Август'!N2)</f>
        <v>0</v>
      </c>
      <c r="O26" s="76">
        <f>SUMIFS(приходи!$L:$L,приходи!$E:$E,'ПП Август'!$C$26,приходи!$M:$M,'ПП Август'!O2)</f>
        <v>0</v>
      </c>
      <c r="P26" s="74">
        <f>SUMIFS(приходи!$L:$L,приходи!$E:$E,'ПП Август'!$C$26,приходи!$M:$M,'ПП Август'!P2)</f>
        <v>0</v>
      </c>
      <c r="Q26" s="74">
        <f>SUMIFS(приходи!$L:$L,приходи!$E:$E,'ПП Август'!$C$26,приходи!$M:$M,'ПП Август'!Q2)</f>
        <v>0</v>
      </c>
      <c r="R26" s="74">
        <f>SUMIFS(приходи!$L:$L,приходи!$E:$E,'ПП Август'!$C$26,приходи!$M:$M,'ПП Август'!R2)</f>
        <v>0</v>
      </c>
      <c r="S26" s="74">
        <f>SUMIFS(приходи!$L:$L,приходи!$E:$E,'ПП Август'!$C$26,приходи!$M:$M,'ПП Август'!S2)</f>
        <v>0</v>
      </c>
      <c r="T26" s="74">
        <f>SUMIFS(приходи!$L:$L,приходи!$E:$E,'ПП Август'!$C$26,приходи!$M:$M,'ПП Август'!T2)</f>
        <v>0</v>
      </c>
      <c r="U26" s="76">
        <f>SUMIFS(приходи!$L:$L,приходи!$E:$E,'ПП Август'!$C$26,приходи!$M:$M,'ПП Август'!U2)</f>
        <v>0</v>
      </c>
      <c r="V26" s="76">
        <f>SUMIFS(приходи!$L:$L,приходи!$E:$E,'ПП Август'!$C$26,приходи!$M:$M,'ПП Август'!V2)</f>
        <v>0</v>
      </c>
      <c r="W26" s="74">
        <f>SUMIFS(приходи!$L:$L,приходи!$E:$E,'ПП Август'!$C$26,приходи!$M:$M,'ПП Август'!W2)</f>
        <v>0</v>
      </c>
      <c r="X26" s="74">
        <f>SUMIFS(приходи!$L:$L,приходи!$E:$E,'ПП Август'!$C$26,приходи!$M:$M,'ПП Август'!X2)</f>
        <v>0</v>
      </c>
      <c r="Y26" s="74">
        <f>SUMIFS(приходи!$L:$L,приходи!$E:$E,'ПП Август'!$C$26,приходи!$M:$M,'ПП Август'!Y2)</f>
        <v>0</v>
      </c>
      <c r="Z26" s="74">
        <f>SUMIFS(приходи!$L:$L,приходи!$E:$E,'ПП Август'!$C$26,приходи!$M:$M,'ПП Август'!Z2)</f>
        <v>0</v>
      </c>
      <c r="AA26" s="74">
        <f>SUMIFS(приходи!$L:$L,приходи!$E:$E,'ПП Август'!$C$26,приходи!$M:$M,'ПП Август'!AA2)</f>
        <v>0</v>
      </c>
      <c r="AB26" s="76">
        <f>SUMIFS(приходи!$L:$L,приходи!$E:$E,'ПП Август'!$C$26,приходи!$M:$M,'ПП Август'!AB2)</f>
        <v>0</v>
      </c>
      <c r="AC26" s="76">
        <f>SUMIFS(приходи!$L:$L,приходи!$E:$E,'ПП Август'!$C$26,приходи!$M:$M,'ПП Август'!AC2)</f>
        <v>0</v>
      </c>
      <c r="AD26" s="74">
        <f>SUMIFS(приходи!$L:$L,приходи!$E:$E,'ПП Август'!$C$26,приходи!$M:$M,'ПП Август'!AD2)</f>
        <v>0</v>
      </c>
      <c r="AE26" s="74">
        <f>SUMIFS(приходи!$L:$L,приходи!$E:$E,'ПП Август'!$C$26,приходи!$M:$M,'ПП Август'!AE2)</f>
        <v>0</v>
      </c>
      <c r="AF26" s="74">
        <f>SUMIFS(приходи!$L:$L,приходи!$E:$E,'ПП Август'!$C$26,приходи!$M:$M,'ПП Август'!AF2)</f>
        <v>0</v>
      </c>
      <c r="AG26" s="74">
        <f>SUMIFS(приходи!$L:$L,приходи!$E:$E,'ПП Август'!$C$26,приходи!$M:$M,'ПП Август'!AG2)</f>
        <v>0</v>
      </c>
      <c r="AH26" s="74">
        <f>SUMIFS(приходи!$L:$L,приходи!$E:$E,'ПП Август'!$C$26,приходи!$M:$M,'ПП Август'!AH2)</f>
        <v>0</v>
      </c>
      <c r="AI26" s="76">
        <f>SUMIFS(приходи!$L:$L,приходи!$E:$E,'ПП Август'!$C$26,приходи!$M:$M,'ПП Август'!AI2)</f>
        <v>0</v>
      </c>
      <c r="AJ26" s="61">
        <f t="shared" si="2"/>
        <v>0</v>
      </c>
      <c r="AK26" s="69">
        <f t="shared" si="3"/>
        <v>0</v>
      </c>
    </row>
    <row r="27" spans="2:37" s="4" customFormat="1" ht="20.100000000000001" customHeight="1" x14ac:dyDescent="0.3">
      <c r="B27" s="5" t="s">
        <v>852</v>
      </c>
      <c r="C27" s="6" t="s">
        <v>853</v>
      </c>
      <c r="D27" s="73">
        <f t="shared" ref="D27:AI27" si="8">SUM(D28:D29,D36,D37,D38)</f>
        <v>0</v>
      </c>
      <c r="E27" s="73">
        <f t="shared" si="8"/>
        <v>1006.3919999999999</v>
      </c>
      <c r="F27" s="73">
        <f t="shared" si="8"/>
        <v>0</v>
      </c>
      <c r="G27" s="77">
        <f t="shared" si="8"/>
        <v>54.731999999999999</v>
      </c>
      <c r="H27" s="77">
        <f t="shared" si="8"/>
        <v>0</v>
      </c>
      <c r="I27" s="73">
        <f t="shared" si="8"/>
        <v>0</v>
      </c>
      <c r="J27" s="73">
        <f t="shared" si="8"/>
        <v>0</v>
      </c>
      <c r="K27" s="73">
        <f t="shared" si="8"/>
        <v>0</v>
      </c>
      <c r="L27" s="73">
        <f t="shared" si="8"/>
        <v>0</v>
      </c>
      <c r="M27" s="73">
        <f t="shared" si="8"/>
        <v>40.175999999999995</v>
      </c>
      <c r="N27" s="77">
        <f t="shared" si="8"/>
        <v>0</v>
      </c>
      <c r="O27" s="77">
        <f t="shared" si="8"/>
        <v>0</v>
      </c>
      <c r="P27" s="73">
        <f t="shared" si="8"/>
        <v>0</v>
      </c>
      <c r="Q27" s="73">
        <f t="shared" si="8"/>
        <v>0</v>
      </c>
      <c r="R27" s="73">
        <f t="shared" si="8"/>
        <v>0</v>
      </c>
      <c r="S27" s="73">
        <f t="shared" si="8"/>
        <v>0</v>
      </c>
      <c r="T27" s="73">
        <f t="shared" si="8"/>
        <v>0</v>
      </c>
      <c r="U27" s="77">
        <f t="shared" si="8"/>
        <v>0</v>
      </c>
      <c r="V27" s="77">
        <f t="shared" si="8"/>
        <v>0</v>
      </c>
      <c r="W27" s="73">
        <f t="shared" si="8"/>
        <v>0</v>
      </c>
      <c r="X27" s="73">
        <f t="shared" si="8"/>
        <v>0</v>
      </c>
      <c r="Y27" s="73">
        <f t="shared" si="8"/>
        <v>0</v>
      </c>
      <c r="Z27" s="73">
        <f t="shared" si="8"/>
        <v>0</v>
      </c>
      <c r="AA27" s="73">
        <f t="shared" si="8"/>
        <v>0</v>
      </c>
      <c r="AB27" s="77">
        <f t="shared" si="8"/>
        <v>0</v>
      </c>
      <c r="AC27" s="77">
        <f t="shared" si="8"/>
        <v>0</v>
      </c>
      <c r="AD27" s="73">
        <f t="shared" si="8"/>
        <v>0</v>
      </c>
      <c r="AE27" s="73">
        <f t="shared" si="8"/>
        <v>0</v>
      </c>
      <c r="AF27" s="73">
        <f t="shared" si="8"/>
        <v>0</v>
      </c>
      <c r="AG27" s="73">
        <f t="shared" si="8"/>
        <v>0</v>
      </c>
      <c r="AH27" s="73">
        <f t="shared" si="8"/>
        <v>0</v>
      </c>
      <c r="AI27" s="77">
        <f t="shared" si="8"/>
        <v>0</v>
      </c>
      <c r="AJ27" s="57">
        <f t="shared" si="2"/>
        <v>1101.3</v>
      </c>
      <c r="AK27" s="58">
        <f t="shared" si="3"/>
        <v>-1101.3</v>
      </c>
    </row>
    <row r="28" spans="2:37" s="4" customFormat="1" ht="20.100000000000001" customHeight="1" x14ac:dyDescent="0.3">
      <c r="B28" s="7">
        <v>1</v>
      </c>
      <c r="C28" s="8" t="s">
        <v>58</v>
      </c>
      <c r="D28" s="80"/>
      <c r="E28" s="74">
        <f>SUMIFS(приходи!$L:$L,приходи!$E:$E,'ПП Август'!$C$28,приходи!$M:$M,'ПП Август'!E2)</f>
        <v>585.55199999999991</v>
      </c>
      <c r="F28" s="74">
        <f>SUMIFS(приходи!$L:$L,приходи!$E:$E,'ПП Август'!$C$28,приходи!$M:$M,'ПП Август'!F2)</f>
        <v>0</v>
      </c>
      <c r="G28" s="76">
        <f>SUMIFS(приходи!$L:$L,приходи!$E:$E,'ПП Август'!$C$28,приходи!$M:$M,'ПП Август'!G2)</f>
        <v>54.731999999999999</v>
      </c>
      <c r="H28" s="76">
        <f>SUMIFS(приходи!$L:$L,приходи!$E:$E,'ПП Август'!$C$28,приходи!$M:$M,'ПП Август'!H2)</f>
        <v>0</v>
      </c>
      <c r="I28" s="74">
        <f>SUMIFS(приходи!$L:$L,приходи!$E:$E,'ПП Август'!$C$28,приходи!$M:$M,'ПП Август'!I2)</f>
        <v>0</v>
      </c>
      <c r="J28" s="74">
        <f>SUMIFS(приходи!$L:$L,приходи!$E:$E,'ПП Август'!$C$28,приходи!$M:$M,'ПП Август'!J2)</f>
        <v>0</v>
      </c>
      <c r="K28" s="74">
        <f>SUMIFS(приходи!$L:$L,приходи!$E:$E,'ПП Август'!$C$28,приходи!$M:$M,'ПП Август'!K2)</f>
        <v>0</v>
      </c>
      <c r="L28" s="74">
        <f>SUMIFS(приходи!$L:$L,приходи!$E:$E,'ПП Август'!$C$28,приходи!$M:$M,'ПП Август'!L2)</f>
        <v>0</v>
      </c>
      <c r="M28" s="74">
        <f>SUMIFS(приходи!$L:$L,приходи!$E:$E,'ПП Август'!$C$28,приходи!$M:$M,'ПП Август'!M2)</f>
        <v>40.175999999999995</v>
      </c>
      <c r="N28" s="76">
        <f>SUMIFS(приходи!$L:$L,приходи!$E:$E,'ПП Август'!$C$28,приходи!$M:$M,'ПП Август'!N2)</f>
        <v>0</v>
      </c>
      <c r="O28" s="76">
        <f>SUMIFS(приходи!$L:$L,приходи!$E:$E,'ПП Август'!$C$28,приходи!$M:$M,'ПП Август'!O2)</f>
        <v>0</v>
      </c>
      <c r="P28" s="74">
        <f>SUMIFS(приходи!$L:$L,приходи!$E:$E,'ПП Август'!$C$28,приходи!$M:$M,'ПП Август'!P2)</f>
        <v>0</v>
      </c>
      <c r="Q28" s="74">
        <f>SUMIFS(приходи!$L:$L,приходи!$E:$E,'ПП Август'!$C$28,приходи!$M:$M,'ПП Август'!Q2)</f>
        <v>0</v>
      </c>
      <c r="R28" s="74">
        <f>SUMIFS(приходи!$L:$L,приходи!$E:$E,'ПП Август'!$C$28,приходи!$M:$M,'ПП Август'!R2)</f>
        <v>0</v>
      </c>
      <c r="S28" s="74">
        <f>SUMIFS(приходи!$L:$L,приходи!$E:$E,'ПП Август'!$C$28,приходи!$M:$M,'ПП Август'!S2)</f>
        <v>0</v>
      </c>
      <c r="T28" s="74">
        <f>SUMIFS(приходи!$L:$L,приходи!$E:$E,'ПП Август'!$C$28,приходи!$M:$M,'ПП Август'!T2)</f>
        <v>0</v>
      </c>
      <c r="U28" s="76">
        <f>SUMIFS(приходи!$L:$L,приходи!$E:$E,'ПП Август'!$C$28,приходи!$M:$M,'ПП Август'!U2)</f>
        <v>0</v>
      </c>
      <c r="V28" s="76">
        <f>SUMIFS(приходи!$L:$L,приходи!$E:$E,'ПП Август'!$C$28,приходи!$M:$M,'ПП Август'!V2)</f>
        <v>0</v>
      </c>
      <c r="W28" s="74">
        <f>SUMIFS(приходи!$L:$L,приходи!$E:$E,'ПП Август'!$C$28,приходи!$M:$M,'ПП Август'!W2)</f>
        <v>0</v>
      </c>
      <c r="X28" s="74">
        <f>SUMIFS(приходи!$L:$L,приходи!$E:$E,'ПП Август'!$C$28,приходи!$M:$M,'ПП Август'!X2)</f>
        <v>0</v>
      </c>
      <c r="Y28" s="74">
        <f>SUMIFS(приходи!$L:$L,приходи!$E:$E,'ПП Август'!$C$28,приходи!$M:$M,'ПП Август'!Y2)</f>
        <v>0</v>
      </c>
      <c r="Z28" s="74">
        <f>SUMIFS(приходи!$L:$L,приходи!$E:$E,'ПП Август'!$C$28,приходи!$M:$M,'ПП Август'!Z2)</f>
        <v>0</v>
      </c>
      <c r="AA28" s="74">
        <f>SUMIFS(приходи!$L:$L,приходи!$E:$E,'ПП Август'!$C$28,приходи!$M:$M,'ПП Август'!AA2)</f>
        <v>0</v>
      </c>
      <c r="AB28" s="76">
        <f>SUMIFS(приходи!$L:$L,приходи!$E:$E,'ПП Август'!$C$28,приходи!$M:$M,'ПП Август'!AB2)</f>
        <v>0</v>
      </c>
      <c r="AC28" s="76">
        <f>SUMIFS(приходи!$L:$L,приходи!$E:$E,'ПП Август'!$C$28,приходи!$M:$M,'ПП Август'!AC2)</f>
        <v>0</v>
      </c>
      <c r="AD28" s="74">
        <f>SUMIFS(приходи!$L:$L,приходи!$E:$E,'ПП Август'!$C$28,приходи!$M:$M,'ПП Август'!AD2)</f>
        <v>0</v>
      </c>
      <c r="AE28" s="74">
        <f>SUMIFS(приходи!$L:$L,приходи!$E:$E,'ПП Август'!$C$28,приходи!$M:$M,'ПП Август'!AE2)</f>
        <v>0</v>
      </c>
      <c r="AF28" s="74">
        <f>SUMIFS(приходи!$L:$L,приходи!$E:$E,'ПП Август'!$C$28,приходи!$M:$M,'ПП Август'!AF2)</f>
        <v>0</v>
      </c>
      <c r="AG28" s="74">
        <f>SUMIFS(приходи!$L:$L,приходи!$E:$E,'ПП Август'!$C$28,приходи!$M:$M,'ПП Август'!AG2)</f>
        <v>0</v>
      </c>
      <c r="AH28" s="74">
        <f>SUMIFS(приходи!$L:$L,приходи!$E:$E,'ПП Август'!$C$28,приходи!$M:$M,'ПП Август'!AH2)</f>
        <v>0</v>
      </c>
      <c r="AI28" s="76">
        <f>SUMIFS(приходи!$L:$L,приходи!$E:$E,'ПП Август'!$C$28,приходи!$M:$M,'ПП Август'!AI2)</f>
        <v>0</v>
      </c>
      <c r="AJ28" s="61">
        <f t="shared" si="2"/>
        <v>680.45999999999992</v>
      </c>
      <c r="AK28" s="69">
        <f t="shared" si="3"/>
        <v>-680.45999999999992</v>
      </c>
    </row>
    <row r="29" spans="2:37" s="4" customFormat="1" ht="20.100000000000001" customHeight="1" x14ac:dyDescent="0.3">
      <c r="B29" s="7">
        <v>2</v>
      </c>
      <c r="C29" s="8" t="s">
        <v>854</v>
      </c>
      <c r="D29" s="74">
        <f t="shared" ref="D29" si="9">SUM(D30:D34)</f>
        <v>0</v>
      </c>
      <c r="E29" s="74">
        <f t="shared" ref="E29:AI29" si="10">SUM(E30:E35)</f>
        <v>420.84000000000003</v>
      </c>
      <c r="F29" s="74">
        <f t="shared" si="10"/>
        <v>0</v>
      </c>
      <c r="G29" s="76">
        <f t="shared" si="10"/>
        <v>0</v>
      </c>
      <c r="H29" s="76">
        <f t="shared" si="10"/>
        <v>0</v>
      </c>
      <c r="I29" s="74">
        <f t="shared" si="10"/>
        <v>0</v>
      </c>
      <c r="J29" s="74">
        <f t="shared" si="10"/>
        <v>0</v>
      </c>
      <c r="K29" s="74">
        <f t="shared" si="10"/>
        <v>0</v>
      </c>
      <c r="L29" s="74">
        <f t="shared" si="10"/>
        <v>0</v>
      </c>
      <c r="M29" s="74">
        <f t="shared" si="10"/>
        <v>0</v>
      </c>
      <c r="N29" s="76">
        <f t="shared" si="10"/>
        <v>0</v>
      </c>
      <c r="O29" s="76">
        <f t="shared" si="10"/>
        <v>0</v>
      </c>
      <c r="P29" s="74">
        <f t="shared" si="10"/>
        <v>0</v>
      </c>
      <c r="Q29" s="74">
        <f t="shared" si="10"/>
        <v>0</v>
      </c>
      <c r="R29" s="74">
        <f t="shared" si="10"/>
        <v>0</v>
      </c>
      <c r="S29" s="74">
        <f t="shared" si="10"/>
        <v>0</v>
      </c>
      <c r="T29" s="74">
        <f t="shared" si="10"/>
        <v>0</v>
      </c>
      <c r="U29" s="76">
        <f t="shared" si="10"/>
        <v>0</v>
      </c>
      <c r="V29" s="76">
        <f t="shared" si="10"/>
        <v>0</v>
      </c>
      <c r="W29" s="74">
        <f t="shared" si="10"/>
        <v>0</v>
      </c>
      <c r="X29" s="74">
        <f t="shared" si="10"/>
        <v>0</v>
      </c>
      <c r="Y29" s="74">
        <f t="shared" si="10"/>
        <v>0</v>
      </c>
      <c r="Z29" s="74">
        <f t="shared" si="10"/>
        <v>0</v>
      </c>
      <c r="AA29" s="74">
        <f t="shared" si="10"/>
        <v>0</v>
      </c>
      <c r="AB29" s="76">
        <f t="shared" si="10"/>
        <v>0</v>
      </c>
      <c r="AC29" s="76">
        <f t="shared" si="10"/>
        <v>0</v>
      </c>
      <c r="AD29" s="74">
        <f t="shared" si="10"/>
        <v>0</v>
      </c>
      <c r="AE29" s="74">
        <f t="shared" si="10"/>
        <v>0</v>
      </c>
      <c r="AF29" s="74">
        <f t="shared" si="10"/>
        <v>0</v>
      </c>
      <c r="AG29" s="74">
        <f t="shared" si="10"/>
        <v>0</v>
      </c>
      <c r="AH29" s="74">
        <f t="shared" si="10"/>
        <v>0</v>
      </c>
      <c r="AI29" s="76">
        <f t="shared" si="10"/>
        <v>0</v>
      </c>
      <c r="AJ29" s="61">
        <f t="shared" si="2"/>
        <v>420.84000000000003</v>
      </c>
      <c r="AK29" s="62">
        <f t="shared" si="3"/>
        <v>-420.84000000000003</v>
      </c>
    </row>
    <row r="30" spans="2:37" s="21" customFormat="1" ht="20.100000000000001" customHeight="1" outlineLevel="1" x14ac:dyDescent="0.3">
      <c r="B30" s="22"/>
      <c r="C30" s="8" t="s">
        <v>76</v>
      </c>
      <c r="D30" s="80"/>
      <c r="E30" s="74">
        <f>SUMIFS(приходи!$L:$L,приходи!$E:$E,'ПП Август'!$C$30,приходи!$M:$M,'ПП Август'!E2)</f>
        <v>0</v>
      </c>
      <c r="F30" s="74">
        <f>SUMIFS(приходи!$L:$L,приходи!$E:$E,'ПП Август'!$C$30,приходи!$M:$M,'ПП Август'!F2)</f>
        <v>0</v>
      </c>
      <c r="G30" s="76">
        <f>SUMIFS(приходи!$L:$L,приходи!$E:$E,'ПП Август'!$C$30,приходи!$M:$M,'ПП Август'!G2)</f>
        <v>0</v>
      </c>
      <c r="H30" s="76">
        <f>SUMIFS(приходи!$L:$L,приходи!$E:$E,'ПП Август'!$C$30,приходи!$M:$M,'ПП Август'!H2)</f>
        <v>0</v>
      </c>
      <c r="I30" s="74">
        <f>SUMIFS(приходи!$L:$L,приходи!$E:$E,'ПП Август'!$C$30,приходи!$M:$M,'ПП Август'!I2)</f>
        <v>0</v>
      </c>
      <c r="J30" s="74">
        <f>SUMIFS(приходи!$L:$L,приходи!$E:$E,'ПП Август'!$C$30,приходи!$M:$M,'ПП Август'!J2)</f>
        <v>0</v>
      </c>
      <c r="K30" s="74">
        <f>SUMIFS(приходи!$L:$L,приходи!$E:$E,'ПП Август'!$C$30,приходи!$M:$M,'ПП Август'!K2)</f>
        <v>0</v>
      </c>
      <c r="L30" s="74">
        <f>SUMIFS(приходи!$L:$L,приходи!$E:$E,'ПП Август'!$C$30,приходи!$M:$M,'ПП Август'!L2)</f>
        <v>0</v>
      </c>
      <c r="M30" s="74">
        <f>SUMIFS(приходи!$L:$L,приходи!$E:$E,'ПП Август'!$C$30,приходи!$M:$M,'ПП Август'!M2)</f>
        <v>0</v>
      </c>
      <c r="N30" s="76">
        <f>SUMIFS(приходи!$L:$L,приходи!$E:$E,'ПП Август'!$C$30,приходи!$M:$M,'ПП Август'!N2)</f>
        <v>0</v>
      </c>
      <c r="O30" s="76">
        <f>SUMIFS(приходи!$L:$L,приходи!$E:$E,'ПП Август'!$C$30,приходи!$M:$M,'ПП Август'!O2)</f>
        <v>0</v>
      </c>
      <c r="P30" s="74">
        <f>SUMIFS(приходи!$L:$L,приходи!$E:$E,'ПП Август'!$C$30,приходи!$M:$M,'ПП Август'!P2)</f>
        <v>0</v>
      </c>
      <c r="Q30" s="74">
        <f>SUMIFS(приходи!$L:$L,приходи!$E:$E,'ПП Август'!$C$30,приходи!$M:$M,'ПП Август'!Q2)</f>
        <v>0</v>
      </c>
      <c r="R30" s="74">
        <f>SUMIFS(приходи!$L:$L,приходи!$E:$E,'ПП Август'!$C$30,приходи!$M:$M,'ПП Август'!R2)</f>
        <v>0</v>
      </c>
      <c r="S30" s="74">
        <f>SUMIFS(приходи!$L:$L,приходи!$E:$E,'ПП Август'!$C$30,приходи!$M:$M,'ПП Август'!S2)</f>
        <v>0</v>
      </c>
      <c r="T30" s="74">
        <f>SUMIFS(приходи!$L:$L,приходи!$E:$E,'ПП Август'!$C$30,приходи!$M:$M,'ПП Август'!T2)</f>
        <v>0</v>
      </c>
      <c r="U30" s="76">
        <f>SUMIFS(приходи!$L:$L,приходи!$E:$E,'ПП Август'!$C$30,приходи!$M:$M,'ПП Август'!U2)</f>
        <v>0</v>
      </c>
      <c r="V30" s="76">
        <f>SUMIFS(приходи!$L:$L,приходи!$E:$E,'ПП Август'!$C$30,приходи!$M:$M,'ПП Август'!V2)</f>
        <v>0</v>
      </c>
      <c r="W30" s="74">
        <f>SUMIFS(приходи!$L:$L,приходи!$E:$E,'ПП Август'!$C$30,приходи!$M:$M,'ПП Август'!W2)</f>
        <v>0</v>
      </c>
      <c r="X30" s="74">
        <f>SUMIFS(приходи!$L:$L,приходи!$E:$E,'ПП Август'!$C$30,приходи!$M:$M,'ПП Август'!X2)</f>
        <v>0</v>
      </c>
      <c r="Y30" s="74">
        <f>SUMIFS(приходи!$L:$L,приходи!$E:$E,'ПП Август'!$C$30,приходи!$M:$M,'ПП Август'!Y2)</f>
        <v>0</v>
      </c>
      <c r="Z30" s="74">
        <f>SUMIFS(приходи!$L:$L,приходи!$E:$E,'ПП Август'!$C$30,приходи!$M:$M,'ПП Август'!Z2)</f>
        <v>0</v>
      </c>
      <c r="AA30" s="74">
        <f>SUMIFS(приходи!$L:$L,приходи!$E:$E,'ПП Август'!$C$30,приходи!$M:$M,'ПП Август'!AA2)</f>
        <v>0</v>
      </c>
      <c r="AB30" s="76">
        <f>SUMIFS(приходи!$L:$L,приходи!$E:$E,'ПП Август'!$C$30,приходи!$M:$M,'ПП Август'!AB2)</f>
        <v>0</v>
      </c>
      <c r="AC30" s="76">
        <f>SUMIFS(приходи!$L:$L,приходи!$E:$E,'ПП Август'!$C$30,приходи!$M:$M,'ПП Август'!AC2)</f>
        <v>0</v>
      </c>
      <c r="AD30" s="74">
        <f>SUMIFS(приходи!$L:$L,приходи!$E:$E,'ПП Август'!$C$30,приходи!$M:$M,'ПП Август'!AD2)</f>
        <v>0</v>
      </c>
      <c r="AE30" s="74">
        <f>SUMIFS(приходи!$L:$L,приходи!$E:$E,'ПП Август'!$C$30,приходи!$M:$M,'ПП Август'!AE2)</f>
        <v>0</v>
      </c>
      <c r="AF30" s="74">
        <f>SUMIFS(приходи!$L:$L,приходи!$E:$E,'ПП Август'!$C$30,приходи!$M:$M,'ПП Август'!AF2)</f>
        <v>0</v>
      </c>
      <c r="AG30" s="74">
        <f>SUMIFS(приходи!$L:$L,приходи!$E:$E,'ПП Август'!$C$30,приходи!$M:$M,'ПП Август'!AG2)</f>
        <v>0</v>
      </c>
      <c r="AH30" s="74">
        <f>SUMIFS(приходи!$L:$L,приходи!$E:$E,'ПП Август'!$C$30,приходи!$M:$M,'ПП Август'!AH2)</f>
        <v>0</v>
      </c>
      <c r="AI30" s="76">
        <f>SUMIFS(приходи!$L:$L,приходи!$E:$E,'ПП Август'!$C$30,приходи!$M:$M,'ПП Август'!AI2)</f>
        <v>0</v>
      </c>
      <c r="AJ30" s="61">
        <f t="shared" si="2"/>
        <v>0</v>
      </c>
      <c r="AK30" s="69">
        <f t="shared" si="3"/>
        <v>0</v>
      </c>
    </row>
    <row r="31" spans="2:37" s="21" customFormat="1" ht="20.100000000000001" customHeight="1" outlineLevel="1" x14ac:dyDescent="0.3">
      <c r="B31" s="22"/>
      <c r="C31" s="8" t="s">
        <v>71</v>
      </c>
      <c r="D31" s="80"/>
      <c r="E31" s="74">
        <f>SUMIFS(приходи!$L:$L,приходи!$E:$E,'ПП Август'!$C$31,приходи!$M:$M,'ПП Август'!E2)</f>
        <v>0</v>
      </c>
      <c r="F31" s="74">
        <f>SUMIFS(приходи!$L:$L,приходи!$E:$E,'ПП Август'!$C$31,приходи!$M:$M,'ПП Август'!F2)</f>
        <v>0</v>
      </c>
      <c r="G31" s="76">
        <f>SUMIFS(приходи!$L:$L,приходи!$E:$E,'ПП Август'!$C$31,приходи!$M:$M,'ПП Август'!G2)</f>
        <v>0</v>
      </c>
      <c r="H31" s="76">
        <f>SUMIFS(приходи!$L:$L,приходи!$E:$E,'ПП Август'!$C$31,приходи!$M:$M,'ПП Август'!H2)</f>
        <v>0</v>
      </c>
      <c r="I31" s="74">
        <f>SUMIFS(приходи!$L:$L,приходи!$E:$E,'ПП Август'!$C$31,приходи!$M:$M,'ПП Август'!I2)</f>
        <v>0</v>
      </c>
      <c r="J31" s="74">
        <f>SUMIFS(приходи!$L:$L,приходи!$E:$E,'ПП Август'!$C$31,приходи!$M:$M,'ПП Август'!J2)</f>
        <v>0</v>
      </c>
      <c r="K31" s="74">
        <f>SUMIFS(приходи!$L:$L,приходи!$E:$E,'ПП Август'!$C$31,приходи!$M:$M,'ПП Август'!K2)</f>
        <v>0</v>
      </c>
      <c r="L31" s="74">
        <f>SUMIFS(приходи!$L:$L,приходи!$E:$E,'ПП Август'!$C$31,приходи!$M:$M,'ПП Август'!L2)</f>
        <v>0</v>
      </c>
      <c r="M31" s="74">
        <f>SUMIFS(приходи!$L:$L,приходи!$E:$E,'ПП Август'!$C$31,приходи!$M:$M,'ПП Август'!M2)</f>
        <v>0</v>
      </c>
      <c r="N31" s="76">
        <f>SUMIFS(приходи!$L:$L,приходи!$E:$E,'ПП Август'!$C$31,приходи!$M:$M,'ПП Август'!N2)</f>
        <v>0</v>
      </c>
      <c r="O31" s="76">
        <f>SUMIFS(приходи!$L:$L,приходи!$E:$E,'ПП Август'!$C$31,приходи!$M:$M,'ПП Август'!O2)</f>
        <v>0</v>
      </c>
      <c r="P31" s="74">
        <f>SUMIFS(приходи!$L:$L,приходи!$E:$E,'ПП Август'!$C$31,приходи!$M:$M,'ПП Август'!P2)</f>
        <v>0</v>
      </c>
      <c r="Q31" s="74">
        <f>SUMIFS(приходи!$L:$L,приходи!$E:$E,'ПП Август'!$C$31,приходи!$M:$M,'ПП Август'!Q2)</f>
        <v>0</v>
      </c>
      <c r="R31" s="74">
        <f>SUMIFS(приходи!$L:$L,приходи!$E:$E,'ПП Август'!$C$31,приходи!$M:$M,'ПП Август'!R2)</f>
        <v>0</v>
      </c>
      <c r="S31" s="74">
        <f>SUMIFS(приходи!$L:$L,приходи!$E:$E,'ПП Август'!$C$31,приходи!$M:$M,'ПП Август'!S2)</f>
        <v>0</v>
      </c>
      <c r="T31" s="74">
        <f>SUMIFS(приходи!$L:$L,приходи!$E:$E,'ПП Август'!$C$31,приходи!$M:$M,'ПП Август'!T2)</f>
        <v>0</v>
      </c>
      <c r="U31" s="76">
        <f>SUMIFS(приходи!$L:$L,приходи!$E:$E,'ПП Август'!$C$31,приходи!$M:$M,'ПП Август'!U2)</f>
        <v>0</v>
      </c>
      <c r="V31" s="76">
        <f>SUMIFS(приходи!$L:$L,приходи!$E:$E,'ПП Август'!$C$31,приходи!$M:$M,'ПП Август'!V2)</f>
        <v>0</v>
      </c>
      <c r="W31" s="74">
        <f>SUMIFS(приходи!$L:$L,приходи!$E:$E,'ПП Август'!$C$31,приходи!$M:$M,'ПП Август'!W2)</f>
        <v>0</v>
      </c>
      <c r="X31" s="74">
        <f>SUMIFS(приходи!$L:$L,приходи!$E:$E,'ПП Август'!$C$31,приходи!$M:$M,'ПП Август'!X2)</f>
        <v>0</v>
      </c>
      <c r="Y31" s="74">
        <f>SUMIFS(приходи!$L:$L,приходи!$E:$E,'ПП Август'!$C$31,приходи!$M:$M,'ПП Август'!Y2)</f>
        <v>0</v>
      </c>
      <c r="Z31" s="74">
        <f>SUMIFS(приходи!$L:$L,приходи!$E:$E,'ПП Август'!$C$31,приходи!$M:$M,'ПП Август'!Z2)</f>
        <v>0</v>
      </c>
      <c r="AA31" s="74">
        <f>SUMIFS(приходи!$L:$L,приходи!$E:$E,'ПП Август'!$C$31,приходи!$M:$M,'ПП Август'!AA2)</f>
        <v>0</v>
      </c>
      <c r="AB31" s="76">
        <f>SUMIFS(приходи!$L:$L,приходи!$E:$E,'ПП Август'!$C$31,приходи!$M:$M,'ПП Август'!AB2)</f>
        <v>0</v>
      </c>
      <c r="AC31" s="76">
        <f>SUMIFS(приходи!$L:$L,приходи!$E:$E,'ПП Август'!$C$31,приходи!$M:$M,'ПП Август'!AC2)</f>
        <v>0</v>
      </c>
      <c r="AD31" s="74">
        <f>SUMIFS(приходи!$L:$L,приходи!$E:$E,'ПП Август'!$C$31,приходи!$M:$M,'ПП Август'!AD2)</f>
        <v>0</v>
      </c>
      <c r="AE31" s="74">
        <f>SUMIFS(приходи!$L:$L,приходи!$E:$E,'ПП Август'!$C$31,приходи!$M:$M,'ПП Август'!AE2)</f>
        <v>0</v>
      </c>
      <c r="AF31" s="74">
        <f>SUMIFS(приходи!$L:$L,приходи!$E:$E,'ПП Август'!$C$31,приходи!$M:$M,'ПП Август'!AF2)</f>
        <v>0</v>
      </c>
      <c r="AG31" s="74">
        <f>SUMIFS(приходи!$L:$L,приходи!$E:$E,'ПП Август'!$C$31,приходи!$M:$M,'ПП Август'!AG2)</f>
        <v>0</v>
      </c>
      <c r="AH31" s="74">
        <f>SUMIFS(приходи!$L:$L,приходи!$E:$E,'ПП Август'!$C$31,приходи!$M:$M,'ПП Август'!AH2)</f>
        <v>0</v>
      </c>
      <c r="AI31" s="76">
        <f>SUMIFS(приходи!$L:$L,приходи!$E:$E,'ПП Август'!$C$31,приходи!$M:$M,'ПП Август'!AI2)</f>
        <v>0</v>
      </c>
      <c r="AJ31" s="61">
        <f t="shared" si="2"/>
        <v>0</v>
      </c>
      <c r="AK31" s="69">
        <f t="shared" si="3"/>
        <v>0</v>
      </c>
    </row>
    <row r="32" spans="2:37" s="21" customFormat="1" ht="20.100000000000001" customHeight="1" outlineLevel="1" x14ac:dyDescent="0.3">
      <c r="B32" s="22"/>
      <c r="C32" s="8" t="s">
        <v>63</v>
      </c>
      <c r="D32" s="80"/>
      <c r="E32" s="74">
        <f>SUMIFS(приходи!$L:$L,приходи!$E:$E,'ПП Август'!$C$32,приходи!$M:$M,'ПП Август'!E2)</f>
        <v>0</v>
      </c>
      <c r="F32" s="74">
        <f>SUMIFS(приходи!$L:$L,приходи!$E:$E,'ПП Август'!$C$32,приходи!$M:$M,'ПП Август'!F2)</f>
        <v>0</v>
      </c>
      <c r="G32" s="76">
        <f>SUMIFS(приходи!$L:$L,приходи!$E:$E,'ПП Август'!$C$32,приходи!$M:$M,'ПП Август'!G2)</f>
        <v>0</v>
      </c>
      <c r="H32" s="76">
        <f>SUMIFS(приходи!$L:$L,приходи!$E:$E,'ПП Август'!$C$32,приходи!$M:$M,'ПП Август'!H2)</f>
        <v>0</v>
      </c>
      <c r="I32" s="74">
        <f>SUMIFS(приходи!$L:$L,приходи!$E:$E,'ПП Август'!$C$32,приходи!$M:$M,'ПП Август'!I2)</f>
        <v>0</v>
      </c>
      <c r="J32" s="74">
        <f>SUMIFS(приходи!$L:$L,приходи!$E:$E,'ПП Август'!$C$32,приходи!$M:$M,'ПП Август'!J2)</f>
        <v>0</v>
      </c>
      <c r="K32" s="74">
        <f>SUMIFS(приходи!$L:$L,приходи!$E:$E,'ПП Август'!$C$32,приходи!$M:$M,'ПП Август'!K2)</f>
        <v>0</v>
      </c>
      <c r="L32" s="74">
        <f>SUMIFS(приходи!$L:$L,приходи!$E:$E,'ПП Август'!$C$32,приходи!$M:$M,'ПП Август'!L2)</f>
        <v>0</v>
      </c>
      <c r="M32" s="74">
        <f>SUMIFS(приходи!$L:$L,приходи!$E:$E,'ПП Август'!$C$32,приходи!$M:$M,'ПП Август'!M2)</f>
        <v>0</v>
      </c>
      <c r="N32" s="76">
        <f>SUMIFS(приходи!$L:$L,приходи!$E:$E,'ПП Август'!$C$32,приходи!$M:$M,'ПП Август'!N2)</f>
        <v>0</v>
      </c>
      <c r="O32" s="76">
        <f>SUMIFS(приходи!$L:$L,приходи!$E:$E,'ПП Август'!$C$32,приходи!$M:$M,'ПП Август'!O2)</f>
        <v>0</v>
      </c>
      <c r="P32" s="74">
        <f>SUMIFS(приходи!$L:$L,приходи!$E:$E,'ПП Август'!$C$32,приходи!$M:$M,'ПП Август'!P2)</f>
        <v>0</v>
      </c>
      <c r="Q32" s="74">
        <f>SUMIFS(приходи!$L:$L,приходи!$E:$E,'ПП Август'!$C$32,приходи!$M:$M,'ПП Август'!Q2)</f>
        <v>0</v>
      </c>
      <c r="R32" s="74">
        <f>SUMIFS(приходи!$L:$L,приходи!$E:$E,'ПП Август'!$C$32,приходи!$M:$M,'ПП Август'!R2)</f>
        <v>0</v>
      </c>
      <c r="S32" s="74">
        <f>SUMIFS(приходи!$L:$L,приходи!$E:$E,'ПП Август'!$C$32,приходи!$M:$M,'ПП Август'!S2)</f>
        <v>0</v>
      </c>
      <c r="T32" s="74">
        <f>SUMIFS(приходи!$L:$L,приходи!$E:$E,'ПП Август'!$C$32,приходи!$M:$M,'ПП Август'!T2)</f>
        <v>0</v>
      </c>
      <c r="U32" s="76">
        <f>SUMIFS(приходи!$L:$L,приходи!$E:$E,'ПП Август'!$C$32,приходи!$M:$M,'ПП Август'!U2)</f>
        <v>0</v>
      </c>
      <c r="V32" s="76">
        <f>SUMIFS(приходи!$L:$L,приходи!$E:$E,'ПП Август'!$C$32,приходи!$M:$M,'ПП Август'!V2)</f>
        <v>0</v>
      </c>
      <c r="W32" s="74">
        <f>SUMIFS(приходи!$L:$L,приходи!$E:$E,'ПП Август'!$C$32,приходи!$M:$M,'ПП Август'!W2)</f>
        <v>0</v>
      </c>
      <c r="X32" s="74">
        <f>SUMIFS(приходи!$L:$L,приходи!$E:$E,'ПП Август'!$C$32,приходи!$M:$M,'ПП Август'!X2)</f>
        <v>0</v>
      </c>
      <c r="Y32" s="74">
        <f>SUMIFS(приходи!$L:$L,приходи!$E:$E,'ПП Август'!$C$32,приходи!$M:$M,'ПП Август'!Y2)</f>
        <v>0</v>
      </c>
      <c r="Z32" s="74">
        <f>SUMIFS(приходи!$L:$L,приходи!$E:$E,'ПП Август'!$C$32,приходи!$M:$M,'ПП Август'!Z2)</f>
        <v>0</v>
      </c>
      <c r="AA32" s="74">
        <f>SUMIFS(приходи!$L:$L,приходи!$E:$E,'ПП Август'!$C$32,приходи!$M:$M,'ПП Август'!AA2)</f>
        <v>0</v>
      </c>
      <c r="AB32" s="76">
        <f>SUMIFS(приходи!$L:$L,приходи!$E:$E,'ПП Август'!$C$32,приходи!$M:$M,'ПП Август'!AB2)</f>
        <v>0</v>
      </c>
      <c r="AC32" s="76">
        <f>SUMIFS(приходи!$L:$L,приходи!$E:$E,'ПП Август'!$C$32,приходи!$M:$M,'ПП Август'!AC2)</f>
        <v>0</v>
      </c>
      <c r="AD32" s="74">
        <f>SUMIFS(приходи!$L:$L,приходи!$E:$E,'ПП Август'!$C$32,приходи!$M:$M,'ПП Август'!AD2)</f>
        <v>0</v>
      </c>
      <c r="AE32" s="74">
        <f>SUMIFS(приходи!$L:$L,приходи!$E:$E,'ПП Август'!$C$32,приходи!$M:$M,'ПП Август'!AE2)</f>
        <v>0</v>
      </c>
      <c r="AF32" s="74">
        <f>SUMIFS(приходи!$L:$L,приходи!$E:$E,'ПП Август'!$C$32,приходи!$M:$M,'ПП Август'!AF2)</f>
        <v>0</v>
      </c>
      <c r="AG32" s="74">
        <f>SUMIFS(приходи!$L:$L,приходи!$E:$E,'ПП Август'!$C$32,приходи!$M:$M,'ПП Август'!AG2)</f>
        <v>0</v>
      </c>
      <c r="AH32" s="74">
        <f>SUMIFS(приходи!$L:$L,приходи!$E:$E,'ПП Август'!$C$32,приходи!$M:$M,'ПП Август'!AH2)</f>
        <v>0</v>
      </c>
      <c r="AI32" s="76">
        <f>SUMIFS(приходи!$L:$L,приходи!$E:$E,'ПП Август'!$C$32,приходи!$M:$M,'ПП Август'!AI2)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B33" s="22"/>
      <c r="C33" s="8" t="s">
        <v>57</v>
      </c>
      <c r="D33" s="80"/>
      <c r="E33" s="74">
        <f>SUMIFS(приходи!$L:$L,приходи!$E:$E,'ПП Август'!$C$33,приходи!$M:$M,'ПП Август'!E2)</f>
        <v>197.18400000000003</v>
      </c>
      <c r="F33" s="74">
        <f>SUMIFS(приходи!$L:$L,приходи!$E:$E,'ПП Август'!$C$33,приходи!$M:$M,'ПП Август'!F2)</f>
        <v>0</v>
      </c>
      <c r="G33" s="76">
        <f>SUMIFS(приходи!$L:$L,приходи!$E:$E,'ПП Август'!$C$33,приходи!$M:$M,'ПП Август'!G2)</f>
        <v>0</v>
      </c>
      <c r="H33" s="76">
        <f>SUMIFS(приходи!$L:$L,приходи!$E:$E,'ПП Август'!$C$33,приходи!$M:$M,'ПП Август'!H2)</f>
        <v>0</v>
      </c>
      <c r="I33" s="74">
        <f>SUMIFS(приходи!$L:$L,приходи!$E:$E,'ПП Август'!$C$33,приходи!$M:$M,'ПП Август'!I2)</f>
        <v>0</v>
      </c>
      <c r="J33" s="74">
        <f>SUMIFS(приходи!$L:$L,приходи!$E:$E,'ПП Август'!$C$33,приходи!$M:$M,'ПП Август'!J2)</f>
        <v>0</v>
      </c>
      <c r="K33" s="74">
        <f>SUMIFS(приходи!$L:$L,приходи!$E:$E,'ПП Август'!$C$33,приходи!$M:$M,'ПП Август'!K2)</f>
        <v>0</v>
      </c>
      <c r="L33" s="74">
        <f>SUMIFS(приходи!$L:$L,приходи!$E:$E,'ПП Август'!$C$33,приходи!$M:$M,'ПП Август'!L2)</f>
        <v>0</v>
      </c>
      <c r="M33" s="74">
        <f>SUMIFS(приходи!$L:$L,приходи!$E:$E,'ПП Август'!$C$33,приходи!$M:$M,'ПП Август'!M2)</f>
        <v>0</v>
      </c>
      <c r="N33" s="76">
        <f>SUMIFS(приходи!$L:$L,приходи!$E:$E,'ПП Август'!$C$33,приходи!$M:$M,'ПП Август'!N2)</f>
        <v>0</v>
      </c>
      <c r="O33" s="76">
        <f>SUMIFS(приходи!$L:$L,приходи!$E:$E,'ПП Август'!$C$33,приходи!$M:$M,'ПП Август'!O2)</f>
        <v>0</v>
      </c>
      <c r="P33" s="74">
        <f>SUMIFS(приходи!$L:$L,приходи!$E:$E,'ПП Август'!$C$33,приходи!$M:$M,'ПП Август'!P2)</f>
        <v>0</v>
      </c>
      <c r="Q33" s="74">
        <f>SUMIFS(приходи!$L:$L,приходи!$E:$E,'ПП Август'!$C$33,приходи!$M:$M,'ПП Август'!Q2)</f>
        <v>0</v>
      </c>
      <c r="R33" s="74">
        <f>SUMIFS(приходи!$L:$L,приходи!$E:$E,'ПП Август'!$C$33,приходи!$M:$M,'ПП Август'!R2)</f>
        <v>0</v>
      </c>
      <c r="S33" s="74">
        <f>SUMIFS(приходи!$L:$L,приходи!$E:$E,'ПП Август'!$C$33,приходи!$M:$M,'ПП Август'!S2)</f>
        <v>0</v>
      </c>
      <c r="T33" s="74">
        <f>SUMIFS(приходи!$L:$L,приходи!$E:$E,'ПП Август'!$C$33,приходи!$M:$M,'ПП Август'!T2)</f>
        <v>0</v>
      </c>
      <c r="U33" s="76">
        <f>SUMIFS(приходи!$L:$L,приходи!$E:$E,'ПП Август'!$C$33,приходи!$M:$M,'ПП Август'!U2)</f>
        <v>0</v>
      </c>
      <c r="V33" s="76">
        <f>SUMIFS(приходи!$L:$L,приходи!$E:$E,'ПП Август'!$C$33,приходи!$M:$M,'ПП Август'!V2)</f>
        <v>0</v>
      </c>
      <c r="W33" s="74">
        <f>SUMIFS(приходи!$L:$L,приходи!$E:$E,'ПП Август'!$C$33,приходи!$M:$M,'ПП Август'!W2)</f>
        <v>0</v>
      </c>
      <c r="X33" s="74">
        <f>SUMIFS(приходи!$L:$L,приходи!$E:$E,'ПП Август'!$C$33,приходи!$M:$M,'ПП Август'!X2)</f>
        <v>0</v>
      </c>
      <c r="Y33" s="74">
        <f>SUMIFS(приходи!$L:$L,приходи!$E:$E,'ПП Август'!$C$33,приходи!$M:$M,'ПП Август'!Y2)</f>
        <v>0</v>
      </c>
      <c r="Z33" s="74">
        <f>SUMIFS(приходи!$L:$L,приходи!$E:$E,'ПП Август'!$C$33,приходи!$M:$M,'ПП Август'!Z2)</f>
        <v>0</v>
      </c>
      <c r="AA33" s="74">
        <f>SUMIFS(приходи!$L:$L,приходи!$E:$E,'ПП Август'!$C$33,приходи!$M:$M,'ПП Август'!AA2)</f>
        <v>0</v>
      </c>
      <c r="AB33" s="76">
        <f>SUMIFS(приходи!$L:$L,приходи!$E:$E,'ПП Август'!$C$33,приходи!$M:$M,'ПП Август'!AB2)</f>
        <v>0</v>
      </c>
      <c r="AC33" s="76">
        <f>SUMIFS(приходи!$L:$L,приходи!$E:$E,'ПП Август'!$C$33,приходи!$M:$M,'ПП Август'!AC2)</f>
        <v>0</v>
      </c>
      <c r="AD33" s="74">
        <f>SUMIFS(приходи!$L:$L,приходи!$E:$E,'ПП Август'!$C$33,приходи!$M:$M,'ПП Август'!AD2)</f>
        <v>0</v>
      </c>
      <c r="AE33" s="74">
        <f>SUMIFS(приходи!$L:$L,приходи!$E:$E,'ПП Август'!$C$33,приходи!$M:$M,'ПП Август'!AE2)</f>
        <v>0</v>
      </c>
      <c r="AF33" s="74">
        <f>SUMIFS(приходи!$L:$L,приходи!$E:$E,'ПП Август'!$C$33,приходи!$M:$M,'ПП Август'!AF2)</f>
        <v>0</v>
      </c>
      <c r="AG33" s="74">
        <f>SUMIFS(приходи!$L:$L,приходи!$E:$E,'ПП Август'!$C$33,приходи!$M:$M,'ПП Август'!AG2)</f>
        <v>0</v>
      </c>
      <c r="AH33" s="74">
        <f>SUMIFS(приходи!$L:$L,приходи!$E:$E,'ПП Август'!$C$33,приходи!$M:$M,'ПП Август'!AH2)</f>
        <v>0</v>
      </c>
      <c r="AI33" s="76">
        <f>SUMIFS(приходи!$L:$L,приходи!$E:$E,'ПП Август'!$C$33,приходи!$M:$M,'ПП Август'!AI2)</f>
        <v>0</v>
      </c>
      <c r="AJ33" s="61">
        <f t="shared" si="2"/>
        <v>197.18400000000003</v>
      </c>
      <c r="AK33" s="69">
        <f t="shared" si="3"/>
        <v>-197.18400000000003</v>
      </c>
    </row>
    <row r="34" spans="1:37" s="21" customFormat="1" ht="20.100000000000001" customHeight="1" outlineLevel="1" x14ac:dyDescent="0.3">
      <c r="B34" s="22"/>
      <c r="C34" s="8" t="s">
        <v>120</v>
      </c>
      <c r="D34" s="80"/>
      <c r="E34" s="74">
        <f>SUMIFS(приходи!$L:$L,приходи!$E:$E,'ПП Август'!$C$34,приходи!$M:$M,'ПП Август'!E2)</f>
        <v>0</v>
      </c>
      <c r="F34" s="74">
        <f>SUMIFS(приходи!$L:$L,приходи!$E:$E,'ПП Август'!$C$34,приходи!$M:$M,'ПП Август'!F2)</f>
        <v>0</v>
      </c>
      <c r="G34" s="76">
        <f>SUMIFS(приходи!$L:$L,приходи!$E:$E,'ПП Август'!$C$34,приходи!$M:$M,'ПП Август'!G2)</f>
        <v>0</v>
      </c>
      <c r="H34" s="76">
        <f>SUMIFS(приходи!$L:$L,приходи!$E:$E,'ПП Август'!$C$34,приходи!$M:$M,'ПП Август'!H2)</f>
        <v>0</v>
      </c>
      <c r="I34" s="74">
        <f>SUMIFS(приходи!$L:$L,приходи!$E:$E,'ПП Август'!$C$34,приходи!$M:$M,'ПП Август'!I2)</f>
        <v>0</v>
      </c>
      <c r="J34" s="74">
        <f>SUMIFS(приходи!$L:$L,приходи!$E:$E,'ПП Август'!$C$34,приходи!$M:$M,'ПП Август'!J2)</f>
        <v>0</v>
      </c>
      <c r="K34" s="74">
        <f>SUMIFS(приходи!$L:$L,приходи!$E:$E,'ПП Август'!$C$34,приходи!$M:$M,'ПП Август'!K2)</f>
        <v>0</v>
      </c>
      <c r="L34" s="74">
        <f>SUMIFS(приходи!$L:$L,приходи!$E:$E,'ПП Август'!$C$34,приходи!$M:$M,'ПП Август'!L2)</f>
        <v>0</v>
      </c>
      <c r="M34" s="74">
        <f>SUMIFS(приходи!$L:$L,приходи!$E:$E,'ПП Август'!$C$34,приходи!$M:$M,'ПП Август'!M2)</f>
        <v>0</v>
      </c>
      <c r="N34" s="76">
        <f>SUMIFS(приходи!$L:$L,приходи!$E:$E,'ПП Август'!$C$34,приходи!$M:$M,'ПП Август'!N2)</f>
        <v>0</v>
      </c>
      <c r="O34" s="76">
        <f>SUMIFS(приходи!$L:$L,приходи!$E:$E,'ПП Август'!$C$34,приходи!$M:$M,'ПП Август'!O2)</f>
        <v>0</v>
      </c>
      <c r="P34" s="74">
        <f>SUMIFS(приходи!$L:$L,приходи!$E:$E,'ПП Август'!$C$34,приходи!$M:$M,'ПП Август'!P2)</f>
        <v>0</v>
      </c>
      <c r="Q34" s="74">
        <f>SUMIFS(приходи!$L:$L,приходи!$E:$E,'ПП Август'!$C$34,приходи!$M:$M,'ПП Август'!Q2)</f>
        <v>0</v>
      </c>
      <c r="R34" s="74">
        <f>SUMIFS(приходи!$L:$L,приходи!$E:$E,'ПП Август'!$C$34,приходи!$M:$M,'ПП Август'!R2)</f>
        <v>0</v>
      </c>
      <c r="S34" s="74">
        <f>SUMIFS(приходи!$L:$L,приходи!$E:$E,'ПП Август'!$C$34,приходи!$M:$M,'ПП Август'!S2)</f>
        <v>0</v>
      </c>
      <c r="T34" s="74">
        <f>SUMIFS(приходи!$L:$L,приходи!$E:$E,'ПП Август'!$C$34,приходи!$M:$M,'ПП Август'!T2)</f>
        <v>0</v>
      </c>
      <c r="U34" s="76">
        <f>SUMIFS(приходи!$L:$L,приходи!$E:$E,'ПП Август'!$C$34,приходи!$M:$M,'ПП Август'!U2)</f>
        <v>0</v>
      </c>
      <c r="V34" s="76">
        <f>SUMIFS(приходи!$L:$L,приходи!$E:$E,'ПП Август'!$C$34,приходи!$M:$M,'ПП Август'!V2)</f>
        <v>0</v>
      </c>
      <c r="W34" s="74">
        <f>SUMIFS(приходи!$L:$L,приходи!$E:$E,'ПП Август'!$C$34,приходи!$M:$M,'ПП Август'!W2)</f>
        <v>0</v>
      </c>
      <c r="X34" s="74">
        <f>SUMIFS(приходи!$L:$L,приходи!$E:$E,'ПП Август'!$C$34,приходи!$M:$M,'ПП Август'!X2)</f>
        <v>0</v>
      </c>
      <c r="Y34" s="74">
        <f>SUMIFS(приходи!$L:$L,приходи!$E:$E,'ПП Август'!$C$34,приходи!$M:$M,'ПП Август'!Y2)</f>
        <v>0</v>
      </c>
      <c r="Z34" s="74">
        <f>SUMIFS(приходи!$L:$L,приходи!$E:$E,'ПП Август'!$C$34,приходи!$M:$M,'ПП Август'!Z2)</f>
        <v>0</v>
      </c>
      <c r="AA34" s="74">
        <f>SUMIFS(приходи!$L:$L,приходи!$E:$E,'ПП Август'!$C$34,приходи!$M:$M,'ПП Август'!AA2)</f>
        <v>0</v>
      </c>
      <c r="AB34" s="76">
        <f>SUMIFS(приходи!$L:$L,приходи!$E:$E,'ПП Август'!$C$34,приходи!$M:$M,'ПП Август'!AB2)</f>
        <v>0</v>
      </c>
      <c r="AC34" s="76">
        <f>SUMIFS(приходи!$L:$L,приходи!$E:$E,'ПП Август'!$C$34,приходи!$M:$M,'ПП Август'!AC2)</f>
        <v>0</v>
      </c>
      <c r="AD34" s="74">
        <f>SUMIFS(приходи!$L:$L,приходи!$E:$E,'ПП Август'!$C$34,приходи!$M:$M,'ПП Август'!AD2)</f>
        <v>0</v>
      </c>
      <c r="AE34" s="74">
        <f>SUMIFS(приходи!$L:$L,приходи!$E:$E,'ПП Август'!$C$34,приходи!$M:$M,'ПП Август'!AE2)</f>
        <v>0</v>
      </c>
      <c r="AF34" s="74">
        <f>SUMIFS(приходи!$L:$L,приходи!$E:$E,'ПП Август'!$C$34,приходи!$M:$M,'ПП Август'!AF2)</f>
        <v>0</v>
      </c>
      <c r="AG34" s="74">
        <f>SUMIFS(приходи!$L:$L,приходи!$E:$E,'ПП Август'!$C$34,приходи!$M:$M,'ПП Август'!AG2)</f>
        <v>0</v>
      </c>
      <c r="AH34" s="74">
        <f>SUMIFS(приходи!$L:$L,приходи!$E:$E,'ПП Август'!$C$34,приходи!$M:$M,'ПП Август'!AH2)</f>
        <v>0</v>
      </c>
      <c r="AI34" s="76">
        <f>SUMIFS(приходи!$L:$L,приходи!$E:$E,'ПП Август'!$C$34,приходи!$M:$M,'ПП Август'!AI2)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6"/>
      <c r="B35" s="22"/>
      <c r="C35" s="8" t="s">
        <v>56</v>
      </c>
      <c r="D35" s="80"/>
      <c r="E35" s="74">
        <f>SUMIFS(приходи!$L:$L,приходи!$E:$E,'ПП Август'!$C$35,приходи!$M:$M,'ПП Август'!E2)</f>
        <v>223.65599999999998</v>
      </c>
      <c r="F35" s="74">
        <f>SUMIFS(приходи!$L:$L,приходи!$E:$E,'ПП Август'!$C$35,приходи!$M:$M,'ПП Август'!F2)</f>
        <v>0</v>
      </c>
      <c r="G35" s="76">
        <f>SUMIFS(приходи!$L:$L,приходи!$E:$E,'ПП Август'!$C$35,приходи!$M:$M,'ПП Август'!G2)</f>
        <v>0</v>
      </c>
      <c r="H35" s="76">
        <f>SUMIFS(приходи!$L:$L,приходи!$E:$E,'ПП Август'!$C$35,приходи!$M:$M,'ПП Август'!H2)</f>
        <v>0</v>
      </c>
      <c r="I35" s="74">
        <f>SUMIFS(приходи!$L:$L,приходи!$E:$E,'ПП Август'!$C$35,приходи!$M:$M,'ПП Август'!I2)</f>
        <v>0</v>
      </c>
      <c r="J35" s="74">
        <f>SUMIFS(приходи!$L:$L,приходи!$E:$E,'ПП Август'!$C$35,приходи!$M:$M,'ПП Август'!J2)</f>
        <v>0</v>
      </c>
      <c r="K35" s="74">
        <f>SUMIFS(приходи!$L:$L,приходи!$E:$E,'ПП Август'!$C$35,приходи!$M:$M,'ПП Август'!K2)</f>
        <v>0</v>
      </c>
      <c r="L35" s="74">
        <f>SUMIFS(приходи!$L:$L,приходи!$E:$E,'ПП Август'!$C$35,приходи!$M:$M,'ПП Август'!L2)</f>
        <v>0</v>
      </c>
      <c r="M35" s="74">
        <f>SUMIFS(приходи!$L:$L,приходи!$E:$E,'ПП Август'!$C$35,приходи!$M:$M,'ПП Август'!M2)</f>
        <v>0</v>
      </c>
      <c r="N35" s="76">
        <f>SUMIFS(приходи!$L:$L,приходи!$E:$E,'ПП Август'!$C$35,приходи!$M:$M,'ПП Август'!N2)</f>
        <v>0</v>
      </c>
      <c r="O35" s="76">
        <f>SUMIFS(приходи!$L:$L,приходи!$E:$E,'ПП Август'!$C$35,приходи!$M:$M,'ПП Август'!O2)</f>
        <v>0</v>
      </c>
      <c r="P35" s="74">
        <f>SUMIFS(приходи!$L:$L,приходи!$E:$E,'ПП Август'!$C$35,приходи!$M:$M,'ПП Август'!P2)</f>
        <v>0</v>
      </c>
      <c r="Q35" s="74">
        <f>SUMIFS(приходи!$L:$L,приходи!$E:$E,'ПП Август'!$C$35,приходи!$M:$M,'ПП Август'!Q2)</f>
        <v>0</v>
      </c>
      <c r="R35" s="74">
        <f>SUMIFS(приходи!$L:$L,приходи!$E:$E,'ПП Август'!$C$35,приходи!$M:$M,'ПП Август'!R2)</f>
        <v>0</v>
      </c>
      <c r="S35" s="74">
        <f>SUMIFS(приходи!$L:$L,приходи!$E:$E,'ПП Август'!$C$35,приходи!$M:$M,'ПП Август'!S2)</f>
        <v>0</v>
      </c>
      <c r="T35" s="74">
        <f>SUMIFS(приходи!$L:$L,приходи!$E:$E,'ПП Август'!$C$35,приходи!$M:$M,'ПП Август'!T2)</f>
        <v>0</v>
      </c>
      <c r="U35" s="76">
        <f>SUMIFS(приходи!$L:$L,приходи!$E:$E,'ПП Август'!$C$35,приходи!$M:$M,'ПП Август'!U2)</f>
        <v>0</v>
      </c>
      <c r="V35" s="76">
        <f>SUMIFS(приходи!$L:$L,приходи!$E:$E,'ПП Август'!$C$35,приходи!$M:$M,'ПП Август'!V2)</f>
        <v>0</v>
      </c>
      <c r="W35" s="74">
        <f>SUMIFS(приходи!$L:$L,приходи!$E:$E,'ПП Август'!$C$35,приходи!$M:$M,'ПП Август'!W2)</f>
        <v>0</v>
      </c>
      <c r="X35" s="74">
        <f>SUMIFS(приходи!$L:$L,приходи!$E:$E,'ПП Август'!$C$35,приходи!$M:$M,'ПП Август'!X2)</f>
        <v>0</v>
      </c>
      <c r="Y35" s="74">
        <f>SUMIFS(приходи!$L:$L,приходи!$E:$E,'ПП Август'!$C$35,приходи!$M:$M,'ПП Август'!Y2)</f>
        <v>0</v>
      </c>
      <c r="Z35" s="74">
        <f>SUMIFS(приходи!$L:$L,приходи!$E:$E,'ПП Август'!$C$35,приходи!$M:$M,'ПП Август'!Z2)</f>
        <v>0</v>
      </c>
      <c r="AA35" s="74">
        <f>SUMIFS(приходи!$L:$L,приходи!$E:$E,'ПП Август'!$C$35,приходи!$M:$M,'ПП Август'!AA2)</f>
        <v>0</v>
      </c>
      <c r="AB35" s="76">
        <f>SUMIFS(приходи!$L:$L,приходи!$E:$E,'ПП Август'!$C$35,приходи!$M:$M,'ПП Август'!AB2)</f>
        <v>0</v>
      </c>
      <c r="AC35" s="76">
        <f>SUMIFS(приходи!$L:$L,приходи!$E:$E,'ПП Август'!$C$35,приходи!$M:$M,'ПП Август'!AC2)</f>
        <v>0</v>
      </c>
      <c r="AD35" s="74">
        <f>SUMIFS(приходи!$L:$L,приходи!$E:$E,'ПП Август'!$C$35,приходи!$M:$M,'ПП Август'!AD2)</f>
        <v>0</v>
      </c>
      <c r="AE35" s="74">
        <f>SUMIFS(приходи!$L:$L,приходи!$E:$E,'ПП Август'!$C$35,приходи!$M:$M,'ПП Август'!AE2)</f>
        <v>0</v>
      </c>
      <c r="AF35" s="74">
        <f>SUMIFS(приходи!$L:$L,приходи!$E:$E,'ПП Август'!$C$35,приходи!$M:$M,'ПП Август'!AF2)</f>
        <v>0</v>
      </c>
      <c r="AG35" s="74">
        <f>SUMIFS(приходи!$L:$L,приходи!$E:$E,'ПП Август'!$C$35,приходи!$M:$M,'ПП Август'!AG2)</f>
        <v>0</v>
      </c>
      <c r="AH35" s="74">
        <f>SUMIFS(приходи!$L:$L,приходи!$E:$E,'ПП Август'!$C$35,приходи!$M:$M,'ПП Август'!AH2)</f>
        <v>0</v>
      </c>
      <c r="AI35" s="76">
        <f>SUMIFS(приходи!$L:$L,приходи!$E:$E,'ПП Август'!$C$35,приходи!$M:$M,'ПП Август'!AI2)</f>
        <v>0</v>
      </c>
      <c r="AJ35" s="61">
        <f t="shared" si="2"/>
        <v>223.65599999999998</v>
      </c>
      <c r="AK35" s="69">
        <f t="shared" si="3"/>
        <v>-223.65599999999998</v>
      </c>
    </row>
    <row r="36" spans="1:37" s="4" customFormat="1" ht="20.100000000000001" customHeight="1" x14ac:dyDescent="0.3">
      <c r="B36" s="7">
        <v>3</v>
      </c>
      <c r="C36" s="8" t="s">
        <v>54</v>
      </c>
      <c r="D36" s="80"/>
      <c r="E36" s="74">
        <f>SUMIFS(приходи!$L:$L,приходи!$E:$E,'ПП Август'!$C$36,приходи!$M:$M,'ПП Август'!E2)</f>
        <v>0</v>
      </c>
      <c r="F36" s="74">
        <f>SUMIFS(приходи!$L:$L,приходи!$E:$E,'ПП Август'!$C$36,приходи!$M:$M,'ПП Август'!F2)</f>
        <v>0</v>
      </c>
      <c r="G36" s="76">
        <f>SUMIFS(приходи!$L:$L,приходи!$E:$E,'ПП Август'!$C$36,приходи!$M:$M,'ПП Август'!G2)</f>
        <v>0</v>
      </c>
      <c r="H36" s="76">
        <f>SUMIFS(приходи!$L:$L,приходи!$E:$E,'ПП Август'!$C$36,приходи!$M:$M,'ПП Август'!H2)</f>
        <v>0</v>
      </c>
      <c r="I36" s="74">
        <f>SUMIFS(приходи!$L:$L,приходи!$E:$E,'ПП Август'!$C$36,приходи!$M:$M,'ПП Август'!I2)</f>
        <v>0</v>
      </c>
      <c r="J36" s="74">
        <f>SUMIFS(приходи!$L:$L,приходи!$E:$E,'ПП Август'!$C$36,приходи!$M:$M,'ПП Август'!J2)</f>
        <v>0</v>
      </c>
      <c r="K36" s="74">
        <f>SUMIFS(приходи!$L:$L,приходи!$E:$E,'ПП Август'!$C$36,приходи!$M:$M,'ПП Август'!K2)</f>
        <v>0</v>
      </c>
      <c r="L36" s="74">
        <f>SUMIFS(приходи!$L:$L,приходи!$E:$E,'ПП Август'!$C$36,приходи!$M:$M,'ПП Август'!L2)</f>
        <v>0</v>
      </c>
      <c r="M36" s="74">
        <f>SUMIFS(приходи!$L:$L,приходи!$E:$E,'ПП Август'!$C$36,приходи!$M:$M,'ПП Август'!M2)</f>
        <v>0</v>
      </c>
      <c r="N36" s="76">
        <f>SUMIFS(приходи!$L:$L,приходи!$E:$E,'ПП Август'!$C$36,приходи!$M:$M,'ПП Август'!N2)</f>
        <v>0</v>
      </c>
      <c r="O36" s="76">
        <f>SUMIFS(приходи!$L:$L,приходи!$E:$E,'ПП Август'!$C$36,приходи!$M:$M,'ПП Август'!O2)</f>
        <v>0</v>
      </c>
      <c r="P36" s="74">
        <f>SUMIFS(приходи!$L:$L,приходи!$E:$E,'ПП Август'!$C$36,приходи!$M:$M,'ПП Август'!P2)</f>
        <v>0</v>
      </c>
      <c r="Q36" s="74">
        <f>SUMIFS(приходи!$L:$L,приходи!$E:$E,'ПП Август'!$C$36,приходи!$M:$M,'ПП Август'!Q2)</f>
        <v>0</v>
      </c>
      <c r="R36" s="74">
        <f>SUMIFS(приходи!$L:$L,приходи!$E:$E,'ПП Август'!$C$36,приходи!$M:$M,'ПП Август'!R2)</f>
        <v>0</v>
      </c>
      <c r="S36" s="74">
        <f>SUMIFS(приходи!$L:$L,приходи!$E:$E,'ПП Август'!$C$36,приходи!$M:$M,'ПП Август'!S2)</f>
        <v>0</v>
      </c>
      <c r="T36" s="74">
        <f>SUMIFS(приходи!$L:$L,приходи!$E:$E,'ПП Август'!$C$36,приходи!$M:$M,'ПП Август'!T2)</f>
        <v>0</v>
      </c>
      <c r="U36" s="76">
        <f>SUMIFS(приходи!$L:$L,приходи!$E:$E,'ПП Август'!$C$36,приходи!$M:$M,'ПП Август'!U2)</f>
        <v>0</v>
      </c>
      <c r="V36" s="76">
        <f>SUMIFS(приходи!$L:$L,приходи!$E:$E,'ПП Август'!$C$36,приходи!$M:$M,'ПП Август'!V2)</f>
        <v>0</v>
      </c>
      <c r="W36" s="74">
        <f>SUMIFS(приходи!$L:$L,приходи!$E:$E,'ПП Август'!$C$36,приходи!$M:$M,'ПП Август'!W2)</f>
        <v>0</v>
      </c>
      <c r="X36" s="74">
        <f>SUMIFS(приходи!$L:$L,приходи!$E:$E,'ПП Август'!$C$36,приходи!$M:$M,'ПП Август'!X2)</f>
        <v>0</v>
      </c>
      <c r="Y36" s="74">
        <f>SUMIFS(приходи!$L:$L,приходи!$E:$E,'ПП Август'!$C$36,приходи!$M:$M,'ПП Август'!Y2)</f>
        <v>0</v>
      </c>
      <c r="Z36" s="74">
        <f>SUMIFS(приходи!$L:$L,приходи!$E:$E,'ПП Август'!$C$36,приходи!$M:$M,'ПП Август'!Z2)</f>
        <v>0</v>
      </c>
      <c r="AA36" s="74">
        <f>SUMIFS(приходи!$L:$L,приходи!$E:$E,'ПП Август'!$C$36,приходи!$M:$M,'ПП Август'!AA2)</f>
        <v>0</v>
      </c>
      <c r="AB36" s="76">
        <f>SUMIFS(приходи!$L:$L,приходи!$E:$E,'ПП Август'!$C$36,приходи!$M:$M,'ПП Август'!AB2)</f>
        <v>0</v>
      </c>
      <c r="AC36" s="76">
        <f>SUMIFS(приходи!$L:$L,приходи!$E:$E,'ПП Август'!$C$36,приходи!$M:$M,'ПП Август'!AC2)</f>
        <v>0</v>
      </c>
      <c r="AD36" s="74">
        <f>SUMIFS(приходи!$L:$L,приходи!$E:$E,'ПП Август'!$C$36,приходи!$M:$M,'ПП Август'!AD2)</f>
        <v>0</v>
      </c>
      <c r="AE36" s="74">
        <f>SUMIFS(приходи!$L:$L,приходи!$E:$E,'ПП Август'!$C$36,приходи!$M:$M,'ПП Август'!AE2)</f>
        <v>0</v>
      </c>
      <c r="AF36" s="74">
        <f>SUMIFS(приходи!$L:$L,приходи!$E:$E,'ПП Август'!$C$36,приходи!$M:$M,'ПП Август'!AF2)</f>
        <v>0</v>
      </c>
      <c r="AG36" s="74">
        <f>SUMIFS(приходи!$L:$L,приходи!$E:$E,'ПП Август'!$C$36,приходи!$M:$M,'ПП Август'!AG2)</f>
        <v>0</v>
      </c>
      <c r="AH36" s="74">
        <f>SUMIFS(приходи!$L:$L,приходи!$E:$E,'ПП Август'!$C$36,приходи!$M:$M,'ПП Август'!AH2)</f>
        <v>0</v>
      </c>
      <c r="AI36" s="76">
        <f>SUMIFS(приходи!$L:$L,приходи!$E:$E,'ПП Август'!$C$36,приходи!$M:$M,'ПП Август'!AI2)</f>
        <v>0</v>
      </c>
      <c r="AJ36" s="61">
        <f t="shared" si="2"/>
        <v>0</v>
      </c>
      <c r="AK36" s="69">
        <f t="shared" si="3"/>
        <v>0</v>
      </c>
    </row>
    <row r="37" spans="1:37" s="4" customFormat="1" ht="20.100000000000001" customHeight="1" x14ac:dyDescent="0.3">
      <c r="B37" s="7">
        <v>4</v>
      </c>
      <c r="C37" s="8" t="s">
        <v>855</v>
      </c>
      <c r="D37" s="80"/>
      <c r="E37" s="74">
        <f>SUMIFS(приходи!$L:$L,приходи!$E:$E,'ПП Август'!$C$37,приходи!$M:$M,'ПП Август'!E2)</f>
        <v>0</v>
      </c>
      <c r="F37" s="74">
        <f>SUMIFS(приходи!$L:$L,приходи!$E:$E,'ПП Август'!$C$37,приходи!$M:$M,'ПП Август'!F2)</f>
        <v>0</v>
      </c>
      <c r="G37" s="76">
        <f>SUMIFS(приходи!$L:$L,приходи!$E:$E,'ПП Август'!$C$37,приходи!$M:$M,'ПП Август'!G2)</f>
        <v>0</v>
      </c>
      <c r="H37" s="76">
        <f>SUMIFS(приходи!$L:$L,приходи!$E:$E,'ПП Август'!$C$37,приходи!$M:$M,'ПП Август'!H2)</f>
        <v>0</v>
      </c>
      <c r="I37" s="74">
        <f>SUMIFS(приходи!$L:$L,приходи!$E:$E,'ПП Август'!$C$37,приходи!$M:$M,'ПП Август'!I2)</f>
        <v>0</v>
      </c>
      <c r="J37" s="74">
        <f>SUMIFS(приходи!$L:$L,приходи!$E:$E,'ПП Август'!$C$37,приходи!$M:$M,'ПП Август'!J2)</f>
        <v>0</v>
      </c>
      <c r="K37" s="74">
        <f>SUMIFS(приходи!$L:$L,приходи!$E:$E,'ПП Август'!$C$37,приходи!$M:$M,'ПП Август'!K2)</f>
        <v>0</v>
      </c>
      <c r="L37" s="74">
        <f>SUMIFS(приходи!$L:$L,приходи!$E:$E,'ПП Август'!$C$37,приходи!$M:$M,'ПП Август'!L2)</f>
        <v>0</v>
      </c>
      <c r="M37" s="74">
        <f>SUMIFS(приходи!$L:$L,приходи!$E:$E,'ПП Август'!$C$37,приходи!$M:$M,'ПП Август'!M2)</f>
        <v>0</v>
      </c>
      <c r="N37" s="76">
        <f>SUMIFS(приходи!$L:$L,приходи!$E:$E,'ПП Август'!$C$37,приходи!$M:$M,'ПП Август'!N2)</f>
        <v>0</v>
      </c>
      <c r="O37" s="76">
        <f>SUMIFS(приходи!$L:$L,приходи!$E:$E,'ПП Август'!$C$37,приходи!$M:$M,'ПП Август'!O2)</f>
        <v>0</v>
      </c>
      <c r="P37" s="74">
        <f>SUMIFS(приходи!$L:$L,приходи!$E:$E,'ПП Август'!$C$37,приходи!$M:$M,'ПП Август'!P2)</f>
        <v>0</v>
      </c>
      <c r="Q37" s="74">
        <f>SUMIFS(приходи!$L:$L,приходи!$E:$E,'ПП Август'!$C$37,приходи!$M:$M,'ПП Август'!Q2)</f>
        <v>0</v>
      </c>
      <c r="R37" s="74">
        <f>SUMIFS(приходи!$L:$L,приходи!$E:$E,'ПП Август'!$C$37,приходи!$M:$M,'ПП Август'!R2)</f>
        <v>0</v>
      </c>
      <c r="S37" s="74">
        <f>SUMIFS(приходи!$L:$L,приходи!$E:$E,'ПП Август'!$C$37,приходи!$M:$M,'ПП Август'!S2)</f>
        <v>0</v>
      </c>
      <c r="T37" s="74">
        <f>SUMIFS(приходи!$L:$L,приходи!$E:$E,'ПП Август'!$C$37,приходи!$M:$M,'ПП Август'!T2)</f>
        <v>0</v>
      </c>
      <c r="U37" s="76">
        <f>SUMIFS(приходи!$L:$L,приходи!$E:$E,'ПП Август'!$C$37,приходи!$M:$M,'ПП Август'!U2)</f>
        <v>0</v>
      </c>
      <c r="V37" s="76">
        <f>SUMIFS(приходи!$L:$L,приходи!$E:$E,'ПП Август'!$C$37,приходи!$M:$M,'ПП Август'!V2)</f>
        <v>0</v>
      </c>
      <c r="W37" s="74">
        <f>SUMIFS(приходи!$L:$L,приходи!$E:$E,'ПП Август'!$C$37,приходи!$M:$M,'ПП Август'!W2)</f>
        <v>0</v>
      </c>
      <c r="X37" s="74">
        <f>SUMIFS(приходи!$L:$L,приходи!$E:$E,'ПП Август'!$C$37,приходи!$M:$M,'ПП Август'!X2)</f>
        <v>0</v>
      </c>
      <c r="Y37" s="74">
        <f>SUMIFS(приходи!$L:$L,приходи!$E:$E,'ПП Август'!$C$37,приходи!$M:$M,'ПП Август'!Y2)</f>
        <v>0</v>
      </c>
      <c r="Z37" s="74">
        <f>SUMIFS(приходи!$L:$L,приходи!$E:$E,'ПП Август'!$C$37,приходи!$M:$M,'ПП Август'!Z2)</f>
        <v>0</v>
      </c>
      <c r="AA37" s="74">
        <f>SUMIFS(приходи!$L:$L,приходи!$E:$E,'ПП Август'!$C$37,приходи!$M:$M,'ПП Август'!AA2)</f>
        <v>0</v>
      </c>
      <c r="AB37" s="76">
        <f>SUMIFS(приходи!$L:$L,приходи!$E:$E,'ПП Август'!$C$37,приходи!$M:$M,'ПП Август'!AB2)</f>
        <v>0</v>
      </c>
      <c r="AC37" s="76">
        <f>SUMIFS(приходи!$L:$L,приходи!$E:$E,'ПП Август'!$C$37,приходи!$M:$M,'ПП Август'!AC2)</f>
        <v>0</v>
      </c>
      <c r="AD37" s="74">
        <f>SUMIFS(приходи!$L:$L,приходи!$E:$E,'ПП Август'!$C$37,приходи!$M:$M,'ПП Август'!AD2)</f>
        <v>0</v>
      </c>
      <c r="AE37" s="74">
        <f>SUMIFS(приходи!$L:$L,приходи!$E:$E,'ПП Август'!$C$37,приходи!$M:$M,'ПП Август'!AE2)</f>
        <v>0</v>
      </c>
      <c r="AF37" s="74">
        <f>SUMIFS(приходи!$L:$L,приходи!$E:$E,'ПП Август'!$C$37,приходи!$M:$M,'ПП Август'!AF2)</f>
        <v>0</v>
      </c>
      <c r="AG37" s="74">
        <f>SUMIFS(приходи!$L:$L,приходи!$E:$E,'ПП Август'!$C$37,приходи!$M:$M,'ПП Август'!AG2)</f>
        <v>0</v>
      </c>
      <c r="AH37" s="74">
        <f>SUMIFS(приходи!$L:$L,приходи!$E:$E,'ПП Август'!$C$37,приходи!$M:$M,'ПП Август'!AH2)</f>
        <v>0</v>
      </c>
      <c r="AI37" s="76">
        <f>SUMIFS(приходи!$L:$L,приходи!$E:$E,'ПП Август'!$C$37,приходи!$M:$M,'ПП Август'!AI2)</f>
        <v>0</v>
      </c>
      <c r="AJ37" s="61">
        <f t="shared" si="2"/>
        <v>0</v>
      </c>
      <c r="AK37" s="69">
        <f t="shared" si="3"/>
        <v>0</v>
      </c>
    </row>
    <row r="38" spans="1:37" s="4" customFormat="1" ht="20.100000000000001" customHeight="1" x14ac:dyDescent="0.3">
      <c r="B38" s="7">
        <v>5</v>
      </c>
      <c r="C38" s="8" t="s">
        <v>108</v>
      </c>
      <c r="D38" s="80"/>
      <c r="E38" s="74">
        <f>SUMIFS(приходи!$L:$L,приходи!$E:$E,'ПП Август'!$C$38,приходи!$M:$M,'ПП Август'!E2)</f>
        <v>0</v>
      </c>
      <c r="F38" s="74">
        <f>SUMIFS(приходи!$L:$L,приходи!$E:$E,'ПП Август'!$C$38,приходи!$M:$M,'ПП Август'!F2)</f>
        <v>0</v>
      </c>
      <c r="G38" s="76">
        <f>SUMIFS(приходи!$L:$L,приходи!$E:$E,'ПП Август'!$C$38,приходи!$M:$M,'ПП Август'!G2)</f>
        <v>0</v>
      </c>
      <c r="H38" s="76">
        <f>SUMIFS(приходи!$L:$L,приходи!$E:$E,'ПП Август'!$C$38,приходи!$M:$M,'ПП Август'!H2)</f>
        <v>0</v>
      </c>
      <c r="I38" s="74">
        <f>SUMIFS(приходи!$L:$L,приходи!$E:$E,'ПП Август'!$C$38,приходи!$M:$M,'ПП Август'!I2)</f>
        <v>0</v>
      </c>
      <c r="J38" s="74">
        <f>SUMIFS(приходи!$L:$L,приходи!$E:$E,'ПП Август'!$C$38,приходи!$M:$M,'ПП Август'!J2)</f>
        <v>0</v>
      </c>
      <c r="K38" s="74">
        <f>SUMIFS(приходи!$L:$L,приходи!$E:$E,'ПП Август'!$C$38,приходи!$M:$M,'ПП Август'!K2)</f>
        <v>0</v>
      </c>
      <c r="L38" s="74">
        <f>SUMIFS(приходи!$L:$L,приходи!$E:$E,'ПП Август'!$C$38,приходи!$M:$M,'ПП Август'!L2)</f>
        <v>0</v>
      </c>
      <c r="M38" s="74">
        <f>SUMIFS(приходи!$L:$L,приходи!$E:$E,'ПП Август'!$C$38,приходи!$M:$M,'ПП Август'!M2)</f>
        <v>0</v>
      </c>
      <c r="N38" s="76">
        <f>SUMIFS(приходи!$L:$L,приходи!$E:$E,'ПП Август'!$C$38,приходи!$M:$M,'ПП Август'!N2)</f>
        <v>0</v>
      </c>
      <c r="O38" s="76">
        <f>SUMIFS(приходи!$L:$L,приходи!$E:$E,'ПП Август'!$C$38,приходи!$M:$M,'ПП Август'!O2)</f>
        <v>0</v>
      </c>
      <c r="P38" s="74">
        <f>SUMIFS(приходи!$L:$L,приходи!$E:$E,'ПП Август'!$C$38,приходи!$M:$M,'ПП Август'!P2)</f>
        <v>0</v>
      </c>
      <c r="Q38" s="74">
        <f>SUMIFS(приходи!$L:$L,приходи!$E:$E,'ПП Август'!$C$38,приходи!$M:$M,'ПП Август'!Q2)</f>
        <v>0</v>
      </c>
      <c r="R38" s="74">
        <f>SUMIFS(приходи!$L:$L,приходи!$E:$E,'ПП Август'!$C$38,приходи!$M:$M,'ПП Август'!R2)</f>
        <v>0</v>
      </c>
      <c r="S38" s="74">
        <f>SUMIFS(приходи!$L:$L,приходи!$E:$E,'ПП Август'!$C$38,приходи!$M:$M,'ПП Август'!S2)</f>
        <v>0</v>
      </c>
      <c r="T38" s="74">
        <f>SUMIFS(приходи!$L:$L,приходи!$E:$E,'ПП Август'!$C$38,приходи!$M:$M,'ПП Август'!T2)</f>
        <v>0</v>
      </c>
      <c r="U38" s="76">
        <f>SUMIFS(приходи!$L:$L,приходи!$E:$E,'ПП Август'!$C$38,приходи!$M:$M,'ПП Август'!U2)</f>
        <v>0</v>
      </c>
      <c r="V38" s="76">
        <f>SUMIFS(приходи!$L:$L,приходи!$E:$E,'ПП Август'!$C$38,приходи!$M:$M,'ПП Август'!V2)</f>
        <v>0</v>
      </c>
      <c r="W38" s="74">
        <f>SUMIFS(приходи!$L:$L,приходи!$E:$E,'ПП Август'!$C$38,приходи!$M:$M,'ПП Август'!W2)</f>
        <v>0</v>
      </c>
      <c r="X38" s="74">
        <f>SUMIFS(приходи!$L:$L,приходи!$E:$E,'ПП Август'!$C$38,приходи!$M:$M,'ПП Август'!X2)</f>
        <v>0</v>
      </c>
      <c r="Y38" s="74">
        <f>SUMIFS(приходи!$L:$L,приходи!$E:$E,'ПП Август'!$C$38,приходи!$M:$M,'ПП Август'!Y2)</f>
        <v>0</v>
      </c>
      <c r="Z38" s="74">
        <f>SUMIFS(приходи!$L:$L,приходи!$E:$E,'ПП Август'!$C$38,приходи!$M:$M,'ПП Август'!Z2)</f>
        <v>0</v>
      </c>
      <c r="AA38" s="74">
        <f>SUMIFS(приходи!$L:$L,приходи!$E:$E,'ПП Август'!$C$38,приходи!$M:$M,'ПП Август'!AA2)</f>
        <v>0</v>
      </c>
      <c r="AB38" s="76">
        <f>SUMIFS(приходи!$L:$L,приходи!$E:$E,'ПП Август'!$C$38,приходи!$M:$M,'ПП Август'!AB2)</f>
        <v>0</v>
      </c>
      <c r="AC38" s="76">
        <f>SUMIFS(приходи!$L:$L,приходи!$E:$E,'ПП Август'!$C$38,приходи!$M:$M,'ПП Август'!AC2)</f>
        <v>0</v>
      </c>
      <c r="AD38" s="74">
        <f>SUMIFS(приходи!$L:$L,приходи!$E:$E,'ПП Август'!$C$38,приходи!$M:$M,'ПП Август'!AD2)</f>
        <v>0</v>
      </c>
      <c r="AE38" s="74">
        <f>SUMIFS(приходи!$L:$L,приходи!$E:$E,'ПП Август'!$C$38,приходи!$M:$M,'ПП Август'!AE2)</f>
        <v>0</v>
      </c>
      <c r="AF38" s="74">
        <f>SUMIFS(приходи!$L:$L,приходи!$E:$E,'ПП Август'!$C$38,приходи!$M:$M,'ПП Август'!AF2)</f>
        <v>0</v>
      </c>
      <c r="AG38" s="74">
        <f>SUMIFS(приходи!$L:$L,приходи!$E:$E,'ПП Август'!$C$38,приходи!$M:$M,'ПП Август'!AG2)</f>
        <v>0</v>
      </c>
      <c r="AH38" s="74">
        <f>SUMIFS(приходи!$L:$L,приходи!$E:$E,'ПП Август'!$C$38,приходи!$M:$M,'ПП Август'!AH2)</f>
        <v>0</v>
      </c>
      <c r="AI38" s="76">
        <f>SUMIFS(приходи!$L:$L,приходи!$E:$E,'ПП Август'!$C$38,приходи!$M:$M,'ПП Август'!AI2)</f>
        <v>0</v>
      </c>
      <c r="AJ38" s="61">
        <f t="shared" si="2"/>
        <v>0</v>
      </c>
      <c r="AK38" s="69">
        <f t="shared" si="3"/>
        <v>0</v>
      </c>
    </row>
    <row r="39" spans="1:37" s="4" customFormat="1" ht="20.100000000000001" customHeight="1" x14ac:dyDescent="0.3">
      <c r="B39" s="2" t="s">
        <v>856</v>
      </c>
      <c r="C39" s="3" t="s">
        <v>857</v>
      </c>
      <c r="D39" s="54">
        <f>SUM(D40,D45,D52,D57,D58,D78)</f>
        <v>8965199.3959169611</v>
      </c>
      <c r="E39" s="54">
        <f t="shared" ref="E39:AI39" si="11">SUM(E40,E45,E52,E57,E58)</f>
        <v>871418.43166552903</v>
      </c>
      <c r="F39" s="54">
        <f t="shared" si="11"/>
        <v>125593.94</v>
      </c>
      <c r="G39" s="54">
        <f t="shared" si="11"/>
        <v>0</v>
      </c>
      <c r="H39" s="54">
        <f t="shared" si="11"/>
        <v>0</v>
      </c>
      <c r="I39" s="54">
        <f t="shared" si="11"/>
        <v>79872.739999999991</v>
      </c>
      <c r="J39" s="54">
        <f t="shared" si="11"/>
        <v>84908.081999999995</v>
      </c>
      <c r="K39" s="54">
        <f t="shared" si="11"/>
        <v>0</v>
      </c>
      <c r="L39" s="54">
        <f t="shared" si="11"/>
        <v>461523.38800000004</v>
      </c>
      <c r="M39" s="54">
        <f t="shared" si="11"/>
        <v>266125.29856000002</v>
      </c>
      <c r="N39" s="54">
        <f t="shared" si="11"/>
        <v>0</v>
      </c>
      <c r="O39" s="54">
        <f t="shared" si="11"/>
        <v>0</v>
      </c>
      <c r="P39" s="54">
        <f t="shared" si="11"/>
        <v>49251.55</v>
      </c>
      <c r="Q39" s="54">
        <f t="shared" si="11"/>
        <v>696275.67210016004</v>
      </c>
      <c r="R39" s="54">
        <f t="shared" si="11"/>
        <v>1084477.8360000001</v>
      </c>
      <c r="S39" s="54">
        <f t="shared" si="11"/>
        <v>615686.74</v>
      </c>
      <c r="T39" s="54">
        <f t="shared" si="11"/>
        <v>0</v>
      </c>
      <c r="U39" s="54">
        <f t="shared" si="11"/>
        <v>0</v>
      </c>
      <c r="V39" s="54">
        <f t="shared" si="11"/>
        <v>0</v>
      </c>
      <c r="W39" s="54">
        <f t="shared" si="11"/>
        <v>0</v>
      </c>
      <c r="X39" s="54">
        <f t="shared" si="11"/>
        <v>5978.4699999999993</v>
      </c>
      <c r="Y39" s="54">
        <f t="shared" si="11"/>
        <v>0</v>
      </c>
      <c r="Z39" s="54">
        <f t="shared" si="11"/>
        <v>2123401.3359999997</v>
      </c>
      <c r="AA39" s="54">
        <f t="shared" si="11"/>
        <v>1047206.5200000001</v>
      </c>
      <c r="AB39" s="54">
        <f t="shared" si="11"/>
        <v>0</v>
      </c>
      <c r="AC39" s="54">
        <f t="shared" si="11"/>
        <v>0</v>
      </c>
      <c r="AD39" s="54">
        <f t="shared" si="11"/>
        <v>0</v>
      </c>
      <c r="AE39" s="54">
        <f t="shared" si="11"/>
        <v>0</v>
      </c>
      <c r="AF39" s="54">
        <f t="shared" si="11"/>
        <v>0</v>
      </c>
      <c r="AG39" s="54">
        <f t="shared" si="11"/>
        <v>0</v>
      </c>
      <c r="AH39" s="54">
        <f t="shared" si="11"/>
        <v>0</v>
      </c>
      <c r="AI39" s="54">
        <f t="shared" si="11"/>
        <v>0</v>
      </c>
      <c r="AJ39" s="54">
        <f t="shared" si="2"/>
        <v>7511720.0043256888</v>
      </c>
      <c r="AK39" s="54">
        <f t="shared" si="3"/>
        <v>1453479.3915912723</v>
      </c>
    </row>
    <row r="40" spans="1:37" s="4" customFormat="1" ht="20.100000000000001" customHeight="1" x14ac:dyDescent="0.3">
      <c r="B40" s="7">
        <v>1</v>
      </c>
      <c r="C40" s="8" t="s">
        <v>858</v>
      </c>
      <c r="D40" s="73">
        <f t="shared" ref="D40" si="12">SUM(D42:D44)</f>
        <v>8324814.4599799998</v>
      </c>
      <c r="E40" s="73">
        <f t="shared" ref="E40:AI40" si="13">SUM(E41:E44)</f>
        <v>871418.43166552903</v>
      </c>
      <c r="F40" s="73">
        <f t="shared" si="13"/>
        <v>125593.94</v>
      </c>
      <c r="G40" s="77">
        <f t="shared" si="13"/>
        <v>0</v>
      </c>
      <c r="H40" s="77">
        <f t="shared" si="13"/>
        <v>0</v>
      </c>
      <c r="I40" s="73">
        <f t="shared" si="13"/>
        <v>79872.739999999991</v>
      </c>
      <c r="J40" s="73">
        <f t="shared" si="13"/>
        <v>84882.39</v>
      </c>
      <c r="K40" s="73">
        <f t="shared" si="13"/>
        <v>0</v>
      </c>
      <c r="L40" s="73">
        <f t="shared" si="13"/>
        <v>109251.47999999998</v>
      </c>
      <c r="M40" s="73">
        <f t="shared" si="13"/>
        <v>2021.3999999999999</v>
      </c>
      <c r="N40" s="77">
        <f t="shared" si="13"/>
        <v>0</v>
      </c>
      <c r="O40" s="77">
        <f t="shared" si="13"/>
        <v>0</v>
      </c>
      <c r="P40" s="73">
        <f t="shared" si="13"/>
        <v>41192.300000000003</v>
      </c>
      <c r="Q40" s="73">
        <f t="shared" si="13"/>
        <v>693274.94210016006</v>
      </c>
      <c r="R40" s="73">
        <f t="shared" si="13"/>
        <v>1084477.8360000001</v>
      </c>
      <c r="S40" s="73">
        <f t="shared" si="13"/>
        <v>615686.74</v>
      </c>
      <c r="T40" s="73">
        <f t="shared" si="13"/>
        <v>0</v>
      </c>
      <c r="U40" s="77">
        <f t="shared" si="13"/>
        <v>0</v>
      </c>
      <c r="V40" s="77">
        <f t="shared" si="13"/>
        <v>0</v>
      </c>
      <c r="W40" s="73">
        <f t="shared" si="13"/>
        <v>0</v>
      </c>
      <c r="X40" s="73">
        <f t="shared" si="13"/>
        <v>0</v>
      </c>
      <c r="Y40" s="73">
        <f t="shared" si="13"/>
        <v>0</v>
      </c>
      <c r="Z40" s="73">
        <f t="shared" si="13"/>
        <v>2123401.3359999997</v>
      </c>
      <c r="AA40" s="73">
        <f t="shared" si="13"/>
        <v>1047206.5200000001</v>
      </c>
      <c r="AB40" s="77">
        <f t="shared" si="13"/>
        <v>0</v>
      </c>
      <c r="AC40" s="77">
        <f t="shared" si="13"/>
        <v>0</v>
      </c>
      <c r="AD40" s="73">
        <f t="shared" si="13"/>
        <v>0</v>
      </c>
      <c r="AE40" s="73">
        <f t="shared" si="13"/>
        <v>0</v>
      </c>
      <c r="AF40" s="73">
        <f t="shared" si="13"/>
        <v>0</v>
      </c>
      <c r="AG40" s="73">
        <f t="shared" si="13"/>
        <v>0</v>
      </c>
      <c r="AH40" s="73">
        <f t="shared" si="13"/>
        <v>0</v>
      </c>
      <c r="AI40" s="77">
        <f t="shared" si="13"/>
        <v>0</v>
      </c>
      <c r="AJ40" s="61">
        <f t="shared" si="2"/>
        <v>6878280.0557656894</v>
      </c>
      <c r="AK40" s="58">
        <f t="shared" si="3"/>
        <v>1446534.4042143105</v>
      </c>
    </row>
    <row r="41" spans="1:37" s="36" customFormat="1" ht="20.100000000000001" customHeight="1" outlineLevel="1" x14ac:dyDescent="0.3">
      <c r="A41" s="33"/>
      <c r="B41" s="34"/>
      <c r="C41" s="35" t="s">
        <v>859</v>
      </c>
      <c r="D41" s="79">
        <v>11274706.944</v>
      </c>
      <c r="E41" s="75"/>
      <c r="F41" s="75"/>
      <c r="G41" s="78"/>
      <c r="H41" s="78"/>
      <c r="I41" s="75"/>
      <c r="J41" s="75"/>
      <c r="K41" s="75"/>
      <c r="L41" s="75"/>
      <c r="M41" s="75"/>
      <c r="N41" s="78"/>
      <c r="O41" s="78"/>
      <c r="P41" s="75"/>
      <c r="Q41" s="75"/>
      <c r="R41" s="75"/>
      <c r="S41" s="75"/>
      <c r="T41" s="75"/>
      <c r="U41" s="78"/>
      <c r="V41" s="78"/>
      <c r="W41" s="75"/>
      <c r="X41" s="75"/>
      <c r="Y41" s="75"/>
      <c r="Z41" s="75"/>
      <c r="AA41" s="75"/>
      <c r="AB41" s="78"/>
      <c r="AC41" s="78"/>
      <c r="AD41" s="75"/>
      <c r="AE41" s="75"/>
      <c r="AF41" s="75"/>
      <c r="AG41" s="75"/>
      <c r="AH41" s="75"/>
      <c r="AI41" s="78"/>
      <c r="AJ41" s="66">
        <f t="shared" si="2"/>
        <v>0</v>
      </c>
      <c r="AK41" s="67">
        <f t="shared" si="3"/>
        <v>11274706.944</v>
      </c>
    </row>
    <row r="42" spans="1:37" s="21" customFormat="1" ht="20.100000000000001" customHeight="1" outlineLevel="1" x14ac:dyDescent="0.3">
      <c r="A42" s="27"/>
      <c r="B42" s="22"/>
      <c r="C42" s="8" t="s">
        <v>263</v>
      </c>
      <c r="D42" s="80">
        <v>6903534.4599799998</v>
      </c>
      <c r="E42" s="74">
        <f>SUMIFS(разходи!$L:$L,разходи!$E:$E,'ПП Август'!$C$42,разходи!$M:$M,'ПП Август'!E2)</f>
        <v>577206.31000000006</v>
      </c>
      <c r="F42" s="74">
        <f>SUMIFS(разходи!$L:$L,разходи!$E:$E,'ПП Август'!$C$42,разходи!$M:$M,'ПП Август'!F2)</f>
        <v>0</v>
      </c>
      <c r="G42" s="76">
        <f>SUMIFS(разходи!$L:$L,разходи!$E:$E,'ПП Август'!$C$42,разходи!$M:$M,'ПП Август'!G2)</f>
        <v>0</v>
      </c>
      <c r="H42" s="76">
        <f>SUMIFS(разходи!$L:$L,разходи!$E:$E,'ПП Август'!$C$42,разходи!$M:$M,'ПП Август'!H2)</f>
        <v>0</v>
      </c>
      <c r="I42" s="74">
        <f>SUMIFS(разходи!$L:$L,разходи!$E:$E,'ПП Август'!$C$42,разходи!$M:$M,'ПП Август'!I2)</f>
        <v>0</v>
      </c>
      <c r="J42" s="74">
        <f>SUMIFS(разходи!$L:$L,разходи!$E:$E,'ПП Август'!$C$42,разходи!$M:$M,'ПП Август'!J2)</f>
        <v>18415.89</v>
      </c>
      <c r="K42" s="74">
        <f>SUMIFS(разходи!$L:$L,разходи!$E:$E,'ПП Август'!$C$42,разходи!$M:$M,'ПП Август'!K2)</f>
        <v>0</v>
      </c>
      <c r="L42" s="74">
        <f>SUMIFS(разходи!$L:$L,разходи!$E:$E,'ПП Август'!$C$42,разходи!$M:$M,'ПП Август'!L2)</f>
        <v>0</v>
      </c>
      <c r="M42" s="74">
        <f>SUMIFS(разходи!$L:$L,разходи!$E:$E,'ПП Август'!$C$42,разходи!$M:$M,'ПП Август'!M2)</f>
        <v>0</v>
      </c>
      <c r="N42" s="76">
        <f>SUMIFS(разходи!$L:$L,разходи!$E:$E,'ПП Август'!$C$42,разходи!$M:$M,'ПП Август'!N2)</f>
        <v>0</v>
      </c>
      <c r="O42" s="76">
        <f>SUMIFS(разходи!$L:$L,разходи!$E:$E,'ПП Август'!$C$42,разходи!$M:$M,'ПП Август'!O2)</f>
        <v>0</v>
      </c>
      <c r="P42" s="74">
        <f>SUMIFS(разходи!$L:$L,разходи!$E:$E,'ПП Август'!$C$42,разходи!$M:$M,'ПП Август'!P2)</f>
        <v>0</v>
      </c>
      <c r="Q42" s="74">
        <f>SUMIFS(разходи!$L:$L,разходи!$E:$E,'ПП Август'!$C$42,разходи!$M:$M,'ПП Август'!Q2)</f>
        <v>671949.92</v>
      </c>
      <c r="R42" s="74">
        <f>SUMIFS(разходи!$L:$L,разходи!$E:$E,'ПП Август'!$C$42,разходи!$M:$M,'ПП Август'!R2)</f>
        <v>1084477.8360000001</v>
      </c>
      <c r="S42" s="74">
        <f>SUMIFS(разходи!$L:$L,разходи!$E:$E,'ПП Август'!$C$42,разходи!$M:$M,'ПП Август'!S2)</f>
        <v>615686.74</v>
      </c>
      <c r="T42" s="74">
        <f>SUMIFS(разходи!$L:$L,разходи!$E:$E,'ПП Август'!$C$42,разходи!$M:$M,'ПП Август'!T2)</f>
        <v>0</v>
      </c>
      <c r="U42" s="76">
        <f>SUMIFS(разходи!$L:$L,разходи!$E:$E,'ПП Август'!$C$42,разходи!$M:$M,'ПП Август'!U2)</f>
        <v>0</v>
      </c>
      <c r="V42" s="76">
        <f>SUMIFS(разходи!$L:$L,разходи!$E:$E,'ПП Август'!$C$42,разходи!$M:$M,'ПП Август'!V2)</f>
        <v>0</v>
      </c>
      <c r="W42" s="74">
        <f>SUMIFS(разходи!$L:$L,разходи!$E:$E,'ПП Август'!$C$42,разходи!$M:$M,'ПП Август'!W2)</f>
        <v>0</v>
      </c>
      <c r="X42" s="74">
        <f>SUMIFS(разходи!$L:$L,разходи!$E:$E,'ПП Август'!$C$42,разходи!$M:$M,'ПП Август'!X2)</f>
        <v>0</v>
      </c>
      <c r="Y42" s="74">
        <f>SUMIFS(разходи!$L:$L,разходи!$E:$E,'ПП Август'!$C$42,разходи!$M:$M,'ПП Август'!Y2)</f>
        <v>0</v>
      </c>
      <c r="Z42" s="74">
        <f>SUMIFS(разходи!$L:$L,разходи!$E:$E,'ПП Август'!$C$42,разходи!$M:$M,'ПП Август'!Z2)</f>
        <v>2037916.8399999999</v>
      </c>
      <c r="AA42" s="74">
        <f>SUMIFS(разходи!$L:$L,разходи!$E:$E,'ПП Август'!$C$42,разходи!$M:$M,'ПП Август'!AA2)</f>
        <v>1047206.5200000001</v>
      </c>
      <c r="AB42" s="76">
        <f>SUMIFS(разходи!$L:$L,разходи!$E:$E,'ПП Август'!$C$42,разходи!$M:$M,'ПП Август'!AB2)</f>
        <v>0</v>
      </c>
      <c r="AC42" s="76">
        <f>SUMIFS(разходи!$L:$L,разходи!$E:$E,'ПП Август'!$C$42,разходи!$M:$M,'ПП Август'!AC2)</f>
        <v>0</v>
      </c>
      <c r="AD42" s="74">
        <f>SUMIFS(разходи!$L:$L,разходи!$E:$E,'ПП Август'!$C$42,разходи!$M:$M,'ПП Август'!AD2)</f>
        <v>0</v>
      </c>
      <c r="AE42" s="74">
        <f>SUMIFS(разходи!$L:$L,разходи!$E:$E,'ПП Август'!$C$42,разходи!$M:$M,'ПП Август'!AE2)</f>
        <v>0</v>
      </c>
      <c r="AF42" s="74">
        <f>SUMIFS(разходи!$L:$L,разходи!$E:$E,'ПП Август'!$C$42,разходи!$M:$M,'ПП Август'!AF2)</f>
        <v>0</v>
      </c>
      <c r="AG42" s="74">
        <f>SUMIFS(разходи!$L:$L,разходи!$E:$E,'ПП Август'!$C$42,разходи!$M:$M,'ПП Август'!AG2)</f>
        <v>0</v>
      </c>
      <c r="AH42" s="74">
        <f>SUMIFS(разходи!$L:$L,разходи!$E:$E,'ПП Август'!$C$42,разходи!$M:$M,'ПП Август'!AH2)</f>
        <v>0</v>
      </c>
      <c r="AI42" s="76">
        <f>SUMIFS(разходи!$L:$L,разходи!$E:$E,'ПП Август'!$C$42,разходи!$M:$M,'ПП Август'!AI2)</f>
        <v>0</v>
      </c>
      <c r="AJ42" s="61">
        <f t="shared" si="2"/>
        <v>6052860.0560000008</v>
      </c>
      <c r="AK42" s="69">
        <f t="shared" si="3"/>
        <v>850674.40397999901</v>
      </c>
    </row>
    <row r="43" spans="1:37" s="21" customFormat="1" ht="20.100000000000001" customHeight="1" outlineLevel="1" x14ac:dyDescent="0.3">
      <c r="A43" s="27"/>
      <c r="B43" s="22"/>
      <c r="C43" s="8" t="s">
        <v>131</v>
      </c>
      <c r="D43" s="80">
        <v>1354080</v>
      </c>
      <c r="E43" s="74">
        <f>SUMIFS(разходи!$L:$L,разходи!$E:$E,'ПП Август'!$C$43,разходи!$M:$M,'ПП Август'!E2)</f>
        <v>294212.12166552898</v>
      </c>
      <c r="F43" s="74">
        <f>SUMIFS(разходи!$L:$L,разходи!$E:$E,'ПП Август'!$C$43,разходи!$M:$M,'ПП Август'!F2)</f>
        <v>125593.94</v>
      </c>
      <c r="G43" s="76">
        <f>SUMIFS(разходи!$L:$L,разходи!$E:$E,'ПП Август'!$C$43,разходи!$M:$M,'ПП Август'!G2)</f>
        <v>0</v>
      </c>
      <c r="H43" s="76">
        <f>SUMIFS(разходи!$L:$L,разходи!$E:$E,'ПП Август'!$C$43,разходи!$M:$M,'ПП Август'!H2)</f>
        <v>0</v>
      </c>
      <c r="I43" s="74">
        <f>SUMIFS(разходи!$L:$L,разходи!$E:$E,'ПП Август'!$C$43,разходи!$M:$M,'ПП Август'!I2)</f>
        <v>79872.739999999991</v>
      </c>
      <c r="J43" s="74">
        <f>SUMIFS(разходи!$L:$L,разходи!$E:$E,'ПП Август'!$C$43,разходи!$M:$M,'ПП Август'!J2)</f>
        <v>66466.5</v>
      </c>
      <c r="K43" s="74">
        <f>SUMIFS(разходи!$L:$L,разходи!$E:$E,'ПП Август'!$C$43,разходи!$M:$M,'ПП Август'!K2)</f>
        <v>0</v>
      </c>
      <c r="L43" s="74">
        <f>SUMIFS(разходи!$L:$L,разходи!$E:$E,'ПП Август'!$C$43,разходи!$M:$M,'ПП Август'!L2)</f>
        <v>109251.47999999998</v>
      </c>
      <c r="M43" s="74">
        <f>SUMIFS(разходи!$L:$L,разходи!$E:$E,'ПП Август'!$C$43,разходи!$M:$M,'ПП Август'!M2)</f>
        <v>2021.3999999999999</v>
      </c>
      <c r="N43" s="76">
        <f>SUMIFS(разходи!$L:$L,разходи!$E:$E,'ПП Август'!$C$43,разходи!$M:$M,'ПП Август'!N2)</f>
        <v>0</v>
      </c>
      <c r="O43" s="76">
        <f>SUMIFS(разходи!$L:$L,разходи!$E:$E,'ПП Август'!$C$43,разходи!$M:$M,'ПП Август'!O2)</f>
        <v>0</v>
      </c>
      <c r="P43" s="74">
        <f>SUMIFS(разходи!$L:$L,разходи!$E:$E,'ПП Август'!$C$43,разходи!$M:$M,'ПП Август'!P2)</f>
        <v>41192.300000000003</v>
      </c>
      <c r="Q43" s="74">
        <f>SUMIFS(разходи!$L:$L,разходи!$E:$E,'ПП Август'!$C$43,разходи!$M:$M,'ПП Август'!Q2)</f>
        <v>21325.02210016</v>
      </c>
      <c r="R43" s="74">
        <f>SUMIFS(разходи!$L:$L,разходи!$E:$E,'ПП Август'!$C$43,разходи!$M:$M,'ПП Август'!R2)</f>
        <v>0</v>
      </c>
      <c r="S43" s="74">
        <f>SUMIFS(разходи!$L:$L,разходи!$E:$E,'ПП Август'!$C$43,разходи!$M:$M,'ПП Август'!S2)</f>
        <v>0</v>
      </c>
      <c r="T43" s="74">
        <f>SUMIFS(разходи!$L:$L,разходи!$E:$E,'ПП Август'!$C$43,разходи!$M:$M,'ПП Август'!T2)</f>
        <v>0</v>
      </c>
      <c r="U43" s="76">
        <f>SUMIFS(разходи!$L:$L,разходи!$E:$E,'ПП Август'!$C$43,разходи!$M:$M,'ПП Август'!U2)</f>
        <v>0</v>
      </c>
      <c r="V43" s="76">
        <f>SUMIFS(разходи!$L:$L,разходи!$E:$E,'ПП Август'!$C$43,разходи!$M:$M,'ПП Август'!V2)</f>
        <v>0</v>
      </c>
      <c r="W43" s="74">
        <f>SUMIFS(разходи!$L:$L,разходи!$E:$E,'ПП Август'!$C$43,разходи!$M:$M,'ПП Август'!W2)</f>
        <v>0</v>
      </c>
      <c r="X43" s="74">
        <f>SUMIFS(разходи!$L:$L,разходи!$E:$E,'ПП Август'!$C$43,разходи!$M:$M,'ПП Август'!X2)</f>
        <v>0</v>
      </c>
      <c r="Y43" s="74">
        <f>SUMIFS(разходи!$L:$L,разходи!$E:$E,'ПП Август'!$C$43,разходи!$M:$M,'ПП Август'!Y2)</f>
        <v>0</v>
      </c>
      <c r="Z43" s="74">
        <f>SUMIFS(разходи!$L:$L,разходи!$E:$E,'ПП Август'!$C$43,разходи!$M:$M,'ПП Август'!Z2)</f>
        <v>0</v>
      </c>
      <c r="AA43" s="74">
        <f>SUMIFS(разходи!$L:$L,разходи!$E:$E,'ПП Август'!$C$43,разходи!$M:$M,'ПП Август'!AA2)</f>
        <v>0</v>
      </c>
      <c r="AB43" s="76">
        <f>SUMIFS(разходи!$L:$L,разходи!$E:$E,'ПП Август'!$C$43,разходи!$M:$M,'ПП Август'!AB2)</f>
        <v>0</v>
      </c>
      <c r="AC43" s="76">
        <f>SUMIFS(разходи!$L:$L,разходи!$E:$E,'ПП Август'!$C$43,разходи!$M:$M,'ПП Август'!AC2)</f>
        <v>0</v>
      </c>
      <c r="AD43" s="74">
        <f>SUMIFS(разходи!$L:$L,разходи!$E:$E,'ПП Август'!$C$43,разходи!$M:$M,'ПП Август'!AD2)</f>
        <v>0</v>
      </c>
      <c r="AE43" s="74">
        <f>SUMIFS(разходи!$L:$L,разходи!$E:$E,'ПП Август'!$C$43,разходи!$M:$M,'ПП Август'!AE2)</f>
        <v>0</v>
      </c>
      <c r="AF43" s="74">
        <f>SUMIFS(разходи!$L:$L,разходи!$E:$E,'ПП Август'!$C$43,разходи!$M:$M,'ПП Август'!AF2)</f>
        <v>0</v>
      </c>
      <c r="AG43" s="74">
        <f>SUMIFS(разходи!$L:$L,разходи!$E:$E,'ПП Август'!$C$43,разходи!$M:$M,'ПП Август'!AG2)</f>
        <v>0</v>
      </c>
      <c r="AH43" s="74">
        <f>SUMIFS(разходи!$L:$L,разходи!$E:$E,'ПП Август'!$C$43,разходи!$M:$M,'ПП Август'!AH2)</f>
        <v>0</v>
      </c>
      <c r="AI43" s="76">
        <f>SUMIFS(разходи!$L:$L,разходи!$E:$E,'ПП Август'!$C$43,разходи!$M:$M,'ПП Август'!AI2)</f>
        <v>0</v>
      </c>
      <c r="AJ43" s="61">
        <f t="shared" si="2"/>
        <v>739935.50376568898</v>
      </c>
      <c r="AK43" s="69">
        <f t="shared" si="3"/>
        <v>614144.49623431102</v>
      </c>
    </row>
    <row r="44" spans="1:37" s="21" customFormat="1" ht="20.100000000000001" customHeight="1" outlineLevel="1" x14ac:dyDescent="0.3">
      <c r="A44" s="27"/>
      <c r="B44" s="22"/>
      <c r="C44" s="8" t="s">
        <v>328</v>
      </c>
      <c r="D44" s="80">
        <v>67200</v>
      </c>
      <c r="E44" s="74">
        <f>SUMIFS(разходи!$L:$L,разходи!$E:$E,'ПП Август'!$C$44,разходи!$M:$M,'ПП Август'!E2)</f>
        <v>0</v>
      </c>
      <c r="F44" s="74">
        <f>SUMIFS(разходи!$L:$L,разходи!$E:$E,'ПП Август'!$C$44,разходи!$M:$M,'ПП Август'!F2)</f>
        <v>0</v>
      </c>
      <c r="G44" s="76">
        <f>SUMIFS(разходи!$L:$L,разходи!$E:$E,'ПП Август'!$C$44,разходи!$M:$M,'ПП Август'!G2)</f>
        <v>0</v>
      </c>
      <c r="H44" s="76">
        <f>SUMIFS(разходи!$L:$L,разходи!$E:$E,'ПП Август'!$C$44,разходи!$M:$M,'ПП Август'!H2)</f>
        <v>0</v>
      </c>
      <c r="I44" s="74">
        <f>SUMIFS(разходи!$L:$L,разходи!$E:$E,'ПП Август'!$C$44,разходи!$M:$M,'ПП Август'!I2)</f>
        <v>0</v>
      </c>
      <c r="J44" s="74">
        <f>SUMIFS(разходи!$L:$L,разходи!$E:$E,'ПП Август'!$C$44,разходи!$M:$M,'ПП Август'!J2)</f>
        <v>0</v>
      </c>
      <c r="K44" s="74">
        <f>SUMIFS(разходи!$L:$L,разходи!$E:$E,'ПП Август'!$C$44,разходи!$M:$M,'ПП Август'!K2)</f>
        <v>0</v>
      </c>
      <c r="L44" s="74">
        <f>SUMIFS(разходи!$L:$L,разходи!$E:$E,'ПП Август'!$C$44,разходи!$M:$M,'ПП Август'!L2)</f>
        <v>0</v>
      </c>
      <c r="M44" s="74">
        <f>SUMIFS(разходи!$L:$L,разходи!$E:$E,'ПП Август'!$C$44,разходи!$M:$M,'ПП Август'!M2)</f>
        <v>0</v>
      </c>
      <c r="N44" s="76">
        <f>SUMIFS(разходи!$L:$L,разходи!$E:$E,'ПП Август'!$C$44,разходи!$M:$M,'ПП Август'!N2)</f>
        <v>0</v>
      </c>
      <c r="O44" s="76">
        <f>SUMIFS(разходи!$L:$L,разходи!$E:$E,'ПП Август'!$C$44,разходи!$M:$M,'ПП Август'!O2)</f>
        <v>0</v>
      </c>
      <c r="P44" s="74">
        <f>SUMIFS(разходи!$L:$L,разходи!$E:$E,'ПП Август'!$C$44,разходи!$M:$M,'ПП Август'!P2)</f>
        <v>0</v>
      </c>
      <c r="Q44" s="74">
        <f>SUMIFS(разходи!$L:$L,разходи!$E:$E,'ПП Август'!$C$44,разходи!$M:$M,'ПП Август'!Q2)</f>
        <v>0</v>
      </c>
      <c r="R44" s="74">
        <f>SUMIFS(разходи!$L:$L,разходи!$E:$E,'ПП Август'!$C$44,разходи!$M:$M,'ПП Август'!R2)</f>
        <v>0</v>
      </c>
      <c r="S44" s="74">
        <f>SUMIFS(разходи!$L:$L,разходи!$E:$E,'ПП Август'!$C$44,разходи!$M:$M,'ПП Август'!S2)</f>
        <v>0</v>
      </c>
      <c r="T44" s="74">
        <f>SUMIFS(разходи!$L:$L,разходи!$E:$E,'ПП Август'!$C$44,разходи!$M:$M,'ПП Август'!T2)</f>
        <v>0</v>
      </c>
      <c r="U44" s="76">
        <f>SUMIFS(разходи!$L:$L,разходи!$E:$E,'ПП Август'!$C$44,разходи!$M:$M,'ПП Август'!U2)</f>
        <v>0</v>
      </c>
      <c r="V44" s="76">
        <f>SUMIFS(разходи!$L:$L,разходи!$E:$E,'ПП Август'!$C$44,разходи!$M:$M,'ПП Август'!V2)</f>
        <v>0</v>
      </c>
      <c r="W44" s="74">
        <f>SUMIFS(разходи!$L:$L,разходи!$E:$E,'ПП Август'!$C$44,разходи!$M:$M,'ПП Август'!W2)</f>
        <v>0</v>
      </c>
      <c r="X44" s="74">
        <f>SUMIFS(разходи!$L:$L,разходи!$E:$E,'ПП Август'!$C$44,разходи!$M:$M,'ПП Август'!X2)</f>
        <v>0</v>
      </c>
      <c r="Y44" s="74">
        <f>SUMIFS(разходи!$L:$L,разходи!$E:$E,'ПП Август'!$C$44,разходи!$M:$M,'ПП Август'!Y2)</f>
        <v>0</v>
      </c>
      <c r="Z44" s="74">
        <f>SUMIFS(разходи!$L:$L,разходи!$E:$E,'ПП Август'!$C$44,разходи!$M:$M,'ПП Август'!Z2)</f>
        <v>85484.495999999999</v>
      </c>
      <c r="AA44" s="74">
        <f>SUMIFS(разходи!$L:$L,разходи!$E:$E,'ПП Август'!$C$44,разходи!$M:$M,'ПП Август'!AA2)</f>
        <v>0</v>
      </c>
      <c r="AB44" s="76">
        <f>SUMIFS(разходи!$L:$L,разходи!$E:$E,'ПП Август'!$C$44,разходи!$M:$M,'ПП Август'!AB2)</f>
        <v>0</v>
      </c>
      <c r="AC44" s="76">
        <f>SUMIFS(разходи!$L:$L,разходи!$E:$E,'ПП Август'!$C$44,разходи!$M:$M,'ПП Август'!AC2)</f>
        <v>0</v>
      </c>
      <c r="AD44" s="74">
        <f>SUMIFS(разходи!$L:$L,разходи!$E:$E,'ПП Август'!$C$44,разходи!$M:$M,'ПП Август'!AD2)</f>
        <v>0</v>
      </c>
      <c r="AE44" s="74">
        <f>SUMIFS(разходи!$L:$L,разходи!$E:$E,'ПП Август'!$C$44,разходи!$M:$M,'ПП Август'!AE2)</f>
        <v>0</v>
      </c>
      <c r="AF44" s="74">
        <f>SUMIFS(разходи!$L:$L,разходи!$E:$E,'ПП Август'!$C$44,разходи!$M:$M,'ПП Август'!AF2)</f>
        <v>0</v>
      </c>
      <c r="AG44" s="74">
        <f>SUMIFS(разходи!$L:$L,разходи!$E:$E,'ПП Август'!$C$44,разходи!$M:$M,'ПП Август'!AG2)</f>
        <v>0</v>
      </c>
      <c r="AH44" s="74">
        <f>SUMIFS(разходи!$L:$L,разходи!$E:$E,'ПП Август'!$C$44,разходи!$M:$M,'ПП Август'!AH2)</f>
        <v>0</v>
      </c>
      <c r="AI44" s="76">
        <f>SUMIFS(разходи!$L:$L,разходи!$E:$E,'ПП Август'!$C$44,разходи!$M:$M,'ПП Август'!AI2)</f>
        <v>0</v>
      </c>
      <c r="AJ44" s="61">
        <f t="shared" si="2"/>
        <v>85484.495999999999</v>
      </c>
      <c r="AK44" s="69">
        <f t="shared" si="3"/>
        <v>-18284.495999999999</v>
      </c>
    </row>
    <row r="45" spans="1:37" s="4" customFormat="1" ht="20.100000000000001" customHeight="1" x14ac:dyDescent="0.3">
      <c r="A45" s="9"/>
      <c r="B45" s="7">
        <v>2</v>
      </c>
      <c r="C45" s="8" t="s">
        <v>860</v>
      </c>
      <c r="D45" s="74">
        <f t="shared" ref="D45" si="14">SUM(D46:D51)</f>
        <v>228871.85179680004</v>
      </c>
      <c r="E45" s="74">
        <f t="shared" ref="E45:AI45" si="15">SUM(E46:E51)</f>
        <v>0</v>
      </c>
      <c r="F45" s="74">
        <f t="shared" si="15"/>
        <v>0</v>
      </c>
      <c r="G45" s="76">
        <f t="shared" si="15"/>
        <v>0</v>
      </c>
      <c r="H45" s="76">
        <f t="shared" si="15"/>
        <v>0</v>
      </c>
      <c r="I45" s="74">
        <f t="shared" si="15"/>
        <v>0</v>
      </c>
      <c r="J45" s="74">
        <f t="shared" si="15"/>
        <v>0</v>
      </c>
      <c r="K45" s="74">
        <f t="shared" si="15"/>
        <v>0</v>
      </c>
      <c r="L45" s="74">
        <f t="shared" si="15"/>
        <v>257895.79199999999</v>
      </c>
      <c r="M45" s="74">
        <f t="shared" si="15"/>
        <v>162656.58480000001</v>
      </c>
      <c r="N45" s="76">
        <f t="shared" si="15"/>
        <v>0</v>
      </c>
      <c r="O45" s="76">
        <f t="shared" si="15"/>
        <v>0</v>
      </c>
      <c r="P45" s="74">
        <f t="shared" si="15"/>
        <v>0</v>
      </c>
      <c r="Q45" s="74">
        <f t="shared" si="15"/>
        <v>0</v>
      </c>
      <c r="R45" s="74">
        <f t="shared" si="15"/>
        <v>0</v>
      </c>
      <c r="S45" s="74">
        <f t="shared" si="15"/>
        <v>0</v>
      </c>
      <c r="T45" s="74">
        <f t="shared" si="15"/>
        <v>0</v>
      </c>
      <c r="U45" s="76">
        <f t="shared" si="15"/>
        <v>0</v>
      </c>
      <c r="V45" s="76">
        <f t="shared" si="15"/>
        <v>0</v>
      </c>
      <c r="W45" s="74">
        <f t="shared" si="15"/>
        <v>0</v>
      </c>
      <c r="X45" s="74">
        <f t="shared" si="15"/>
        <v>0</v>
      </c>
      <c r="Y45" s="74">
        <f t="shared" si="15"/>
        <v>0</v>
      </c>
      <c r="Z45" s="74">
        <f t="shared" si="15"/>
        <v>0</v>
      </c>
      <c r="AA45" s="74">
        <f t="shared" si="15"/>
        <v>0</v>
      </c>
      <c r="AB45" s="76">
        <f t="shared" si="15"/>
        <v>0</v>
      </c>
      <c r="AC45" s="76">
        <f t="shared" si="15"/>
        <v>0</v>
      </c>
      <c r="AD45" s="74">
        <f t="shared" si="15"/>
        <v>0</v>
      </c>
      <c r="AE45" s="74">
        <f t="shared" si="15"/>
        <v>0</v>
      </c>
      <c r="AF45" s="74">
        <f t="shared" si="15"/>
        <v>0</v>
      </c>
      <c r="AG45" s="74">
        <f t="shared" si="15"/>
        <v>0</v>
      </c>
      <c r="AH45" s="74">
        <f t="shared" si="15"/>
        <v>0</v>
      </c>
      <c r="AI45" s="76">
        <f t="shared" si="15"/>
        <v>0</v>
      </c>
      <c r="AJ45" s="61">
        <f t="shared" si="2"/>
        <v>420552.37679999997</v>
      </c>
      <c r="AK45" s="62">
        <f t="shared" si="3"/>
        <v>-191680.52500319993</v>
      </c>
    </row>
    <row r="46" spans="1:37" s="21" customFormat="1" ht="20.100000000000001" customHeight="1" outlineLevel="1" x14ac:dyDescent="0.3">
      <c r="A46" s="27"/>
      <c r="B46" s="22"/>
      <c r="C46" s="8" t="s">
        <v>458</v>
      </c>
      <c r="D46" s="80">
        <v>209732.27656800003</v>
      </c>
      <c r="E46" s="74">
        <f>SUMIFS(разходи!$L:$L,разходи!$E:$E,'ПП Август'!$C$46,разходи!$M:$M,'ПП Август'!E2)</f>
        <v>0</v>
      </c>
      <c r="F46" s="74">
        <f>SUMIFS(разходи!$L:$L,разходи!$E:$E,'ПП Август'!$C$46,разходи!$M:$M,'ПП Август'!F2)</f>
        <v>0</v>
      </c>
      <c r="G46" s="76">
        <f>SUMIFS(разходи!$L:$L,разходи!$E:$E,'ПП Август'!$C$46,разходи!$M:$M,'ПП Август'!G2)</f>
        <v>0</v>
      </c>
      <c r="H46" s="76">
        <f>SUMIFS(разходи!$L:$L,разходи!$E:$E,'ПП Август'!$C$46,разходи!$M:$M,'ПП Август'!H2)</f>
        <v>0</v>
      </c>
      <c r="I46" s="74">
        <f>SUMIFS(разходи!$L:$L,разходи!$E:$E,'ПП Август'!$C$46,разходи!$M:$M,'ПП Август'!I2)</f>
        <v>0</v>
      </c>
      <c r="J46" s="74">
        <f>SUMIFS(разходи!$L:$L,разходи!$E:$E,'ПП Август'!$C$46,разходи!$M:$M,'ПП Август'!J2)</f>
        <v>0</v>
      </c>
      <c r="K46" s="74">
        <f>SUMIFS(разходи!$L:$L,разходи!$E:$E,'ПП Август'!$C$46,разходи!$M:$M,'ПП Август'!K2)</f>
        <v>0</v>
      </c>
      <c r="L46" s="74">
        <f>SUMIFS(разходи!$L:$L,разходи!$E:$E,'ПП Август'!$C$46,разходи!$M:$M,'ПП Август'!L2)</f>
        <v>209732.26800000001</v>
      </c>
      <c r="M46" s="74">
        <f>SUMIFS(разходи!$L:$L,разходи!$E:$E,'ПП Август'!$C$46,разходи!$M:$M,'ПП Август'!M2)</f>
        <v>162656.58480000001</v>
      </c>
      <c r="N46" s="76">
        <f>SUMIFS(разходи!$L:$L,разходи!$E:$E,'ПП Август'!$C$46,разходи!$M:$M,'ПП Август'!N2)</f>
        <v>0</v>
      </c>
      <c r="O46" s="76">
        <f>SUMIFS(разходи!$L:$L,разходи!$E:$E,'ПП Август'!$C$46,разходи!$M:$M,'ПП Август'!O2)</f>
        <v>0</v>
      </c>
      <c r="P46" s="74">
        <f>SUMIFS(разходи!$L:$L,разходи!$E:$E,'ПП Август'!$C$46,разходи!$M:$M,'ПП Август'!P2)</f>
        <v>0</v>
      </c>
      <c r="Q46" s="74">
        <f>SUMIFS(разходи!$L:$L,разходи!$E:$E,'ПП Август'!$C$46,разходи!$M:$M,'ПП Август'!Q2)</f>
        <v>0</v>
      </c>
      <c r="R46" s="74">
        <f>SUMIFS(разходи!$L:$L,разходи!$E:$E,'ПП Август'!$C$46,разходи!$M:$M,'ПП Август'!R2)</f>
        <v>0</v>
      </c>
      <c r="S46" s="74">
        <f>SUMIFS(разходи!$L:$L,разходи!$E:$E,'ПП Август'!$C$46,разходи!$M:$M,'ПП Август'!S2)</f>
        <v>0</v>
      </c>
      <c r="T46" s="74">
        <f>SUMIFS(разходи!$L:$L,разходи!$E:$E,'ПП Август'!$C$46,разходи!$M:$M,'ПП Август'!T2)</f>
        <v>0</v>
      </c>
      <c r="U46" s="76">
        <f>SUMIFS(разходи!$L:$L,разходи!$E:$E,'ПП Август'!$C$46,разходи!$M:$M,'ПП Август'!U2)</f>
        <v>0</v>
      </c>
      <c r="V46" s="76">
        <f>SUMIFS(разходи!$L:$L,разходи!$E:$E,'ПП Август'!$C$46,разходи!$M:$M,'ПП Август'!V2)</f>
        <v>0</v>
      </c>
      <c r="W46" s="74">
        <f>SUMIFS(разходи!$L:$L,разходи!$E:$E,'ПП Август'!$C$46,разходи!$M:$M,'ПП Август'!W2)</f>
        <v>0</v>
      </c>
      <c r="X46" s="74">
        <f>SUMIFS(разходи!$L:$L,разходи!$E:$E,'ПП Август'!$C$46,разходи!$M:$M,'ПП Август'!X2)</f>
        <v>0</v>
      </c>
      <c r="Y46" s="74">
        <f>SUMIFS(разходи!$L:$L,разходи!$E:$E,'ПП Август'!$C$46,разходи!$M:$M,'ПП Август'!Y2)</f>
        <v>0</v>
      </c>
      <c r="Z46" s="74">
        <f>SUMIFS(разходи!$L:$L,разходи!$E:$E,'ПП Август'!$C$46,разходи!$M:$M,'ПП Август'!Z2)</f>
        <v>0</v>
      </c>
      <c r="AA46" s="74">
        <f>SUMIFS(разходи!$L:$L,разходи!$E:$E,'ПП Август'!$C$46,разходи!$M:$M,'ПП Август'!AA2)</f>
        <v>0</v>
      </c>
      <c r="AB46" s="76">
        <f>SUMIFS(разходи!$L:$L,разходи!$E:$E,'ПП Август'!$C$46,разходи!$M:$M,'ПП Август'!AB2)</f>
        <v>0</v>
      </c>
      <c r="AC46" s="76">
        <f>SUMIFS(разходи!$L:$L,разходи!$E:$E,'ПП Август'!$C$46,разходи!$M:$M,'ПП Август'!AC2)</f>
        <v>0</v>
      </c>
      <c r="AD46" s="74">
        <f>SUMIFS(разходи!$L:$L,разходи!$E:$E,'ПП Август'!$C$46,разходи!$M:$M,'ПП Август'!AD2)</f>
        <v>0</v>
      </c>
      <c r="AE46" s="74">
        <f>SUMIFS(разходи!$L:$L,разходи!$E:$E,'ПП Август'!$C$46,разходи!$M:$M,'ПП Август'!AE2)</f>
        <v>0</v>
      </c>
      <c r="AF46" s="74">
        <f>SUMIFS(разходи!$L:$L,разходи!$E:$E,'ПП Август'!$C$46,разходи!$M:$M,'ПП Август'!AF2)</f>
        <v>0</v>
      </c>
      <c r="AG46" s="74">
        <f>SUMIFS(разходи!$L:$L,разходи!$E:$E,'ПП Август'!$C$46,разходи!$M:$M,'ПП Август'!AG2)</f>
        <v>0</v>
      </c>
      <c r="AH46" s="74">
        <f>SUMIFS(разходи!$L:$L,разходи!$E:$E,'ПП Август'!$C$46,разходи!$M:$M,'ПП Август'!AH2)</f>
        <v>0</v>
      </c>
      <c r="AI46" s="76">
        <f>SUMIFS(разходи!$L:$L,разходи!$E:$E,'ПП Август'!$C$46,разходи!$M:$M,'ПП Август'!AI2)</f>
        <v>0</v>
      </c>
      <c r="AJ46" s="61">
        <f t="shared" si="2"/>
        <v>372388.85279999999</v>
      </c>
      <c r="AK46" s="69">
        <f t="shared" si="3"/>
        <v>-162656.57623199996</v>
      </c>
    </row>
    <row r="47" spans="1:37" s="21" customFormat="1" ht="20.100000000000001" customHeight="1" outlineLevel="1" x14ac:dyDescent="0.3">
      <c r="A47" s="27"/>
      <c r="B47" s="22"/>
      <c r="C47" s="8" t="s">
        <v>459</v>
      </c>
      <c r="D47" s="80"/>
      <c r="E47" s="74">
        <f>SUMIFS(разходи!$L:$L,разходи!$E:$E,'ПП Август'!$C$47,разходи!$M:$M,'ПП Август'!E2)</f>
        <v>0</v>
      </c>
      <c r="F47" s="74">
        <f>SUMIFS(разходи!$L:$L,разходи!$E:$E,'ПП Август'!$C$47,разходи!$M:$M,'ПП Август'!F2)</f>
        <v>0</v>
      </c>
      <c r="G47" s="76">
        <f>SUMIFS(разходи!$L:$L,разходи!$E:$E,'ПП Август'!$C$47,разходи!$M:$M,'ПП Август'!G2)</f>
        <v>0</v>
      </c>
      <c r="H47" s="76">
        <f>SUMIFS(разходи!$L:$L,разходи!$E:$E,'ПП Август'!$C$47,разходи!$M:$M,'ПП Август'!H2)</f>
        <v>0</v>
      </c>
      <c r="I47" s="74">
        <f>SUMIFS(разходи!$L:$L,разходи!$E:$E,'ПП Август'!$C$47,разходи!$M:$M,'ПП Август'!I2)</f>
        <v>0</v>
      </c>
      <c r="J47" s="74">
        <f>SUMIFS(разходи!$L:$L,разходи!$E:$E,'ПП Август'!$C$47,разходи!$M:$M,'ПП Август'!J2)</f>
        <v>0</v>
      </c>
      <c r="K47" s="74">
        <f>SUMIFS(разходи!$L:$L,разходи!$E:$E,'ПП Август'!$C$47,разходи!$M:$M,'ПП Август'!K2)</f>
        <v>0</v>
      </c>
      <c r="L47" s="74">
        <f>SUMIFS(разходи!$L:$L,разходи!$E:$E,'ПП Август'!$C$47,разходи!$M:$M,'ПП Август'!L2)</f>
        <v>0</v>
      </c>
      <c r="M47" s="74">
        <f>SUMIFS(разходи!$L:$L,разходи!$E:$E,'ПП Август'!$C$47,разходи!$M:$M,'ПП Август'!M2)</f>
        <v>0</v>
      </c>
      <c r="N47" s="76">
        <f>SUMIFS(разходи!$L:$L,разходи!$E:$E,'ПП Август'!$C$47,разходи!$M:$M,'ПП Август'!N2)</f>
        <v>0</v>
      </c>
      <c r="O47" s="76">
        <f>SUMIFS(разходи!$L:$L,разходи!$E:$E,'ПП Август'!$C$47,разходи!$M:$M,'ПП Август'!O2)</f>
        <v>0</v>
      </c>
      <c r="P47" s="74">
        <f>SUMIFS(разходи!$L:$L,разходи!$E:$E,'ПП Август'!$C$47,разходи!$M:$M,'ПП Август'!P2)</f>
        <v>0</v>
      </c>
      <c r="Q47" s="74">
        <f>SUMIFS(разходи!$L:$L,разходи!$E:$E,'ПП Август'!$C$47,разходи!$M:$M,'ПП Август'!Q2)</f>
        <v>0</v>
      </c>
      <c r="R47" s="74">
        <f>SUMIFS(разходи!$L:$L,разходи!$E:$E,'ПП Август'!$C$47,разходи!$M:$M,'ПП Август'!R2)</f>
        <v>0</v>
      </c>
      <c r="S47" s="74">
        <f>SUMIFS(разходи!$L:$L,разходи!$E:$E,'ПП Август'!$C$47,разходи!$M:$M,'ПП Август'!S2)</f>
        <v>0</v>
      </c>
      <c r="T47" s="74">
        <f>SUMIFS(разходи!$L:$L,разходи!$E:$E,'ПП Август'!$C$47,разходи!$M:$M,'ПП Август'!T2)</f>
        <v>0</v>
      </c>
      <c r="U47" s="76">
        <f>SUMIFS(разходи!$L:$L,разходи!$E:$E,'ПП Август'!$C$47,разходи!$M:$M,'ПП Август'!U2)</f>
        <v>0</v>
      </c>
      <c r="V47" s="76">
        <f>SUMIFS(разходи!$L:$L,разходи!$E:$E,'ПП Август'!$C$47,разходи!$M:$M,'ПП Август'!V2)</f>
        <v>0</v>
      </c>
      <c r="W47" s="74">
        <f>SUMIFS(разходи!$L:$L,разходи!$E:$E,'ПП Август'!$C$47,разходи!$M:$M,'ПП Август'!W2)</f>
        <v>0</v>
      </c>
      <c r="X47" s="74">
        <f>SUMIFS(разходи!$L:$L,разходи!$E:$E,'ПП Август'!$C$47,разходи!$M:$M,'ПП Август'!X2)</f>
        <v>0</v>
      </c>
      <c r="Y47" s="74">
        <f>SUMIFS(разходи!$L:$L,разходи!$E:$E,'ПП Август'!$C$47,разходи!$M:$M,'ПП Август'!Y2)</f>
        <v>0</v>
      </c>
      <c r="Z47" s="74">
        <f>SUMIFS(разходи!$L:$L,разходи!$E:$E,'ПП Август'!$C$47,разходи!$M:$M,'ПП Август'!Z2)</f>
        <v>0</v>
      </c>
      <c r="AA47" s="74">
        <f>SUMIFS(разходи!$L:$L,разходи!$E:$E,'ПП Август'!$C$47,разходи!$M:$M,'ПП Август'!AA2)</f>
        <v>0</v>
      </c>
      <c r="AB47" s="76">
        <f>SUMIFS(разходи!$L:$L,разходи!$E:$E,'ПП Август'!$C$47,разходи!$M:$M,'ПП Август'!AB2)</f>
        <v>0</v>
      </c>
      <c r="AC47" s="76">
        <f>SUMIFS(разходи!$L:$L,разходи!$E:$E,'ПП Август'!$C$47,разходи!$M:$M,'ПП Август'!AC2)</f>
        <v>0</v>
      </c>
      <c r="AD47" s="74">
        <f>SUMIFS(разходи!$L:$L,разходи!$E:$E,'ПП Август'!$C$47,разходи!$M:$M,'ПП Август'!AD2)</f>
        <v>0</v>
      </c>
      <c r="AE47" s="74">
        <f>SUMIFS(разходи!$L:$L,разходи!$E:$E,'ПП Август'!$C$47,разходи!$M:$M,'ПП Август'!AE2)</f>
        <v>0</v>
      </c>
      <c r="AF47" s="74">
        <f>SUMIFS(разходи!$L:$L,разходи!$E:$E,'ПП Август'!$C$47,разходи!$M:$M,'ПП Август'!AF2)</f>
        <v>0</v>
      </c>
      <c r="AG47" s="74">
        <f>SUMIFS(разходи!$L:$L,разходи!$E:$E,'ПП Август'!$C$47,разходи!$M:$M,'ПП Август'!AG2)</f>
        <v>0</v>
      </c>
      <c r="AH47" s="74">
        <f>SUMIFS(разходи!$L:$L,разходи!$E:$E,'ПП Август'!$C$47,разходи!$M:$M,'ПП Август'!AH2)</f>
        <v>0</v>
      </c>
      <c r="AI47" s="76">
        <f>SUMIFS(разходи!$L:$L,разходи!$E:$E,'ПП Август'!$C$47,разходи!$M:$M,'ПП Август'!AI2)</f>
        <v>0</v>
      </c>
      <c r="AJ47" s="61">
        <f t="shared" si="2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460</v>
      </c>
      <c r="D48" s="80">
        <v>13679.575228800002</v>
      </c>
      <c r="E48" s="74">
        <f>SUMIFS(разходи!$L:$L,разходи!$E:$E,'ПП Август'!$C$48,разходи!$M:$M,'ПП Август'!E2)</f>
        <v>0</v>
      </c>
      <c r="F48" s="74">
        <f>SUMIFS(разходи!$L:$L,разходи!$E:$E,'ПП Август'!$C$48,разходи!$M:$M,'ПП Август'!F2)</f>
        <v>0</v>
      </c>
      <c r="G48" s="76">
        <f>SUMIFS(разходи!$L:$L,разходи!$E:$E,'ПП Август'!$C$48,разходи!$M:$M,'ПП Август'!G2)</f>
        <v>0</v>
      </c>
      <c r="H48" s="76">
        <f>SUMIFS(разходи!$L:$L,разходи!$E:$E,'ПП Август'!$C$48,разходи!$M:$M,'ПП Август'!H2)</f>
        <v>0</v>
      </c>
      <c r="I48" s="74">
        <f>SUMIFS(разходи!$L:$L,разходи!$E:$E,'ПП Август'!$C$48,разходи!$M:$M,'ПП Август'!I2)</f>
        <v>0</v>
      </c>
      <c r="J48" s="74">
        <f>SUMIFS(разходи!$L:$L,разходи!$E:$E,'ПП Август'!$C$48,разходи!$M:$M,'ПП Август'!J2)</f>
        <v>0</v>
      </c>
      <c r="K48" s="74">
        <f>SUMIFS(разходи!$L:$L,разходи!$E:$E,'ПП Август'!$C$48,разходи!$M:$M,'ПП Август'!K2)</f>
        <v>0</v>
      </c>
      <c r="L48" s="74">
        <f>SUMIFS(разходи!$L:$L,разходи!$E:$E,'ПП Август'!$C$48,разходи!$M:$M,'ПП Август'!L2)</f>
        <v>13679.58</v>
      </c>
      <c r="M48" s="74">
        <f>SUMIFS(разходи!$L:$L,разходи!$E:$E,'ПП Август'!$C$48,разходи!$M:$M,'ПП Август'!M2)</f>
        <v>0</v>
      </c>
      <c r="N48" s="76">
        <f>SUMIFS(разходи!$L:$L,разходи!$E:$E,'ПП Август'!$C$48,разходи!$M:$M,'ПП Август'!N2)</f>
        <v>0</v>
      </c>
      <c r="O48" s="76">
        <f>SUMIFS(разходи!$L:$L,разходи!$E:$E,'ПП Август'!$C$48,разходи!$M:$M,'ПП Август'!O2)</f>
        <v>0</v>
      </c>
      <c r="P48" s="74">
        <f>SUMIFS(разходи!$L:$L,разходи!$E:$E,'ПП Август'!$C$48,разходи!$M:$M,'ПП Август'!P2)</f>
        <v>0</v>
      </c>
      <c r="Q48" s="74">
        <f>SUMIFS(разходи!$L:$L,разходи!$E:$E,'ПП Август'!$C$48,разходи!$M:$M,'ПП Август'!Q2)</f>
        <v>0</v>
      </c>
      <c r="R48" s="74">
        <f>SUMIFS(разходи!$L:$L,разходи!$E:$E,'ПП Август'!$C$48,разходи!$M:$M,'ПП Август'!R2)</f>
        <v>0</v>
      </c>
      <c r="S48" s="74">
        <f>SUMIFS(разходи!$L:$L,разходи!$E:$E,'ПП Август'!$C$48,разходи!$M:$M,'ПП Август'!S2)</f>
        <v>0</v>
      </c>
      <c r="T48" s="74">
        <f>SUMIFS(разходи!$L:$L,разходи!$E:$E,'ПП Август'!$C$48,разходи!$M:$M,'ПП Август'!T2)</f>
        <v>0</v>
      </c>
      <c r="U48" s="76">
        <f>SUMIFS(разходи!$L:$L,разходи!$E:$E,'ПП Август'!$C$48,разходи!$M:$M,'ПП Август'!U2)</f>
        <v>0</v>
      </c>
      <c r="V48" s="76">
        <f>SUMIFS(разходи!$L:$L,разходи!$E:$E,'ПП Август'!$C$48,разходи!$M:$M,'ПП Август'!V2)</f>
        <v>0</v>
      </c>
      <c r="W48" s="74">
        <f>SUMIFS(разходи!$L:$L,разходи!$E:$E,'ПП Август'!$C$48,разходи!$M:$M,'ПП Август'!W2)</f>
        <v>0</v>
      </c>
      <c r="X48" s="74">
        <f>SUMIFS(разходи!$L:$L,разходи!$E:$E,'ПП Август'!$C$48,разходи!$M:$M,'ПП Август'!X2)</f>
        <v>0</v>
      </c>
      <c r="Y48" s="74">
        <f>SUMIFS(разходи!$L:$L,разходи!$E:$E,'ПП Август'!$C$48,разходи!$M:$M,'ПП Август'!Y2)</f>
        <v>0</v>
      </c>
      <c r="Z48" s="74">
        <f>SUMIFS(разходи!$L:$L,разходи!$E:$E,'ПП Август'!$C$48,разходи!$M:$M,'ПП Август'!Z2)</f>
        <v>0</v>
      </c>
      <c r="AA48" s="74">
        <f>SUMIFS(разходи!$L:$L,разходи!$E:$E,'ПП Август'!$C$48,разходи!$M:$M,'ПП Август'!AA2)</f>
        <v>0</v>
      </c>
      <c r="AB48" s="76">
        <f>SUMIFS(разходи!$L:$L,разходи!$E:$E,'ПП Август'!$C$48,разходи!$M:$M,'ПП Август'!AB2)</f>
        <v>0</v>
      </c>
      <c r="AC48" s="76">
        <f>SUMIFS(разходи!$L:$L,разходи!$E:$E,'ПП Август'!$C$48,разходи!$M:$M,'ПП Август'!AC2)</f>
        <v>0</v>
      </c>
      <c r="AD48" s="74">
        <f>SUMIFS(разходи!$L:$L,разходи!$E:$E,'ПП Август'!$C$48,разходи!$M:$M,'ПП Август'!AD2)</f>
        <v>0</v>
      </c>
      <c r="AE48" s="74">
        <f>SUMIFS(разходи!$L:$L,разходи!$E:$E,'ПП Август'!$C$48,разходи!$M:$M,'ПП Август'!AE2)</f>
        <v>0</v>
      </c>
      <c r="AF48" s="74">
        <f>SUMIFS(разходи!$L:$L,разходи!$E:$E,'ПП Август'!$C$48,разходи!$M:$M,'ПП Август'!AF2)</f>
        <v>0</v>
      </c>
      <c r="AG48" s="74">
        <f>SUMIFS(разходи!$L:$L,разходи!$E:$E,'ПП Август'!$C$48,разходи!$M:$M,'ПП Август'!AG2)</f>
        <v>0</v>
      </c>
      <c r="AH48" s="74">
        <f>SUMIFS(разходи!$L:$L,разходи!$E:$E,'ПП Август'!$C$48,разходи!$M:$M,'ПП Август'!AH2)</f>
        <v>0</v>
      </c>
      <c r="AI48" s="76">
        <f>SUMIFS(разходи!$L:$L,разходи!$E:$E,'ПП Август'!$C$48,разходи!$M:$M,'ПП Август'!AI2)</f>
        <v>0</v>
      </c>
      <c r="AJ48" s="61">
        <f t="shared" si="2"/>
        <v>13679.58</v>
      </c>
      <c r="AK48" s="69">
        <f t="shared" si="3"/>
        <v>-4.7711999977764208E-3</v>
      </c>
    </row>
    <row r="49" spans="1:37" s="21" customFormat="1" ht="20.100000000000001" customHeight="1" outlineLevel="1" x14ac:dyDescent="0.3">
      <c r="A49" s="27"/>
      <c r="B49" s="22"/>
      <c r="C49" s="8" t="s">
        <v>121</v>
      </c>
      <c r="D49" s="80">
        <v>5460</v>
      </c>
      <c r="E49" s="74">
        <f>SUMIFS(разходи!$L:$L,разходи!$E:$E,'ПП Август'!$C$49,разходи!$M:$M,'ПП Август'!E2)</f>
        <v>0</v>
      </c>
      <c r="F49" s="74">
        <f>SUMIFS(разходи!$L:$L,разходи!$E:$E,'ПП Август'!$C$49,разходи!$M:$M,'ПП Август'!F2)</f>
        <v>0</v>
      </c>
      <c r="G49" s="76">
        <f>SUMIFS(разходи!$L:$L,разходи!$E:$E,'ПП Август'!$C$49,разходи!$M:$M,'ПП Август'!G2)</f>
        <v>0</v>
      </c>
      <c r="H49" s="76">
        <f>SUMIFS(разходи!$L:$L,разходи!$E:$E,'ПП Август'!$C$49,разходи!$M:$M,'ПП Август'!H2)</f>
        <v>0</v>
      </c>
      <c r="I49" s="74">
        <f>SUMIFS(разходи!$L:$L,разходи!$E:$E,'ПП Август'!$C$49,разходи!$M:$M,'ПП Август'!I2)</f>
        <v>0</v>
      </c>
      <c r="J49" s="74">
        <f>SUMIFS(разходи!$L:$L,разходи!$E:$E,'ПП Август'!$C$49,разходи!$M:$M,'ПП Август'!J2)</f>
        <v>0</v>
      </c>
      <c r="K49" s="74">
        <f>SUMIFS(разходи!$L:$L,разходи!$E:$E,'ПП Август'!$C$49,разходи!$M:$M,'ПП Август'!K2)</f>
        <v>0</v>
      </c>
      <c r="L49" s="74">
        <f>SUMIFS(разходи!$L:$L,разходи!$E:$E,'ПП Август'!$C$49,разходи!$M:$M,'ПП Август'!L2)</f>
        <v>32956.572</v>
      </c>
      <c r="M49" s="74">
        <f>SUMIFS(разходи!$L:$L,разходи!$E:$E,'ПП Август'!$C$49,разходи!$M:$M,'ПП Август'!M2)</f>
        <v>0</v>
      </c>
      <c r="N49" s="76">
        <f>SUMIFS(разходи!$L:$L,разходи!$E:$E,'ПП Август'!$C$49,разходи!$M:$M,'ПП Август'!N2)</f>
        <v>0</v>
      </c>
      <c r="O49" s="76">
        <f>SUMIFS(разходи!$L:$L,разходи!$E:$E,'ПП Август'!$C$49,разходи!$M:$M,'ПП Август'!O2)</f>
        <v>0</v>
      </c>
      <c r="P49" s="74">
        <f>SUMIFS(разходи!$L:$L,разходи!$E:$E,'ПП Август'!$C$49,разходи!$M:$M,'ПП Август'!P2)</f>
        <v>0</v>
      </c>
      <c r="Q49" s="74">
        <f>SUMIFS(разходи!$L:$L,разходи!$E:$E,'ПП Август'!$C$49,разходи!$M:$M,'ПП Август'!Q2)</f>
        <v>0</v>
      </c>
      <c r="R49" s="74">
        <f>SUMIFS(разходи!$L:$L,разходи!$E:$E,'ПП Август'!$C$49,разходи!$M:$M,'ПП Август'!R2)</f>
        <v>0</v>
      </c>
      <c r="S49" s="74">
        <f>SUMIFS(разходи!$L:$L,разходи!$E:$E,'ПП Август'!$C$49,разходи!$M:$M,'ПП Август'!S2)</f>
        <v>0</v>
      </c>
      <c r="T49" s="74">
        <f>SUMIFS(разходи!$L:$L,разходи!$E:$E,'ПП Август'!$C$49,разходи!$M:$M,'ПП Август'!T2)</f>
        <v>0</v>
      </c>
      <c r="U49" s="76">
        <f>SUMIFS(разходи!$L:$L,разходи!$E:$E,'ПП Август'!$C$49,разходи!$M:$M,'ПП Август'!U2)</f>
        <v>0</v>
      </c>
      <c r="V49" s="76">
        <f>SUMIFS(разходи!$L:$L,разходи!$E:$E,'ПП Август'!$C$49,разходи!$M:$M,'ПП Август'!V2)</f>
        <v>0</v>
      </c>
      <c r="W49" s="74">
        <f>SUMIFS(разходи!$L:$L,разходи!$E:$E,'ПП Август'!$C$49,разходи!$M:$M,'ПП Август'!W2)</f>
        <v>0</v>
      </c>
      <c r="X49" s="74">
        <f>SUMIFS(разходи!$L:$L,разходи!$E:$E,'ПП Август'!$C$49,разходи!$M:$M,'ПП Август'!X2)</f>
        <v>0</v>
      </c>
      <c r="Y49" s="74">
        <f>SUMIFS(разходи!$L:$L,разходи!$E:$E,'ПП Август'!$C$49,разходи!$M:$M,'ПП Август'!Y2)</f>
        <v>0</v>
      </c>
      <c r="Z49" s="74">
        <f>SUMIFS(разходи!$L:$L,разходи!$E:$E,'ПП Август'!$C$49,разходи!$M:$M,'ПП Август'!Z2)</f>
        <v>0</v>
      </c>
      <c r="AA49" s="74">
        <f>SUMIFS(разходи!$L:$L,разходи!$E:$E,'ПП Август'!$C$49,разходи!$M:$M,'ПП Август'!AA2)</f>
        <v>0</v>
      </c>
      <c r="AB49" s="76">
        <f>SUMIFS(разходи!$L:$L,разходи!$E:$E,'ПП Август'!$C$49,разходи!$M:$M,'ПП Август'!AB2)</f>
        <v>0</v>
      </c>
      <c r="AC49" s="76">
        <f>SUMIFS(разходи!$L:$L,разходи!$E:$E,'ПП Август'!$C$49,разходи!$M:$M,'ПП Август'!AC2)</f>
        <v>0</v>
      </c>
      <c r="AD49" s="74">
        <f>SUMIFS(разходи!$L:$L,разходи!$E:$E,'ПП Август'!$C$49,разходи!$M:$M,'ПП Август'!AD2)</f>
        <v>0</v>
      </c>
      <c r="AE49" s="74">
        <f>SUMIFS(разходи!$L:$L,разходи!$E:$E,'ПП Август'!$C$49,разходи!$M:$M,'ПП Август'!AE2)</f>
        <v>0</v>
      </c>
      <c r="AF49" s="74">
        <f>SUMIFS(разходи!$L:$L,разходи!$E:$E,'ПП Август'!$C$49,разходи!$M:$M,'ПП Август'!AF2)</f>
        <v>0</v>
      </c>
      <c r="AG49" s="74">
        <f>SUMIFS(разходи!$L:$L,разходи!$E:$E,'ПП Август'!$C$49,разходи!$M:$M,'ПП Август'!AG2)</f>
        <v>0</v>
      </c>
      <c r="AH49" s="74">
        <f>SUMIFS(разходи!$L:$L,разходи!$E:$E,'ПП Август'!$C$49,разходи!$M:$M,'ПП Август'!AH2)</f>
        <v>0</v>
      </c>
      <c r="AI49" s="76">
        <f>SUMIFS(разходи!$L:$L,разходи!$E:$E,'ПП Август'!$C$49,разходи!$M:$M,'ПП Август'!AI2)</f>
        <v>0</v>
      </c>
      <c r="AJ49" s="61">
        <f t="shared" si="2"/>
        <v>32956.572</v>
      </c>
      <c r="AK49" s="69">
        <f t="shared" si="3"/>
        <v>-27496.572</v>
      </c>
    </row>
    <row r="50" spans="1:37" s="21" customFormat="1" ht="20.100000000000001" customHeight="1" outlineLevel="1" x14ac:dyDescent="0.3">
      <c r="A50" s="27"/>
      <c r="B50" s="22"/>
      <c r="C50" s="8" t="s">
        <v>461</v>
      </c>
      <c r="D50" s="80"/>
      <c r="E50" s="74">
        <f>SUMIFS(разходи!$L:$L,разходи!$E:$E,'ПП Август'!$C$50,разходи!$M:$M,'ПП Август'!E2)</f>
        <v>0</v>
      </c>
      <c r="F50" s="74">
        <f>SUMIFS(разходи!$L:$L,разходи!$E:$E,'ПП Август'!$C$50,разходи!$M:$M,'ПП Август'!F2)</f>
        <v>0</v>
      </c>
      <c r="G50" s="76">
        <f>SUMIFS(разходи!$L:$L,разходи!$E:$E,'ПП Август'!$C$50,разходи!$M:$M,'ПП Август'!G2)</f>
        <v>0</v>
      </c>
      <c r="H50" s="76">
        <f>SUMIFS(разходи!$L:$L,разходи!$E:$E,'ПП Август'!$C$50,разходи!$M:$M,'ПП Август'!H2)</f>
        <v>0</v>
      </c>
      <c r="I50" s="74">
        <f>SUMIFS(разходи!$L:$L,разходи!$E:$E,'ПП Август'!$C$50,разходи!$M:$M,'ПП Август'!I2)</f>
        <v>0</v>
      </c>
      <c r="J50" s="74">
        <f>SUMIFS(разходи!$L:$L,разходи!$E:$E,'ПП Август'!$C$50,разходи!$M:$M,'ПП Август'!J2)</f>
        <v>0</v>
      </c>
      <c r="K50" s="74">
        <f>SUMIFS(разходи!$L:$L,разходи!$E:$E,'ПП Август'!$C$50,разходи!$M:$M,'ПП Август'!K2)</f>
        <v>0</v>
      </c>
      <c r="L50" s="74">
        <f>SUMIFS(разходи!$L:$L,разходи!$E:$E,'ПП Август'!$C$50,разходи!$M:$M,'ПП Август'!L2)</f>
        <v>0</v>
      </c>
      <c r="M50" s="74">
        <f>SUMIFS(разходи!$L:$L,разходи!$E:$E,'ПП Август'!$C$50,разходи!$M:$M,'ПП Август'!M2)</f>
        <v>0</v>
      </c>
      <c r="N50" s="76">
        <f>SUMIFS(разходи!$L:$L,разходи!$E:$E,'ПП Август'!$C$50,разходи!$M:$M,'ПП Август'!N2)</f>
        <v>0</v>
      </c>
      <c r="O50" s="76">
        <f>SUMIFS(разходи!$L:$L,разходи!$E:$E,'ПП Август'!$C$50,разходи!$M:$M,'ПП Август'!O2)</f>
        <v>0</v>
      </c>
      <c r="P50" s="74">
        <f>SUMIFS(разходи!$L:$L,разходи!$E:$E,'ПП Август'!$C$50,разходи!$M:$M,'ПП Август'!P2)</f>
        <v>0</v>
      </c>
      <c r="Q50" s="74">
        <f>SUMIFS(разходи!$L:$L,разходи!$E:$E,'ПП Август'!$C$50,разходи!$M:$M,'ПП Август'!Q2)</f>
        <v>0</v>
      </c>
      <c r="R50" s="74">
        <f>SUMIFS(разходи!$L:$L,разходи!$E:$E,'ПП Август'!$C$50,разходи!$M:$M,'ПП Август'!R2)</f>
        <v>0</v>
      </c>
      <c r="S50" s="74">
        <f>SUMIFS(разходи!$L:$L,разходи!$E:$E,'ПП Август'!$C$50,разходи!$M:$M,'ПП Август'!S2)</f>
        <v>0</v>
      </c>
      <c r="T50" s="74">
        <f>SUMIFS(разходи!$L:$L,разходи!$E:$E,'ПП Август'!$C$50,разходи!$M:$M,'ПП Август'!T2)</f>
        <v>0</v>
      </c>
      <c r="U50" s="76">
        <f>SUMIFS(разходи!$L:$L,разходи!$E:$E,'ПП Август'!$C$50,разходи!$M:$M,'ПП Август'!U2)</f>
        <v>0</v>
      </c>
      <c r="V50" s="76">
        <f>SUMIFS(разходи!$L:$L,разходи!$E:$E,'ПП Август'!$C$50,разходи!$M:$M,'ПП Август'!V2)</f>
        <v>0</v>
      </c>
      <c r="W50" s="74">
        <f>SUMIFS(разходи!$L:$L,разходи!$E:$E,'ПП Август'!$C$50,разходи!$M:$M,'ПП Август'!W2)</f>
        <v>0</v>
      </c>
      <c r="X50" s="74">
        <f>SUMIFS(разходи!$L:$L,разходи!$E:$E,'ПП Август'!$C$50,разходи!$M:$M,'ПП Август'!X2)</f>
        <v>0</v>
      </c>
      <c r="Y50" s="74">
        <f>SUMIFS(разходи!$L:$L,разходи!$E:$E,'ПП Август'!$C$50,разходи!$M:$M,'ПП Август'!Y2)</f>
        <v>0</v>
      </c>
      <c r="Z50" s="74">
        <f>SUMIFS(разходи!$L:$L,разходи!$E:$E,'ПП Август'!$C$50,разходи!$M:$M,'ПП Август'!Z2)</f>
        <v>0</v>
      </c>
      <c r="AA50" s="74">
        <f>SUMIFS(разходи!$L:$L,разходи!$E:$E,'ПП Август'!$C$50,разходи!$M:$M,'ПП Август'!AA2)</f>
        <v>0</v>
      </c>
      <c r="AB50" s="76">
        <f>SUMIFS(разходи!$L:$L,разходи!$E:$E,'ПП Август'!$C$50,разходи!$M:$M,'ПП Август'!AB2)</f>
        <v>0</v>
      </c>
      <c r="AC50" s="76">
        <f>SUMIFS(разходи!$L:$L,разходи!$E:$E,'ПП Август'!$C$50,разходи!$M:$M,'ПП Август'!AC2)</f>
        <v>0</v>
      </c>
      <c r="AD50" s="74">
        <f>SUMIFS(разходи!$L:$L,разходи!$E:$E,'ПП Август'!$C$50,разходи!$M:$M,'ПП Август'!AD2)</f>
        <v>0</v>
      </c>
      <c r="AE50" s="74">
        <f>SUMIFS(разходи!$L:$L,разходи!$E:$E,'ПП Август'!$C$50,разходи!$M:$M,'ПП Август'!AE2)</f>
        <v>0</v>
      </c>
      <c r="AF50" s="74">
        <f>SUMIFS(разходи!$L:$L,разходи!$E:$E,'ПП Август'!$C$50,разходи!$M:$M,'ПП Август'!AF2)</f>
        <v>0</v>
      </c>
      <c r="AG50" s="74">
        <f>SUMIFS(разходи!$L:$L,разходи!$E:$E,'ПП Август'!$C$50,разходи!$M:$M,'ПП Август'!AG2)</f>
        <v>0</v>
      </c>
      <c r="AH50" s="74">
        <f>SUMIFS(разходи!$L:$L,разходи!$E:$E,'ПП Август'!$C$50,разходи!$M:$M,'ПП Август'!AH2)</f>
        <v>0</v>
      </c>
      <c r="AI50" s="76">
        <f>SUMIFS(разходи!$L:$L,разходи!$E:$E,'ПП Август'!$C$50,разходи!$M:$M,'ПП Август'!AI2)</f>
        <v>0</v>
      </c>
      <c r="AJ50" s="61">
        <f t="shared" si="2"/>
        <v>0</v>
      </c>
      <c r="AK50" s="69">
        <f t="shared" si="3"/>
        <v>0</v>
      </c>
    </row>
    <row r="51" spans="1:37" s="21" customFormat="1" ht="20.100000000000001" customHeight="1" outlineLevel="1" x14ac:dyDescent="0.3">
      <c r="A51" s="27"/>
      <c r="B51" s="22"/>
      <c r="C51" s="8" t="s">
        <v>466</v>
      </c>
      <c r="D51" s="80"/>
      <c r="E51" s="74">
        <f>SUMIFS(разходи!$L:$L,разходи!$E:$E,'ПП Август'!$C$51,разходи!$M:$M,'ПП Август'!E2)</f>
        <v>0</v>
      </c>
      <c r="F51" s="74">
        <f>SUMIFS(разходи!$L:$L,разходи!$E:$E,'ПП Август'!$C$51,разходи!$M:$M,'ПП Август'!F2)</f>
        <v>0</v>
      </c>
      <c r="G51" s="76">
        <f>SUMIFS(разходи!$L:$L,разходи!$E:$E,'ПП Август'!$C$51,разходи!$M:$M,'ПП Август'!G2)</f>
        <v>0</v>
      </c>
      <c r="H51" s="76">
        <f>SUMIFS(разходи!$L:$L,разходи!$E:$E,'ПП Август'!$C$51,разходи!$M:$M,'ПП Август'!H2)</f>
        <v>0</v>
      </c>
      <c r="I51" s="74">
        <f>SUMIFS(разходи!$L:$L,разходи!$E:$E,'ПП Август'!$C$51,разходи!$M:$M,'ПП Август'!I2)</f>
        <v>0</v>
      </c>
      <c r="J51" s="74">
        <f>SUMIFS(разходи!$L:$L,разходи!$E:$E,'ПП Август'!$C$51,разходи!$M:$M,'ПП Август'!J2)</f>
        <v>0</v>
      </c>
      <c r="K51" s="74">
        <f>SUMIFS(разходи!$L:$L,разходи!$E:$E,'ПП Август'!$C$51,разходи!$M:$M,'ПП Август'!K2)</f>
        <v>0</v>
      </c>
      <c r="L51" s="74">
        <f>SUMIFS(разходи!$L:$L,разходи!$E:$E,'ПП Август'!$C$51,разходи!$M:$M,'ПП Август'!L2)</f>
        <v>1527.3719999999998</v>
      </c>
      <c r="M51" s="74">
        <f>SUMIFS(разходи!$L:$L,разходи!$E:$E,'ПП Август'!$C$51,разходи!$M:$M,'ПП Август'!M2)</f>
        <v>0</v>
      </c>
      <c r="N51" s="76">
        <f>SUMIFS(разходи!$L:$L,разходи!$E:$E,'ПП Август'!$C$51,разходи!$M:$M,'ПП Август'!N2)</f>
        <v>0</v>
      </c>
      <c r="O51" s="76">
        <f>SUMIFS(разходи!$L:$L,разходи!$E:$E,'ПП Август'!$C$51,разходи!$M:$M,'ПП Август'!O2)</f>
        <v>0</v>
      </c>
      <c r="P51" s="74">
        <f>SUMIFS(разходи!$L:$L,разходи!$E:$E,'ПП Август'!$C$51,разходи!$M:$M,'ПП Август'!P2)</f>
        <v>0</v>
      </c>
      <c r="Q51" s="74">
        <f>SUMIFS(разходи!$L:$L,разходи!$E:$E,'ПП Август'!$C$51,разходи!$M:$M,'ПП Август'!Q2)</f>
        <v>0</v>
      </c>
      <c r="R51" s="74">
        <f>SUMIFS(разходи!$L:$L,разходи!$E:$E,'ПП Август'!$C$51,разходи!$M:$M,'ПП Август'!R2)</f>
        <v>0</v>
      </c>
      <c r="S51" s="74">
        <f>SUMIFS(разходи!$L:$L,разходи!$E:$E,'ПП Август'!$C$51,разходи!$M:$M,'ПП Август'!S2)</f>
        <v>0</v>
      </c>
      <c r="T51" s="74">
        <f>SUMIFS(разходи!$L:$L,разходи!$E:$E,'ПП Август'!$C$51,разходи!$M:$M,'ПП Август'!T2)</f>
        <v>0</v>
      </c>
      <c r="U51" s="76">
        <f>SUMIFS(разходи!$L:$L,разходи!$E:$E,'ПП Август'!$C$51,разходи!$M:$M,'ПП Август'!U2)</f>
        <v>0</v>
      </c>
      <c r="V51" s="76">
        <f>SUMIFS(разходи!$L:$L,разходи!$E:$E,'ПП Август'!$C$51,разходи!$M:$M,'ПП Август'!V2)</f>
        <v>0</v>
      </c>
      <c r="W51" s="74">
        <f>SUMIFS(разходи!$L:$L,разходи!$E:$E,'ПП Август'!$C$51,разходи!$M:$M,'ПП Август'!W2)</f>
        <v>0</v>
      </c>
      <c r="X51" s="74">
        <f>SUMIFS(разходи!$L:$L,разходи!$E:$E,'ПП Август'!$C$51,разходи!$M:$M,'ПП Август'!X2)</f>
        <v>0</v>
      </c>
      <c r="Y51" s="74">
        <f>SUMIFS(разходи!$L:$L,разходи!$E:$E,'ПП Август'!$C$51,разходи!$M:$M,'ПП Август'!Y2)</f>
        <v>0</v>
      </c>
      <c r="Z51" s="74">
        <f>SUMIFS(разходи!$L:$L,разходи!$E:$E,'ПП Август'!$C$51,разходи!$M:$M,'ПП Август'!Z2)</f>
        <v>0</v>
      </c>
      <c r="AA51" s="74">
        <f>SUMIFS(разходи!$L:$L,разходи!$E:$E,'ПП Август'!$C$51,разходи!$M:$M,'ПП Август'!AA2)</f>
        <v>0</v>
      </c>
      <c r="AB51" s="76">
        <f>SUMIFS(разходи!$L:$L,разходи!$E:$E,'ПП Август'!$C$51,разходи!$M:$M,'ПП Август'!AB2)</f>
        <v>0</v>
      </c>
      <c r="AC51" s="76">
        <f>SUMIFS(разходи!$L:$L,разходи!$E:$E,'ПП Август'!$C$51,разходи!$M:$M,'ПП Август'!AC2)</f>
        <v>0</v>
      </c>
      <c r="AD51" s="74">
        <f>SUMIFS(разходи!$L:$L,разходи!$E:$E,'ПП Август'!$C$51,разходи!$M:$M,'ПП Август'!AD2)</f>
        <v>0</v>
      </c>
      <c r="AE51" s="74">
        <f>SUMIFS(разходи!$L:$L,разходи!$E:$E,'ПП Август'!$C$51,разходи!$M:$M,'ПП Август'!AE2)</f>
        <v>0</v>
      </c>
      <c r="AF51" s="74">
        <f>SUMIFS(разходи!$L:$L,разходи!$E:$E,'ПП Август'!$C$51,разходи!$M:$M,'ПП Август'!AF2)</f>
        <v>0</v>
      </c>
      <c r="AG51" s="74">
        <f>SUMIFS(разходи!$L:$L,разходи!$E:$E,'ПП Август'!$C$51,разходи!$M:$M,'ПП Август'!AG2)</f>
        <v>0</v>
      </c>
      <c r="AH51" s="74">
        <f>SUMIFS(разходи!$L:$L,разходи!$E:$E,'ПП Август'!$C$51,разходи!$M:$M,'ПП Август'!AH2)</f>
        <v>0</v>
      </c>
      <c r="AI51" s="76">
        <f>SUMIFS(разходи!$L:$L,разходи!$E:$E,'ПП Август'!$C$51,разходи!$M:$M,'ПП Август'!AI2)</f>
        <v>0</v>
      </c>
      <c r="AJ51" s="61">
        <f t="shared" ref="AJ51:AJ82" si="16">SUM(E51:AI51)</f>
        <v>1527.3719999999998</v>
      </c>
      <c r="AK51" s="69">
        <f t="shared" si="3"/>
        <v>-1527.3719999999998</v>
      </c>
    </row>
    <row r="52" spans="1:37" s="4" customFormat="1" ht="20.100000000000001" customHeight="1" x14ac:dyDescent="0.3">
      <c r="A52" s="9"/>
      <c r="B52" s="7">
        <v>3</v>
      </c>
      <c r="C52" s="10" t="s">
        <v>861</v>
      </c>
      <c r="D52" s="74">
        <v>25562.243266560003</v>
      </c>
      <c r="E52" s="74">
        <f t="shared" ref="E52:AI52" si="17">SUM(E53:E56)</f>
        <v>0</v>
      </c>
      <c r="F52" s="74">
        <f t="shared" si="17"/>
        <v>0</v>
      </c>
      <c r="G52" s="76">
        <f t="shared" si="17"/>
        <v>0</v>
      </c>
      <c r="H52" s="76">
        <f t="shared" si="17"/>
        <v>0</v>
      </c>
      <c r="I52" s="74">
        <f t="shared" si="17"/>
        <v>0</v>
      </c>
      <c r="J52" s="74">
        <f t="shared" si="17"/>
        <v>0</v>
      </c>
      <c r="K52" s="74">
        <f t="shared" si="17"/>
        <v>0</v>
      </c>
      <c r="L52" s="74">
        <f t="shared" si="17"/>
        <v>94077.335999999981</v>
      </c>
      <c r="M52" s="74">
        <f t="shared" si="17"/>
        <v>0</v>
      </c>
      <c r="N52" s="76">
        <f t="shared" si="17"/>
        <v>0</v>
      </c>
      <c r="O52" s="76">
        <f t="shared" si="17"/>
        <v>0</v>
      </c>
      <c r="P52" s="74">
        <f t="shared" si="17"/>
        <v>0</v>
      </c>
      <c r="Q52" s="74">
        <f t="shared" si="17"/>
        <v>0</v>
      </c>
      <c r="R52" s="74">
        <f t="shared" si="17"/>
        <v>0</v>
      </c>
      <c r="S52" s="74">
        <f t="shared" si="17"/>
        <v>0</v>
      </c>
      <c r="T52" s="74">
        <f t="shared" si="17"/>
        <v>0</v>
      </c>
      <c r="U52" s="76">
        <f t="shared" si="17"/>
        <v>0</v>
      </c>
      <c r="V52" s="76">
        <f t="shared" si="17"/>
        <v>0</v>
      </c>
      <c r="W52" s="74">
        <f t="shared" si="17"/>
        <v>0</v>
      </c>
      <c r="X52" s="74">
        <f t="shared" si="17"/>
        <v>0</v>
      </c>
      <c r="Y52" s="74">
        <f t="shared" si="17"/>
        <v>0</v>
      </c>
      <c r="Z52" s="74">
        <f t="shared" si="17"/>
        <v>0</v>
      </c>
      <c r="AA52" s="74">
        <f t="shared" si="17"/>
        <v>0</v>
      </c>
      <c r="AB52" s="76">
        <f t="shared" si="17"/>
        <v>0</v>
      </c>
      <c r="AC52" s="76">
        <f t="shared" si="17"/>
        <v>0</v>
      </c>
      <c r="AD52" s="74">
        <f t="shared" si="17"/>
        <v>0</v>
      </c>
      <c r="AE52" s="74">
        <f t="shared" si="17"/>
        <v>0</v>
      </c>
      <c r="AF52" s="74">
        <f t="shared" si="17"/>
        <v>0</v>
      </c>
      <c r="AG52" s="74">
        <f t="shared" si="17"/>
        <v>0</v>
      </c>
      <c r="AH52" s="74">
        <f t="shared" si="17"/>
        <v>0</v>
      </c>
      <c r="AI52" s="76">
        <f t="shared" si="17"/>
        <v>0</v>
      </c>
      <c r="AJ52" s="61">
        <f t="shared" si="16"/>
        <v>94077.335999999981</v>
      </c>
      <c r="AK52" s="62">
        <f t="shared" si="3"/>
        <v>-68515.092733439975</v>
      </c>
    </row>
    <row r="53" spans="1:37" s="21" customFormat="1" ht="20.100000000000001" customHeight="1" outlineLevel="1" x14ac:dyDescent="0.3">
      <c r="A53" s="27"/>
      <c r="B53" s="22"/>
      <c r="C53" s="8" t="s">
        <v>462</v>
      </c>
      <c r="D53" s="80"/>
      <c r="E53" s="74">
        <f>SUMIFS(разходи!$L:$L,разходи!$E:$E,'ПП Август'!$C$53,разходи!$M:$M,'ПП Август'!E2)</f>
        <v>0</v>
      </c>
      <c r="F53" s="74">
        <f>SUMIFS(разходи!$L:$L,разходи!$E:$E,'ПП Август'!$C$53,разходи!$M:$M,'ПП Август'!F2)</f>
        <v>0</v>
      </c>
      <c r="G53" s="76">
        <f>SUMIFS(разходи!$L:$L,разходи!$E:$E,'ПП Август'!$C$53,разходи!$M:$M,'ПП Август'!G2)</f>
        <v>0</v>
      </c>
      <c r="H53" s="76">
        <f>SUMIFS(разходи!$L:$L,разходи!$E:$E,'ПП Август'!$C$53,разходи!$M:$M,'ПП Август'!H2)</f>
        <v>0</v>
      </c>
      <c r="I53" s="74">
        <f>SUMIFS(разходи!$L:$L,разходи!$E:$E,'ПП Август'!$C$53,разходи!$M:$M,'ПП Август'!I2)</f>
        <v>0</v>
      </c>
      <c r="J53" s="74">
        <f>SUMIFS(разходи!$L:$L,разходи!$E:$E,'ПП Август'!$C$53,разходи!$M:$M,'ПП Август'!J2)</f>
        <v>0</v>
      </c>
      <c r="K53" s="74">
        <f>SUMIFS(разходи!$L:$L,разходи!$E:$E,'ПП Август'!$C$53,разходи!$M:$M,'ПП Август'!K2)</f>
        <v>0</v>
      </c>
      <c r="L53" s="74">
        <f>SUMIFS(разходи!$L:$L,разходи!$E:$E,'ПП Август'!$C$53,разходи!$M:$M,'ПП Август'!L2)</f>
        <v>99665.603999999992</v>
      </c>
      <c r="M53" s="74">
        <f>SUMIFS(разходи!$L:$L,разходи!$E:$E,'ПП Август'!$C$53,разходи!$M:$M,'ПП Август'!M2)</f>
        <v>0</v>
      </c>
      <c r="N53" s="76">
        <f>SUMIFS(разходи!$L:$L,разходи!$E:$E,'ПП Август'!$C$53,разходи!$M:$M,'ПП Август'!N2)</f>
        <v>0</v>
      </c>
      <c r="O53" s="76">
        <f>SUMIFS(разходи!$L:$L,разходи!$E:$E,'ПП Август'!$C$53,разходи!$M:$M,'ПП Август'!O2)</f>
        <v>0</v>
      </c>
      <c r="P53" s="74">
        <f>SUMIFS(разходи!$L:$L,разходи!$E:$E,'ПП Август'!$C$53,разходи!$M:$M,'ПП Август'!P2)</f>
        <v>0</v>
      </c>
      <c r="Q53" s="74">
        <f>SUMIFS(разходи!$L:$L,разходи!$E:$E,'ПП Август'!$C$53,разходи!$M:$M,'ПП Август'!Q2)</f>
        <v>0</v>
      </c>
      <c r="R53" s="74">
        <f>SUMIFS(разходи!$L:$L,разходи!$E:$E,'ПП Август'!$C$53,разходи!$M:$M,'ПП Август'!R2)</f>
        <v>0</v>
      </c>
      <c r="S53" s="74">
        <f>SUMIFS(разходи!$L:$L,разходи!$E:$E,'ПП Август'!$C$53,разходи!$M:$M,'ПП Август'!S2)</f>
        <v>0</v>
      </c>
      <c r="T53" s="74">
        <f>SUMIFS(разходи!$L:$L,разходи!$E:$E,'ПП Август'!$C$53,разходи!$M:$M,'ПП Август'!T2)</f>
        <v>0</v>
      </c>
      <c r="U53" s="76">
        <f>SUMIFS(разходи!$L:$L,разходи!$E:$E,'ПП Август'!$C$53,разходи!$M:$M,'ПП Август'!U2)</f>
        <v>0</v>
      </c>
      <c r="V53" s="76">
        <f>SUMIFS(разходи!$L:$L,разходи!$E:$E,'ПП Август'!$C$53,разходи!$M:$M,'ПП Август'!V2)</f>
        <v>0</v>
      </c>
      <c r="W53" s="74">
        <f>SUMIFS(разходи!$L:$L,разходи!$E:$E,'ПП Август'!$C$53,разходи!$M:$M,'ПП Август'!W2)</f>
        <v>0</v>
      </c>
      <c r="X53" s="74">
        <f>SUMIFS(разходи!$L:$L,разходи!$E:$E,'ПП Август'!$C$53,разходи!$M:$M,'ПП Август'!X2)</f>
        <v>0</v>
      </c>
      <c r="Y53" s="74">
        <f>SUMIFS(разходи!$L:$L,разходи!$E:$E,'ПП Август'!$C$53,разходи!$M:$M,'ПП Август'!Y2)</f>
        <v>0</v>
      </c>
      <c r="Z53" s="74">
        <f>SUMIFS(разходи!$L:$L,разходи!$E:$E,'ПП Август'!$C$53,разходи!$M:$M,'ПП Август'!Z2)</f>
        <v>0</v>
      </c>
      <c r="AA53" s="74">
        <f>SUMIFS(разходи!$L:$L,разходи!$E:$E,'ПП Август'!$C$53,разходи!$M:$M,'ПП Август'!AA2)</f>
        <v>0</v>
      </c>
      <c r="AB53" s="76">
        <f>SUMIFS(разходи!$L:$L,разходи!$E:$E,'ПП Август'!$C$53,разходи!$M:$M,'ПП Август'!AB2)</f>
        <v>0</v>
      </c>
      <c r="AC53" s="76">
        <f>SUMIFS(разходи!$L:$L,разходи!$E:$E,'ПП Август'!$C$53,разходи!$M:$M,'ПП Август'!AC2)</f>
        <v>0</v>
      </c>
      <c r="AD53" s="74">
        <f>SUMIFS(разходи!$L:$L,разходи!$E:$E,'ПП Август'!$C$53,разходи!$M:$M,'ПП Август'!AD2)</f>
        <v>0</v>
      </c>
      <c r="AE53" s="74">
        <f>SUMIFS(разходи!$L:$L,разходи!$E:$E,'ПП Август'!$C$53,разходи!$M:$M,'ПП Август'!AE2)</f>
        <v>0</v>
      </c>
      <c r="AF53" s="74">
        <f>SUMIFS(разходи!$L:$L,разходи!$E:$E,'ПП Август'!$C$53,разходи!$M:$M,'ПП Август'!AF2)</f>
        <v>0</v>
      </c>
      <c r="AG53" s="74">
        <f>SUMIFS(разходи!$L:$L,разходи!$E:$E,'ПП Август'!$C$53,разходи!$M:$M,'ПП Август'!AG2)</f>
        <v>0</v>
      </c>
      <c r="AH53" s="74">
        <f>SUMIFS(разходи!$L:$L,разходи!$E:$E,'ПП Август'!$C$53,разходи!$M:$M,'ПП Август'!AH2)</f>
        <v>0</v>
      </c>
      <c r="AI53" s="76">
        <f>SUMIFS(разходи!$L:$L,разходи!$E:$E,'ПП Август'!$C$53,разходи!$M:$M,'ПП Август'!AI2)</f>
        <v>0</v>
      </c>
      <c r="AJ53" s="61">
        <f t="shared" si="16"/>
        <v>99665.603999999992</v>
      </c>
      <c r="AK53" s="69">
        <f t="shared" si="3"/>
        <v>-99665.603999999992</v>
      </c>
    </row>
    <row r="54" spans="1:37" s="21" customFormat="1" ht="20.100000000000001" customHeight="1" outlineLevel="1" x14ac:dyDescent="0.3">
      <c r="A54" s="27"/>
      <c r="B54" s="22"/>
      <c r="C54" s="8" t="s">
        <v>463</v>
      </c>
      <c r="D54" s="80"/>
      <c r="E54" s="74">
        <f>SUMIFS(разходи!$L:$L,разходи!$E:$E,'ПП Август'!$C$54,разходи!$M:$M,'ПП Август'!E2)</f>
        <v>0</v>
      </c>
      <c r="F54" s="74">
        <f>SUMIFS(разходи!$L:$L,разходи!$E:$E,'ПП Август'!$C$54,разходи!$M:$M,'ПП Август'!F2)</f>
        <v>0</v>
      </c>
      <c r="G54" s="76">
        <f>SUMIFS(разходи!$L:$L,разходи!$E:$E,'ПП Август'!$C$54,разходи!$M:$M,'ПП Август'!G2)</f>
        <v>0</v>
      </c>
      <c r="H54" s="76">
        <f>SUMIFS(разходи!$L:$L,разходи!$E:$E,'ПП Август'!$C$54,разходи!$M:$M,'ПП Август'!H2)</f>
        <v>0</v>
      </c>
      <c r="I54" s="74">
        <f>SUMIFS(разходи!$L:$L,разходи!$E:$E,'ПП Август'!$C$54,разходи!$M:$M,'ПП Август'!I2)</f>
        <v>0</v>
      </c>
      <c r="J54" s="74">
        <f>SUMIFS(разходи!$L:$L,разходи!$E:$E,'ПП Август'!$C$54,разходи!$M:$M,'ПП Август'!J2)</f>
        <v>0</v>
      </c>
      <c r="K54" s="74">
        <f>SUMIFS(разходи!$L:$L,разходи!$E:$E,'ПП Август'!$C$54,разходи!$M:$M,'ПП Август'!K2)</f>
        <v>0</v>
      </c>
      <c r="L54" s="74">
        <f>SUMIFS(разходи!$L:$L,разходи!$E:$E,'ПП Август'!$C$54,разходи!$M:$M,'ПП Август'!L2)</f>
        <v>0</v>
      </c>
      <c r="M54" s="74">
        <f>SUMIFS(разходи!$L:$L,разходи!$E:$E,'ПП Август'!$C$54,разходи!$M:$M,'ПП Август'!M2)</f>
        <v>0</v>
      </c>
      <c r="N54" s="76">
        <f>SUMIFS(разходи!$L:$L,разходи!$E:$E,'ПП Август'!$C$54,разходи!$M:$M,'ПП Август'!N2)</f>
        <v>0</v>
      </c>
      <c r="O54" s="76">
        <f>SUMIFS(разходи!$L:$L,разходи!$E:$E,'ПП Август'!$C$54,разходи!$M:$M,'ПП Август'!O2)</f>
        <v>0</v>
      </c>
      <c r="P54" s="74">
        <f>SUMIFS(разходи!$L:$L,разходи!$E:$E,'ПП Август'!$C$54,разходи!$M:$M,'ПП Август'!P2)</f>
        <v>0</v>
      </c>
      <c r="Q54" s="74">
        <f>SUMIFS(разходи!$L:$L,разходи!$E:$E,'ПП Август'!$C$54,разходи!$M:$M,'ПП Август'!Q2)</f>
        <v>0</v>
      </c>
      <c r="R54" s="74">
        <f>SUMIFS(разходи!$L:$L,разходи!$E:$E,'ПП Август'!$C$54,разходи!$M:$M,'ПП Август'!R2)</f>
        <v>0</v>
      </c>
      <c r="S54" s="74">
        <f>SUMIFS(разходи!$L:$L,разходи!$E:$E,'ПП Август'!$C$54,разходи!$M:$M,'ПП Август'!S2)</f>
        <v>0</v>
      </c>
      <c r="T54" s="74">
        <f>SUMIFS(разходи!$L:$L,разходи!$E:$E,'ПП Август'!$C$54,разходи!$M:$M,'ПП Август'!T2)</f>
        <v>0</v>
      </c>
      <c r="U54" s="76">
        <f>SUMIFS(разходи!$L:$L,разходи!$E:$E,'ПП Август'!$C$54,разходи!$M:$M,'ПП Август'!U2)</f>
        <v>0</v>
      </c>
      <c r="V54" s="76">
        <f>SUMIFS(разходи!$L:$L,разходи!$E:$E,'ПП Август'!$C$54,разходи!$M:$M,'ПП Август'!V2)</f>
        <v>0</v>
      </c>
      <c r="W54" s="74">
        <f>SUMIFS(разходи!$L:$L,разходи!$E:$E,'ПП Август'!$C$54,разходи!$M:$M,'ПП Август'!W2)</f>
        <v>0</v>
      </c>
      <c r="X54" s="74">
        <f>SUMIFS(разходи!$L:$L,разходи!$E:$E,'ПП Август'!$C$54,разходи!$M:$M,'ПП Август'!X2)</f>
        <v>0</v>
      </c>
      <c r="Y54" s="74">
        <f>SUMIFS(разходи!$L:$L,разходи!$E:$E,'ПП Август'!$C$54,разходи!$M:$M,'ПП Август'!Y2)</f>
        <v>0</v>
      </c>
      <c r="Z54" s="74">
        <f>SUMIFS(разходи!$L:$L,разходи!$E:$E,'ПП Август'!$C$54,разходи!$M:$M,'ПП Август'!Z2)</f>
        <v>0</v>
      </c>
      <c r="AA54" s="74">
        <f>SUMIFS(разходи!$L:$L,разходи!$E:$E,'ПП Август'!$C$54,разходи!$M:$M,'ПП Август'!AA2)</f>
        <v>0</v>
      </c>
      <c r="AB54" s="76">
        <f>SUMIFS(разходи!$L:$L,разходи!$E:$E,'ПП Август'!$C$54,разходи!$M:$M,'ПП Август'!AB2)</f>
        <v>0</v>
      </c>
      <c r="AC54" s="76">
        <f>SUMIFS(разходи!$L:$L,разходи!$E:$E,'ПП Август'!$C$54,разходи!$M:$M,'ПП Август'!AC2)</f>
        <v>0</v>
      </c>
      <c r="AD54" s="74">
        <f>SUMIFS(разходи!$L:$L,разходи!$E:$E,'ПП Август'!$C$54,разходи!$M:$M,'ПП Август'!AD2)</f>
        <v>0</v>
      </c>
      <c r="AE54" s="74">
        <f>SUMIFS(разходи!$L:$L,разходи!$E:$E,'ПП Август'!$C$54,разходи!$M:$M,'ПП Август'!AE2)</f>
        <v>0</v>
      </c>
      <c r="AF54" s="74">
        <f>SUMIFS(разходи!$L:$L,разходи!$E:$E,'ПП Август'!$C$54,разходи!$M:$M,'ПП Август'!AF2)</f>
        <v>0</v>
      </c>
      <c r="AG54" s="74">
        <f>SUMIFS(разходи!$L:$L,разходи!$E:$E,'ПП Август'!$C$54,разходи!$M:$M,'ПП Август'!AG2)</f>
        <v>0</v>
      </c>
      <c r="AH54" s="74">
        <f>SUMIFS(разходи!$L:$L,разходи!$E:$E,'ПП Август'!$C$54,разходи!$M:$M,'ПП Август'!AH2)</f>
        <v>0</v>
      </c>
      <c r="AI54" s="76">
        <f>SUMIFS(разходи!$L:$L,разходи!$E:$E,'ПП Август'!$C$54,разходи!$M:$M,'ПП Август'!AI2)</f>
        <v>0</v>
      </c>
      <c r="AJ54" s="61">
        <f t="shared" si="16"/>
        <v>0</v>
      </c>
      <c r="AK54" s="69">
        <f t="shared" si="3"/>
        <v>0</v>
      </c>
    </row>
    <row r="55" spans="1:37" s="21" customFormat="1" ht="20.100000000000001" customHeight="1" outlineLevel="1" x14ac:dyDescent="0.3">
      <c r="A55" s="27"/>
      <c r="B55" s="22"/>
      <c r="C55" s="8" t="s">
        <v>464</v>
      </c>
      <c r="D55" s="80"/>
      <c r="E55" s="74">
        <f>SUMIFS(разходи!$L:$L,разходи!$E:$E,'ПП Август'!$C$55,разходи!$M:$M,'ПП Август'!E2)</f>
        <v>0</v>
      </c>
      <c r="F55" s="74">
        <f>SUMIFS(разходи!$L:$L,разходи!$E:$E,'ПП Август'!$C$55,разходи!$M:$M,'ПП Август'!F2)</f>
        <v>0</v>
      </c>
      <c r="G55" s="76">
        <f>SUMIFS(разходи!$L:$L,разходи!$E:$E,'ПП Август'!$C$55,разходи!$M:$M,'ПП Август'!G2)</f>
        <v>0</v>
      </c>
      <c r="H55" s="76">
        <f>SUMIFS(разходи!$L:$L,разходи!$E:$E,'ПП Август'!$C$55,разходи!$M:$M,'ПП Август'!H2)</f>
        <v>0</v>
      </c>
      <c r="I55" s="74">
        <f>SUMIFS(разходи!$L:$L,разходи!$E:$E,'ПП Август'!$C$55,разходи!$M:$M,'ПП Август'!I2)</f>
        <v>0</v>
      </c>
      <c r="J55" s="74">
        <f>SUMIFS(разходи!$L:$L,разходи!$E:$E,'ПП Август'!$C$55,разходи!$M:$M,'ПП Август'!J2)</f>
        <v>0</v>
      </c>
      <c r="K55" s="74">
        <f>SUMIFS(разходи!$L:$L,разходи!$E:$E,'ПП Август'!$C$55,разходи!$M:$M,'ПП Август'!K2)</f>
        <v>0</v>
      </c>
      <c r="L55" s="74">
        <f>SUMIFS(разходи!$L:$L,разходи!$E:$E,'ПП Август'!$C$55,разходи!$M:$M,'ПП Август'!L2)</f>
        <v>1397.34</v>
      </c>
      <c r="M55" s="74">
        <f>SUMIFS(разходи!$L:$L,разходи!$E:$E,'ПП Август'!$C$55,разходи!$M:$M,'ПП Август'!M2)</f>
        <v>0</v>
      </c>
      <c r="N55" s="76">
        <f>SUMIFS(разходи!$L:$L,разходи!$E:$E,'ПП Август'!$C$55,разходи!$M:$M,'ПП Август'!N2)</f>
        <v>0</v>
      </c>
      <c r="O55" s="76">
        <f>SUMIFS(разходи!$L:$L,разходи!$E:$E,'ПП Август'!$C$55,разходи!$M:$M,'ПП Август'!O2)</f>
        <v>0</v>
      </c>
      <c r="P55" s="74">
        <f>SUMIFS(разходи!$L:$L,разходи!$E:$E,'ПП Август'!$C$55,разходи!$M:$M,'ПП Август'!P2)</f>
        <v>0</v>
      </c>
      <c r="Q55" s="74">
        <f>SUMIFS(разходи!$L:$L,разходи!$E:$E,'ПП Август'!$C$55,разходи!$M:$M,'ПП Август'!Q2)</f>
        <v>0</v>
      </c>
      <c r="R55" s="74">
        <f>SUMIFS(разходи!$L:$L,разходи!$E:$E,'ПП Август'!$C$55,разходи!$M:$M,'ПП Август'!R2)</f>
        <v>0</v>
      </c>
      <c r="S55" s="74">
        <f>SUMIFS(разходи!$L:$L,разходи!$E:$E,'ПП Август'!$C$55,разходи!$M:$M,'ПП Август'!S2)</f>
        <v>0</v>
      </c>
      <c r="T55" s="74">
        <f>SUMIFS(разходи!$L:$L,разходи!$E:$E,'ПП Август'!$C$55,разходи!$M:$M,'ПП Август'!T2)</f>
        <v>0</v>
      </c>
      <c r="U55" s="76">
        <f>SUMIFS(разходи!$L:$L,разходи!$E:$E,'ПП Август'!$C$55,разходи!$M:$M,'ПП Август'!U2)</f>
        <v>0</v>
      </c>
      <c r="V55" s="76">
        <f>SUMIFS(разходи!$L:$L,разходи!$E:$E,'ПП Август'!$C$55,разходи!$M:$M,'ПП Август'!V2)</f>
        <v>0</v>
      </c>
      <c r="W55" s="74">
        <f>SUMIFS(разходи!$L:$L,разходи!$E:$E,'ПП Август'!$C$55,разходи!$M:$M,'ПП Август'!W2)</f>
        <v>0</v>
      </c>
      <c r="X55" s="74">
        <f>SUMIFS(разходи!$L:$L,разходи!$E:$E,'ПП Август'!$C$55,разходи!$M:$M,'ПП Август'!X2)</f>
        <v>0</v>
      </c>
      <c r="Y55" s="74">
        <f>SUMIFS(разходи!$L:$L,разходи!$E:$E,'ПП Август'!$C$55,разходи!$M:$M,'ПП Август'!Y2)</f>
        <v>0</v>
      </c>
      <c r="Z55" s="74">
        <f>SUMIFS(разходи!$L:$L,разходи!$E:$E,'ПП Август'!$C$55,разходи!$M:$M,'ПП Август'!Z2)</f>
        <v>0</v>
      </c>
      <c r="AA55" s="74">
        <f>SUMIFS(разходи!$L:$L,разходи!$E:$E,'ПП Август'!$C$55,разходи!$M:$M,'ПП Август'!AA2)</f>
        <v>0</v>
      </c>
      <c r="AB55" s="76">
        <f>SUMIFS(разходи!$L:$L,разходи!$E:$E,'ПП Август'!$C$55,разходи!$M:$M,'ПП Август'!AB2)</f>
        <v>0</v>
      </c>
      <c r="AC55" s="76">
        <f>SUMIFS(разходи!$L:$L,разходи!$E:$E,'ПП Август'!$C$55,разходи!$M:$M,'ПП Август'!AC2)</f>
        <v>0</v>
      </c>
      <c r="AD55" s="74">
        <f>SUMIFS(разходи!$L:$L,разходи!$E:$E,'ПП Август'!$C$55,разходи!$M:$M,'ПП Август'!AD2)</f>
        <v>0</v>
      </c>
      <c r="AE55" s="74">
        <f>SUMIFS(разходи!$L:$L,разходи!$E:$E,'ПП Август'!$C$55,разходи!$M:$M,'ПП Август'!AE2)</f>
        <v>0</v>
      </c>
      <c r="AF55" s="74">
        <f>SUMIFS(разходи!$L:$L,разходи!$E:$E,'ПП Август'!$C$55,разходи!$M:$M,'ПП Август'!AF2)</f>
        <v>0</v>
      </c>
      <c r="AG55" s="74">
        <f>SUMIFS(разходи!$L:$L,разходи!$E:$E,'ПП Август'!$C$55,разходи!$M:$M,'ПП Август'!AG2)</f>
        <v>0</v>
      </c>
      <c r="AH55" s="74">
        <f>SUMIFS(разходи!$L:$L,разходи!$E:$E,'ПП Август'!$C$55,разходи!$M:$M,'ПП Август'!AH2)</f>
        <v>0</v>
      </c>
      <c r="AI55" s="76">
        <f>SUMIFS(разходи!$L:$L,разходи!$E:$E,'ПП Август'!$C$55,разходи!$M:$M,'ПП Август'!AI2)</f>
        <v>0</v>
      </c>
      <c r="AJ55" s="61">
        <f t="shared" si="16"/>
        <v>1397.34</v>
      </c>
      <c r="AK55" s="69">
        <f t="shared" si="3"/>
        <v>-1397.34</v>
      </c>
    </row>
    <row r="56" spans="1:37" s="21" customFormat="1" ht="20.100000000000001" customHeight="1" outlineLevel="1" x14ac:dyDescent="0.3">
      <c r="A56" s="27"/>
      <c r="B56" s="22"/>
      <c r="C56" s="8" t="s">
        <v>465</v>
      </c>
      <c r="D56" s="80"/>
      <c r="E56" s="74">
        <f>SUMIFS(разходи!$L:$L,разходи!$E:$E,'ПП Август'!$C$56,разходи!$M:$M,'ПП Август'!E2)</f>
        <v>0</v>
      </c>
      <c r="F56" s="74">
        <f>SUMIFS(разходи!$L:$L,разходи!$E:$E,'ПП Август'!$C$56,разходи!$M:$M,'ПП Август'!F2)</f>
        <v>0</v>
      </c>
      <c r="G56" s="76">
        <f>SUMIFS(разходи!$L:$L,разходи!$E:$E,'ПП Август'!$C$56,разходи!$M:$M,'ПП Август'!G2)</f>
        <v>0</v>
      </c>
      <c r="H56" s="76">
        <f>SUMIFS(разходи!$L:$L,разходи!$E:$E,'ПП Август'!$C$56,разходи!$M:$M,'ПП Август'!H2)</f>
        <v>0</v>
      </c>
      <c r="I56" s="74">
        <f>SUMIFS(разходи!$L:$L,разходи!$E:$E,'ПП Август'!$C$56,разходи!$M:$M,'ПП Август'!I2)</f>
        <v>0</v>
      </c>
      <c r="J56" s="74">
        <f>SUMIFS(разходи!$L:$L,разходи!$E:$E,'ПП Август'!$C$56,разходи!$M:$M,'ПП Август'!J2)</f>
        <v>0</v>
      </c>
      <c r="K56" s="74">
        <f>SUMIFS(разходи!$L:$L,разходи!$E:$E,'ПП Август'!$C$56,разходи!$M:$M,'ПП Август'!K2)</f>
        <v>0</v>
      </c>
      <c r="L56" s="74">
        <f>SUMIFS(разходи!$L:$L,разходи!$E:$E,'ПП Август'!$C$56,разходи!$M:$M,'ПП Август'!L2)</f>
        <v>-6985.6080000000002</v>
      </c>
      <c r="M56" s="74">
        <f>SUMIFS(разходи!$L:$L,разходи!$E:$E,'ПП Август'!$C$56,разходи!$M:$M,'ПП Август'!M2)</f>
        <v>0</v>
      </c>
      <c r="N56" s="76">
        <f>SUMIFS(разходи!$L:$L,разходи!$E:$E,'ПП Август'!$C$56,разходи!$M:$M,'ПП Август'!N2)</f>
        <v>0</v>
      </c>
      <c r="O56" s="76">
        <f>SUMIFS(разходи!$L:$L,разходи!$E:$E,'ПП Август'!$C$56,разходи!$M:$M,'ПП Август'!O2)</f>
        <v>0</v>
      </c>
      <c r="P56" s="74">
        <f>SUMIFS(разходи!$L:$L,разходи!$E:$E,'ПП Август'!$C$56,разходи!$M:$M,'ПП Август'!P2)</f>
        <v>0</v>
      </c>
      <c r="Q56" s="74">
        <f>SUMIFS(разходи!$L:$L,разходи!$E:$E,'ПП Август'!$C$56,разходи!$M:$M,'ПП Август'!Q2)</f>
        <v>0</v>
      </c>
      <c r="R56" s="74">
        <f>SUMIFS(разходи!$L:$L,разходи!$E:$E,'ПП Август'!$C$56,разходи!$M:$M,'ПП Август'!R2)</f>
        <v>0</v>
      </c>
      <c r="S56" s="74">
        <f>SUMIFS(разходи!$L:$L,разходи!$E:$E,'ПП Август'!$C$56,разходи!$M:$M,'ПП Август'!S2)</f>
        <v>0</v>
      </c>
      <c r="T56" s="74">
        <f>SUMIFS(разходи!$L:$L,разходи!$E:$E,'ПП Август'!$C$56,разходи!$M:$M,'ПП Август'!T2)</f>
        <v>0</v>
      </c>
      <c r="U56" s="76">
        <f>SUMIFS(разходи!$L:$L,разходи!$E:$E,'ПП Август'!$C$56,разходи!$M:$M,'ПП Август'!U2)</f>
        <v>0</v>
      </c>
      <c r="V56" s="76">
        <f>SUMIFS(разходи!$L:$L,разходи!$E:$E,'ПП Август'!$C$56,разходи!$M:$M,'ПП Август'!V2)</f>
        <v>0</v>
      </c>
      <c r="W56" s="74">
        <f>SUMIFS(разходи!$L:$L,разходи!$E:$E,'ПП Август'!$C$56,разходи!$M:$M,'ПП Август'!W2)</f>
        <v>0</v>
      </c>
      <c r="X56" s="74">
        <f>SUMIFS(разходи!$L:$L,разходи!$E:$E,'ПП Август'!$C$56,разходи!$M:$M,'ПП Август'!X2)</f>
        <v>0</v>
      </c>
      <c r="Y56" s="74">
        <f>SUMIFS(разходи!$L:$L,разходи!$E:$E,'ПП Август'!$C$56,разходи!$M:$M,'ПП Август'!Y2)</f>
        <v>0</v>
      </c>
      <c r="Z56" s="74">
        <f>SUMIFS(разходи!$L:$L,разходи!$E:$E,'ПП Август'!$C$56,разходи!$M:$M,'ПП Август'!Z2)</f>
        <v>0</v>
      </c>
      <c r="AA56" s="74">
        <f>SUMIFS(разходи!$L:$L,разходи!$E:$E,'ПП Август'!$C$56,разходи!$M:$M,'ПП Август'!AA2)</f>
        <v>0</v>
      </c>
      <c r="AB56" s="76">
        <f>SUMIFS(разходи!$L:$L,разходи!$E:$E,'ПП Август'!$C$56,разходи!$M:$M,'ПП Август'!AB2)</f>
        <v>0</v>
      </c>
      <c r="AC56" s="76">
        <f>SUMIFS(разходи!$L:$L,разходи!$E:$E,'ПП Август'!$C$56,разходи!$M:$M,'ПП Август'!AC2)</f>
        <v>0</v>
      </c>
      <c r="AD56" s="74">
        <f>SUMIFS(разходи!$L:$L,разходи!$E:$E,'ПП Август'!$C$56,разходи!$M:$M,'ПП Август'!AD2)</f>
        <v>0</v>
      </c>
      <c r="AE56" s="74">
        <f>SUMIFS(разходи!$L:$L,разходи!$E:$E,'ПП Август'!$C$56,разходи!$M:$M,'ПП Август'!AE2)</f>
        <v>0</v>
      </c>
      <c r="AF56" s="74">
        <f>SUMIFS(разходи!$L:$L,разходи!$E:$E,'ПП Август'!$C$56,разходи!$M:$M,'ПП Август'!AF2)</f>
        <v>0</v>
      </c>
      <c r="AG56" s="74">
        <f>SUMIFS(разходи!$L:$L,разходи!$E:$E,'ПП Август'!$C$56,разходи!$M:$M,'ПП Август'!AG2)</f>
        <v>0</v>
      </c>
      <c r="AH56" s="74">
        <f>SUMIFS(разходи!$L:$L,разходи!$E:$E,'ПП Август'!$C$56,разходи!$M:$M,'ПП Август'!AH2)</f>
        <v>0</v>
      </c>
      <c r="AI56" s="76">
        <f>SUMIFS(разходи!$L:$L,разходи!$E:$E,'ПП Август'!$C$56,разходи!$M:$M,'ПП Август'!AI2)</f>
        <v>0</v>
      </c>
      <c r="AJ56" s="61">
        <f t="shared" si="16"/>
        <v>-6985.6080000000002</v>
      </c>
      <c r="AK56" s="69">
        <f t="shared" si="3"/>
        <v>6985.6080000000002</v>
      </c>
    </row>
    <row r="57" spans="1:37" s="4" customFormat="1" ht="20.100000000000001" customHeight="1" x14ac:dyDescent="0.3">
      <c r="A57" s="9"/>
      <c r="B57" s="7">
        <v>4</v>
      </c>
      <c r="C57" s="8" t="s">
        <v>54</v>
      </c>
      <c r="D57" s="80">
        <v>324391.93844160001</v>
      </c>
      <c r="E57" s="74">
        <f>SUMIFS(разходи!$L:$L,разходи!$E:$E,'ПП Август'!$C$57,разходи!$M:$M,'ПП Август'!E2)</f>
        <v>0</v>
      </c>
      <c r="F57" s="74">
        <f>SUMIFS(разходи!$L:$L,разходи!$E:$E,'ПП Август'!$C$57,разходи!$M:$M,'ПП Август'!F2)</f>
        <v>0</v>
      </c>
      <c r="G57" s="76">
        <f>SUMIFS(разходи!$L:$L,разходи!$E:$E,'ПП Август'!$C$57,разходи!$M:$M,'ПП Август'!G2)</f>
        <v>0</v>
      </c>
      <c r="H57" s="76">
        <f>SUMIFS(разходи!$L:$L,разходи!$E:$E,'ПП Август'!$C$57,разходи!$M:$M,'ПП Август'!H2)</f>
        <v>0</v>
      </c>
      <c r="I57" s="74">
        <f>SUMIFS(разходи!$L:$L,разходи!$E:$E,'ПП Август'!$C$57,разходи!$M:$M,'ПП Август'!I2)</f>
        <v>0</v>
      </c>
      <c r="J57" s="74">
        <f>SUMIFS(разходи!$L:$L,разходи!$E:$E,'ПП Август'!$C$57,разходи!$M:$M,'ПП Август'!J2)</f>
        <v>0</v>
      </c>
      <c r="K57" s="74">
        <f>SUMIFS(разходи!$L:$L,разходи!$E:$E,'ПП Август'!$C$57,разходи!$M:$M,'ПП Август'!K2)</f>
        <v>0</v>
      </c>
      <c r="L57" s="74">
        <f>SUMIFS(разходи!$L:$L,разходи!$E:$E,'ПП Август'!$C$57,разходи!$M:$M,'ПП Август'!L2)</f>
        <v>0</v>
      </c>
      <c r="M57" s="74">
        <f>SUMIFS(разходи!$L:$L,разходи!$E:$E,'ПП Август'!$C$57,разходи!$M:$M,'ПП Август'!M2)</f>
        <v>88575.647759999993</v>
      </c>
      <c r="N57" s="76">
        <f>SUMIFS(разходи!$L:$L,разходи!$E:$E,'ПП Август'!$C$57,разходи!$M:$M,'ПП Август'!N2)</f>
        <v>0</v>
      </c>
      <c r="O57" s="76">
        <f>SUMIFS(разходи!$L:$L,разходи!$E:$E,'ПП Август'!$C$57,разходи!$M:$M,'ПП Август'!O2)</f>
        <v>0</v>
      </c>
      <c r="P57" s="74">
        <f>SUMIFS(разходи!$L:$L,разходи!$E:$E,'ПП Август'!$C$57,разходи!$M:$M,'ПП Август'!P2)</f>
        <v>0</v>
      </c>
      <c r="Q57" s="74">
        <f>SUMIFS(разходи!$L:$L,разходи!$E:$E,'ПП Август'!$C$57,разходи!$M:$M,'ПП Август'!Q2)</f>
        <v>0</v>
      </c>
      <c r="R57" s="74">
        <f>SUMIFS(разходи!$L:$L,разходи!$E:$E,'ПП Август'!$C$57,разходи!$M:$M,'ПП Август'!R2)</f>
        <v>0</v>
      </c>
      <c r="S57" s="74">
        <f>SUMIFS(разходи!$L:$L,разходи!$E:$E,'ПП Август'!$C$57,разходи!$M:$M,'ПП Август'!S2)</f>
        <v>0</v>
      </c>
      <c r="T57" s="74">
        <f>SUMIFS(разходи!$L:$L,разходи!$E:$E,'ПП Август'!$C$57,разходи!$M:$M,'ПП Август'!T2)</f>
        <v>0</v>
      </c>
      <c r="U57" s="76">
        <f>SUMIFS(разходи!$L:$L,разходи!$E:$E,'ПП Август'!$C$57,разходи!$M:$M,'ПП Август'!U2)</f>
        <v>0</v>
      </c>
      <c r="V57" s="76">
        <f>SUMIFS(разходи!$L:$L,разходи!$E:$E,'ПП Август'!$C$57,разходи!$M:$M,'ПП Август'!V2)</f>
        <v>0</v>
      </c>
      <c r="W57" s="74">
        <f>SUMIFS(разходи!$L:$L,разходи!$E:$E,'ПП Август'!$C$57,разходи!$M:$M,'ПП Август'!W2)</f>
        <v>0</v>
      </c>
      <c r="X57" s="74">
        <f>SUMIFS(разходи!$L:$L,разходи!$E:$E,'ПП Август'!$C$57,разходи!$M:$M,'ПП Август'!X2)</f>
        <v>0</v>
      </c>
      <c r="Y57" s="74">
        <f>SUMIFS(разходи!$L:$L,разходи!$E:$E,'ПП Август'!$C$57,разходи!$M:$M,'ПП Август'!Y2)</f>
        <v>0</v>
      </c>
      <c r="Z57" s="74">
        <f>SUMIFS(разходи!$L:$L,разходи!$E:$E,'ПП Август'!$C$57,разходи!$M:$M,'ПП Август'!Z2)</f>
        <v>0</v>
      </c>
      <c r="AA57" s="74">
        <f>SUMIFS(разходи!$L:$L,разходи!$E:$E,'ПП Август'!$C$57,разходи!$M:$M,'ПП Август'!AA2)</f>
        <v>0</v>
      </c>
      <c r="AB57" s="76">
        <f>SUMIFS(разходи!$L:$L,разходи!$E:$E,'ПП Август'!$C$57,разходи!$M:$M,'ПП Август'!AB2)</f>
        <v>0</v>
      </c>
      <c r="AC57" s="76">
        <f>SUMIFS(разходи!$L:$L,разходи!$E:$E,'ПП Август'!$C$57,разходи!$M:$M,'ПП Август'!AC2)</f>
        <v>0</v>
      </c>
      <c r="AD57" s="74">
        <f>SUMIFS(разходи!$L:$L,разходи!$E:$E,'ПП Август'!$C$57,разходи!$M:$M,'ПП Август'!AD2)</f>
        <v>0</v>
      </c>
      <c r="AE57" s="74">
        <f>SUMIFS(разходи!$L:$L,разходи!$E:$E,'ПП Август'!$C$57,разходи!$M:$M,'ПП Август'!AE2)</f>
        <v>0</v>
      </c>
      <c r="AF57" s="74">
        <f>SUMIFS(разходи!$L:$L,разходи!$E:$E,'ПП Август'!$C$57,разходи!$M:$M,'ПП Август'!AF2)</f>
        <v>0</v>
      </c>
      <c r="AG57" s="74">
        <f>SUMIFS(разходи!$L:$L,разходи!$E:$E,'ПП Август'!$C$57,разходи!$M:$M,'ПП Август'!AG2)</f>
        <v>0</v>
      </c>
      <c r="AH57" s="74">
        <f>SUMIFS(разходи!$L:$L,разходи!$E:$E,'ПП Август'!$C$57,разходи!$M:$M,'ПП Август'!AH2)</f>
        <v>0</v>
      </c>
      <c r="AI57" s="76">
        <f>SUMIFS(разходи!$L:$L,разходи!$E:$E,'ПП Август'!$C$57,разходи!$M:$M,'ПП Август'!AI2)</f>
        <v>0</v>
      </c>
      <c r="AJ57" s="61">
        <f t="shared" si="16"/>
        <v>88575.647759999993</v>
      </c>
      <c r="AK57" s="69">
        <f t="shared" si="3"/>
        <v>235816.29068160002</v>
      </c>
    </row>
    <row r="58" spans="1:37" s="4" customFormat="1" ht="20.100000000000001" customHeight="1" x14ac:dyDescent="0.3">
      <c r="A58" s="9"/>
      <c r="B58" s="7">
        <v>5</v>
      </c>
      <c r="C58" s="8" t="s">
        <v>862</v>
      </c>
      <c r="D58" s="74">
        <f>+D59+D64+D69+D72</f>
        <v>18558.902432000003</v>
      </c>
      <c r="E58" s="74">
        <f t="shared" ref="E58:AI58" si="18">+E59+E64+E69+E72+E78</f>
        <v>0</v>
      </c>
      <c r="F58" s="74">
        <f t="shared" si="18"/>
        <v>0</v>
      </c>
      <c r="G58" s="76">
        <f t="shared" si="18"/>
        <v>0</v>
      </c>
      <c r="H58" s="76">
        <f t="shared" si="18"/>
        <v>0</v>
      </c>
      <c r="I58" s="74">
        <f t="shared" si="18"/>
        <v>0</v>
      </c>
      <c r="J58" s="74">
        <f t="shared" si="18"/>
        <v>25.692</v>
      </c>
      <c r="K58" s="74">
        <f t="shared" si="18"/>
        <v>0</v>
      </c>
      <c r="L58" s="74">
        <f t="shared" si="18"/>
        <v>298.77999999999997</v>
      </c>
      <c r="M58" s="74">
        <f t="shared" si="18"/>
        <v>12871.666000000001</v>
      </c>
      <c r="N58" s="76">
        <f t="shared" si="18"/>
        <v>0</v>
      </c>
      <c r="O58" s="76">
        <f t="shared" si="18"/>
        <v>0</v>
      </c>
      <c r="P58" s="74">
        <f t="shared" si="18"/>
        <v>8059.25</v>
      </c>
      <c r="Q58" s="74">
        <f t="shared" si="18"/>
        <v>3000.73</v>
      </c>
      <c r="R58" s="74">
        <f t="shared" si="18"/>
        <v>0</v>
      </c>
      <c r="S58" s="74">
        <f t="shared" si="18"/>
        <v>0</v>
      </c>
      <c r="T58" s="74">
        <f t="shared" si="18"/>
        <v>0</v>
      </c>
      <c r="U58" s="76">
        <f t="shared" si="18"/>
        <v>0</v>
      </c>
      <c r="V58" s="76">
        <f t="shared" si="18"/>
        <v>0</v>
      </c>
      <c r="W58" s="74">
        <f t="shared" si="18"/>
        <v>0</v>
      </c>
      <c r="X58" s="74">
        <f t="shared" si="18"/>
        <v>5978.4699999999993</v>
      </c>
      <c r="Y58" s="74">
        <f t="shared" si="18"/>
        <v>0</v>
      </c>
      <c r="Z58" s="74">
        <f t="shared" si="18"/>
        <v>0</v>
      </c>
      <c r="AA58" s="74">
        <f t="shared" si="18"/>
        <v>0</v>
      </c>
      <c r="AB58" s="76">
        <f t="shared" si="18"/>
        <v>0</v>
      </c>
      <c r="AC58" s="76">
        <f t="shared" si="18"/>
        <v>0</v>
      </c>
      <c r="AD58" s="74">
        <f t="shared" si="18"/>
        <v>0</v>
      </c>
      <c r="AE58" s="74">
        <f t="shared" si="18"/>
        <v>0</v>
      </c>
      <c r="AF58" s="74">
        <f t="shared" si="18"/>
        <v>0</v>
      </c>
      <c r="AG58" s="74">
        <f t="shared" si="18"/>
        <v>0</v>
      </c>
      <c r="AH58" s="74">
        <f t="shared" si="18"/>
        <v>0</v>
      </c>
      <c r="AI58" s="76">
        <f t="shared" si="18"/>
        <v>0</v>
      </c>
      <c r="AJ58" s="61">
        <f t="shared" si="16"/>
        <v>30234.587999999996</v>
      </c>
      <c r="AK58" s="62">
        <f t="shared" si="3"/>
        <v>-11675.685567999994</v>
      </c>
    </row>
    <row r="59" spans="1:37" s="21" customFormat="1" ht="20.100000000000001" customHeight="1" outlineLevel="1" x14ac:dyDescent="0.3">
      <c r="A59" s="27"/>
      <c r="B59" s="22"/>
      <c r="C59" s="8" t="s">
        <v>863</v>
      </c>
      <c r="D59" s="80">
        <v>12358.902432000001</v>
      </c>
      <c r="E59" s="74">
        <f t="shared" ref="E59:AI59" si="19">SUM(E60:E63)</f>
        <v>0</v>
      </c>
      <c r="F59" s="74">
        <f t="shared" si="19"/>
        <v>0</v>
      </c>
      <c r="G59" s="76">
        <f t="shared" si="19"/>
        <v>0</v>
      </c>
      <c r="H59" s="76">
        <f t="shared" si="19"/>
        <v>0</v>
      </c>
      <c r="I59" s="74">
        <f t="shared" si="19"/>
        <v>0</v>
      </c>
      <c r="J59" s="74">
        <f t="shared" si="19"/>
        <v>25.692</v>
      </c>
      <c r="K59" s="74">
        <f t="shared" si="19"/>
        <v>0</v>
      </c>
      <c r="L59" s="74">
        <f t="shared" si="19"/>
        <v>0</v>
      </c>
      <c r="M59" s="74">
        <f t="shared" si="19"/>
        <v>501.61</v>
      </c>
      <c r="N59" s="76">
        <f t="shared" si="19"/>
        <v>0</v>
      </c>
      <c r="O59" s="76">
        <f t="shared" si="19"/>
        <v>0</v>
      </c>
      <c r="P59" s="74">
        <f t="shared" si="19"/>
        <v>0</v>
      </c>
      <c r="Q59" s="74">
        <f t="shared" si="19"/>
        <v>3000.73</v>
      </c>
      <c r="R59" s="74">
        <f t="shared" si="19"/>
        <v>0</v>
      </c>
      <c r="S59" s="74">
        <f t="shared" si="19"/>
        <v>0</v>
      </c>
      <c r="T59" s="74">
        <f t="shared" si="19"/>
        <v>0</v>
      </c>
      <c r="U59" s="76">
        <f t="shared" si="19"/>
        <v>0</v>
      </c>
      <c r="V59" s="76">
        <f t="shared" si="19"/>
        <v>0</v>
      </c>
      <c r="W59" s="74">
        <f t="shared" si="19"/>
        <v>0</v>
      </c>
      <c r="X59" s="74">
        <f t="shared" si="19"/>
        <v>0</v>
      </c>
      <c r="Y59" s="74">
        <f t="shared" si="19"/>
        <v>0</v>
      </c>
      <c r="Z59" s="74">
        <f t="shared" si="19"/>
        <v>0</v>
      </c>
      <c r="AA59" s="74">
        <f t="shared" si="19"/>
        <v>0</v>
      </c>
      <c r="AB59" s="76">
        <f t="shared" si="19"/>
        <v>0</v>
      </c>
      <c r="AC59" s="76">
        <f t="shared" si="19"/>
        <v>0</v>
      </c>
      <c r="AD59" s="74">
        <f t="shared" si="19"/>
        <v>0</v>
      </c>
      <c r="AE59" s="74">
        <f t="shared" si="19"/>
        <v>0</v>
      </c>
      <c r="AF59" s="74">
        <f t="shared" si="19"/>
        <v>0</v>
      </c>
      <c r="AG59" s="74">
        <f t="shared" si="19"/>
        <v>0</v>
      </c>
      <c r="AH59" s="74">
        <f t="shared" si="19"/>
        <v>0</v>
      </c>
      <c r="AI59" s="76">
        <f t="shared" si="19"/>
        <v>0</v>
      </c>
      <c r="AJ59" s="61">
        <f t="shared" si="16"/>
        <v>3528.0320000000002</v>
      </c>
      <c r="AK59" s="69">
        <f t="shared" si="3"/>
        <v>8830.8704319999997</v>
      </c>
    </row>
    <row r="60" spans="1:37" s="21" customFormat="1" ht="20.100000000000001" customHeight="1" outlineLevel="2" x14ac:dyDescent="0.3">
      <c r="A60" s="27"/>
      <c r="B60" s="22"/>
      <c r="C60" s="49" t="s">
        <v>422</v>
      </c>
      <c r="D60" s="80"/>
      <c r="E60" s="74">
        <f>SUMIFS(разходи!$L:$L,разходи!$E:$E,'ПП Август'!$C$60,разходи!$M:$M,'ПП Август'!E2)</f>
        <v>0</v>
      </c>
      <c r="F60" s="74">
        <f>SUMIFS(разходи!$L:$L,разходи!$E:$E,'ПП Август'!$C$60,разходи!$M:$M,'ПП Август'!F2)</f>
        <v>0</v>
      </c>
      <c r="G60" s="76">
        <f>SUMIFS(разходи!$L:$L,разходи!$E:$E,'ПП Август'!$C$60,разходи!$M:$M,'ПП Август'!G2)</f>
        <v>0</v>
      </c>
      <c r="H60" s="76">
        <f>SUMIFS(разходи!$L:$L,разходи!$E:$E,'ПП Август'!$C$60,разходи!$M:$M,'ПП Август'!H2)</f>
        <v>0</v>
      </c>
      <c r="I60" s="74">
        <f>SUMIFS(разходи!$L:$L,разходи!$E:$E,'ПП Август'!$C$60,разходи!$M:$M,'ПП Август'!I2)</f>
        <v>0</v>
      </c>
      <c r="J60" s="74">
        <f>SUMIFS(разходи!$L:$L,разходи!$E:$E,'ПП Август'!$C$60,разходи!$M:$M,'ПП Август'!J2)</f>
        <v>25.692</v>
      </c>
      <c r="K60" s="74">
        <f>SUMIFS(разходи!$L:$L,разходи!$E:$E,'ПП Август'!$C$60,разходи!$M:$M,'ПП Август'!K2)</f>
        <v>0</v>
      </c>
      <c r="L60" s="74">
        <f>SUMIFS(разходи!$L:$L,разходи!$E:$E,'ПП Август'!$C$60,разходи!$M:$M,'ПП Август'!L2)</f>
        <v>0</v>
      </c>
      <c r="M60" s="74">
        <f>SUMIFS(разходи!$L:$L,разходи!$E:$E,'ПП Август'!$C$60,разходи!$M:$M,'ПП Август'!M2)</f>
        <v>0</v>
      </c>
      <c r="N60" s="76">
        <f>SUMIFS(разходи!$L:$L,разходи!$E:$E,'ПП Август'!$C$60,разходи!$M:$M,'ПП Август'!N2)</f>
        <v>0</v>
      </c>
      <c r="O60" s="76">
        <f>SUMIFS(разходи!$L:$L,разходи!$E:$E,'ПП Август'!$C$60,разходи!$M:$M,'ПП Август'!O2)</f>
        <v>0</v>
      </c>
      <c r="P60" s="74">
        <f>SUMIFS(разходи!$L:$L,разходи!$E:$E,'ПП Август'!$C$60,разходи!$M:$M,'ПП Август'!P2)</f>
        <v>0</v>
      </c>
      <c r="Q60" s="74">
        <f>SUMIFS(разходи!$L:$L,разходи!$E:$E,'ПП Август'!$C$60,разходи!$M:$M,'ПП Август'!Q2)</f>
        <v>0</v>
      </c>
      <c r="R60" s="74">
        <f>SUMIFS(разходи!$L:$L,разходи!$E:$E,'ПП Август'!$C$60,разходи!$M:$M,'ПП Август'!R2)</f>
        <v>0</v>
      </c>
      <c r="S60" s="74">
        <f>SUMIFS(разходи!$L:$L,разходи!$E:$E,'ПП Август'!$C$60,разходи!$M:$M,'ПП Август'!S2)</f>
        <v>0</v>
      </c>
      <c r="T60" s="74">
        <f>SUMIFS(разходи!$L:$L,разходи!$E:$E,'ПП Август'!$C$60,разходи!$M:$M,'ПП Август'!T2)</f>
        <v>0</v>
      </c>
      <c r="U60" s="76">
        <f>SUMIFS(разходи!$L:$L,разходи!$E:$E,'ПП Август'!$C$60,разходи!$M:$M,'ПП Август'!U2)</f>
        <v>0</v>
      </c>
      <c r="V60" s="76">
        <f>SUMIFS(разходи!$L:$L,разходи!$E:$E,'ПП Август'!$C$60,разходи!$M:$M,'ПП Август'!V2)</f>
        <v>0</v>
      </c>
      <c r="W60" s="74">
        <f>SUMIFS(разходи!$L:$L,разходи!$E:$E,'ПП Август'!$C$60,разходи!$M:$M,'ПП Август'!W2)</f>
        <v>0</v>
      </c>
      <c r="X60" s="74">
        <f>SUMIFS(разходи!$L:$L,разходи!$E:$E,'ПП Август'!$C$60,разходи!$M:$M,'ПП Август'!X2)</f>
        <v>0</v>
      </c>
      <c r="Y60" s="74">
        <f>SUMIFS(разходи!$L:$L,разходи!$E:$E,'ПП Август'!$C$60,разходи!$M:$M,'ПП Август'!Y2)</f>
        <v>0</v>
      </c>
      <c r="Z60" s="74">
        <f>SUMIFS(разходи!$L:$L,разходи!$E:$E,'ПП Август'!$C$60,разходи!$M:$M,'ПП Август'!Z2)</f>
        <v>0</v>
      </c>
      <c r="AA60" s="74">
        <f>SUMIFS(разходи!$L:$L,разходи!$E:$E,'ПП Август'!$C$60,разходи!$M:$M,'ПП Август'!AA2)</f>
        <v>0</v>
      </c>
      <c r="AB60" s="76">
        <f>SUMIFS(разходи!$L:$L,разходи!$E:$E,'ПП Август'!$C$60,разходи!$M:$M,'ПП Август'!AB2)</f>
        <v>0</v>
      </c>
      <c r="AC60" s="76">
        <f>SUMIFS(разходи!$L:$L,разходи!$E:$E,'ПП Август'!$C$60,разходи!$M:$M,'ПП Август'!AC2)</f>
        <v>0</v>
      </c>
      <c r="AD60" s="74">
        <f>SUMIFS(разходи!$L:$L,разходи!$E:$E,'ПП Август'!$C$60,разходи!$M:$M,'ПП Август'!AD2)</f>
        <v>0</v>
      </c>
      <c r="AE60" s="74">
        <f>SUMIFS(разходи!$L:$L,разходи!$E:$E,'ПП Август'!$C$60,разходи!$M:$M,'ПП Август'!AE2)</f>
        <v>0</v>
      </c>
      <c r="AF60" s="74">
        <f>SUMIFS(разходи!$L:$L,разходи!$E:$E,'ПП Август'!$C$60,разходи!$M:$M,'ПП Август'!AF2)</f>
        <v>0</v>
      </c>
      <c r="AG60" s="74">
        <f>SUMIFS(разходи!$L:$L,разходи!$E:$E,'ПП Август'!$C$60,разходи!$M:$M,'ПП Август'!AG2)</f>
        <v>0</v>
      </c>
      <c r="AH60" s="74">
        <f>SUMIFS(разходи!$L:$L,разходи!$E:$E,'ПП Август'!$C$60,разходи!$M:$M,'ПП Август'!AH2)</f>
        <v>0</v>
      </c>
      <c r="AI60" s="76">
        <f>SUMIFS(разходи!$L:$L,разходи!$E:$E,'ПП Август'!$C$60,разходи!$M:$M,'ПП Август'!AI2)</f>
        <v>0</v>
      </c>
      <c r="AJ60" s="61">
        <f t="shared" si="16"/>
        <v>25.692</v>
      </c>
      <c r="AK60" s="69">
        <f t="shared" si="3"/>
        <v>-25.692</v>
      </c>
    </row>
    <row r="61" spans="1:37" s="21" customFormat="1" ht="20.100000000000001" customHeight="1" outlineLevel="2" x14ac:dyDescent="0.3">
      <c r="A61" s="27"/>
      <c r="B61" s="22"/>
      <c r="C61" s="49" t="s">
        <v>622</v>
      </c>
      <c r="D61" s="80"/>
      <c r="E61" s="74">
        <f>SUMIFS(разходи!$L:$L,разходи!$E:$E,'ПП Август'!$C$61,разходи!$M:$M,'ПП Август'!E2)</f>
        <v>0</v>
      </c>
      <c r="F61" s="74">
        <f>SUMIFS(разходи!$L:$L,разходи!$E:$E,'ПП Август'!$C$61,разходи!$M:$M,'ПП Август'!F2)</f>
        <v>0</v>
      </c>
      <c r="G61" s="76">
        <f>SUMIFS(разходи!$L:$L,разходи!$E:$E,'ПП Август'!$C$61,разходи!$M:$M,'ПП Август'!G2)</f>
        <v>0</v>
      </c>
      <c r="H61" s="76">
        <f>SUMIFS(разходи!$L:$L,разходи!$E:$E,'ПП Август'!$C$61,разходи!$M:$M,'ПП Август'!H2)</f>
        <v>0</v>
      </c>
      <c r="I61" s="74">
        <f>SUMIFS(разходи!$L:$L,разходи!$E:$E,'ПП Август'!$C$61,разходи!$M:$M,'ПП Август'!I2)</f>
        <v>0</v>
      </c>
      <c r="J61" s="74">
        <f>SUMIFS(разходи!$L:$L,разходи!$E:$E,'ПП Август'!$C$61,разходи!$M:$M,'ПП Август'!J2)</f>
        <v>0</v>
      </c>
      <c r="K61" s="74">
        <f>SUMIFS(разходи!$L:$L,разходи!$E:$E,'ПП Август'!$C$61,разходи!$M:$M,'ПП Август'!K2)</f>
        <v>0</v>
      </c>
      <c r="L61" s="74">
        <f>SUMIFS(разходи!$L:$L,разходи!$E:$E,'ПП Август'!$C$61,разходи!$M:$M,'ПП Август'!L2)</f>
        <v>0</v>
      </c>
      <c r="M61" s="74">
        <f>SUMIFS(разходи!$L:$L,разходи!$E:$E,'ПП Август'!$C$61,разходи!$M:$M,'ПП Август'!M2)</f>
        <v>0</v>
      </c>
      <c r="N61" s="76">
        <f>SUMIFS(разходи!$L:$L,разходи!$E:$E,'ПП Август'!$C$61,разходи!$M:$M,'ПП Август'!N2)</f>
        <v>0</v>
      </c>
      <c r="O61" s="76">
        <f>SUMIFS(разходи!$L:$L,разходи!$E:$E,'ПП Август'!$C$61,разходи!$M:$M,'ПП Август'!O2)</f>
        <v>0</v>
      </c>
      <c r="P61" s="74">
        <f>SUMIFS(разходи!$L:$L,разходи!$E:$E,'ПП Август'!$C$61,разходи!$M:$M,'ПП Август'!P2)</f>
        <v>0</v>
      </c>
      <c r="Q61" s="74">
        <f>SUMIFS(разходи!$L:$L,разходи!$E:$E,'ПП Август'!$C$61,разходи!$M:$M,'ПП Август'!Q2)</f>
        <v>3000.73</v>
      </c>
      <c r="R61" s="74">
        <f>SUMIFS(разходи!$L:$L,разходи!$E:$E,'ПП Август'!$C$61,разходи!$M:$M,'ПП Август'!R2)</f>
        <v>0</v>
      </c>
      <c r="S61" s="74">
        <f>SUMIFS(разходи!$L:$L,разходи!$E:$E,'ПП Август'!$C$61,разходи!$M:$M,'ПП Август'!S2)</f>
        <v>0</v>
      </c>
      <c r="T61" s="74">
        <f>SUMIFS(разходи!$L:$L,разходи!$E:$E,'ПП Август'!$C$61,разходи!$M:$M,'ПП Август'!T2)</f>
        <v>0</v>
      </c>
      <c r="U61" s="76">
        <f>SUMIFS(разходи!$L:$L,разходи!$E:$E,'ПП Август'!$C$61,разходи!$M:$M,'ПП Август'!U2)</f>
        <v>0</v>
      </c>
      <c r="V61" s="76">
        <f>SUMIFS(разходи!$L:$L,разходи!$E:$E,'ПП Август'!$C$61,разходи!$M:$M,'ПП Август'!V2)</f>
        <v>0</v>
      </c>
      <c r="W61" s="74">
        <f>SUMIFS(разходи!$L:$L,разходи!$E:$E,'ПП Август'!$C$61,разходи!$M:$M,'ПП Август'!W2)</f>
        <v>0</v>
      </c>
      <c r="X61" s="74">
        <f>SUMIFS(разходи!$L:$L,разходи!$E:$E,'ПП Август'!$C$61,разходи!$M:$M,'ПП Август'!X2)</f>
        <v>0</v>
      </c>
      <c r="Y61" s="74">
        <f>SUMIFS(разходи!$L:$L,разходи!$E:$E,'ПП Август'!$C$61,разходи!$M:$M,'ПП Август'!Y2)</f>
        <v>0</v>
      </c>
      <c r="Z61" s="74">
        <f>SUMIFS(разходи!$L:$L,разходи!$E:$E,'ПП Август'!$C$61,разходи!$M:$M,'ПП Август'!Z2)</f>
        <v>0</v>
      </c>
      <c r="AA61" s="74">
        <f>SUMIFS(разходи!$L:$L,разходи!$E:$E,'ПП Август'!$C$61,разходи!$M:$M,'ПП Август'!AA2)</f>
        <v>0</v>
      </c>
      <c r="AB61" s="76">
        <f>SUMIFS(разходи!$L:$L,разходи!$E:$E,'ПП Август'!$C$61,разходи!$M:$M,'ПП Август'!AB2)</f>
        <v>0</v>
      </c>
      <c r="AC61" s="76">
        <f>SUMIFS(разходи!$L:$L,разходи!$E:$E,'ПП Август'!$C$61,разходи!$M:$M,'ПП Август'!AC2)</f>
        <v>0</v>
      </c>
      <c r="AD61" s="74">
        <f>SUMIFS(разходи!$L:$L,разходи!$E:$E,'ПП Август'!$C$61,разходи!$M:$M,'ПП Август'!AD2)</f>
        <v>0</v>
      </c>
      <c r="AE61" s="74">
        <f>SUMIFS(разходи!$L:$L,разходи!$E:$E,'ПП Август'!$C$61,разходи!$M:$M,'ПП Август'!AE2)</f>
        <v>0</v>
      </c>
      <c r="AF61" s="74">
        <f>SUMIFS(разходи!$L:$L,разходи!$E:$E,'ПП Август'!$C$61,разходи!$M:$M,'ПП Август'!AF2)</f>
        <v>0</v>
      </c>
      <c r="AG61" s="74">
        <f>SUMIFS(разходи!$L:$L,разходи!$E:$E,'ПП Август'!$C$61,разходи!$M:$M,'ПП Август'!AG2)</f>
        <v>0</v>
      </c>
      <c r="AH61" s="74">
        <f>SUMIFS(разходи!$L:$L,разходи!$E:$E,'ПП Август'!$C$61,разходи!$M:$M,'ПП Август'!AH2)</f>
        <v>0</v>
      </c>
      <c r="AI61" s="76">
        <f>SUMIFS(разходи!$L:$L,разходи!$E:$E,'ПП Август'!$C$61,разходи!$M:$M,'ПП Август'!AI2)</f>
        <v>0</v>
      </c>
      <c r="AJ61" s="61">
        <f t="shared" si="16"/>
        <v>3000.73</v>
      </c>
      <c r="AK61" s="69">
        <f t="shared" si="3"/>
        <v>-3000.73</v>
      </c>
    </row>
    <row r="62" spans="1:37" s="21" customFormat="1" ht="20.100000000000001" customHeight="1" outlineLevel="2" x14ac:dyDescent="0.3">
      <c r="A62" s="27"/>
      <c r="B62" s="22"/>
      <c r="C62" s="49" t="s">
        <v>864</v>
      </c>
      <c r="D62" s="80"/>
      <c r="E62" s="74">
        <f>SUMIFS(разходи!$L:$L,разходи!$E:$E,'ПП Август'!$C$62,разходи!$M:$M,'ПП Август'!E2)</f>
        <v>0</v>
      </c>
      <c r="F62" s="74">
        <f>SUMIFS(разходи!$L:$L,разходи!$E:$E,'ПП Август'!$C$62,разходи!$M:$M,'ПП Август'!F2)</f>
        <v>0</v>
      </c>
      <c r="G62" s="76">
        <f>SUMIFS(разходи!$L:$L,разходи!$E:$E,'ПП Август'!$C$62,разходи!$M:$M,'ПП Август'!G2)</f>
        <v>0</v>
      </c>
      <c r="H62" s="76">
        <f>SUMIFS(разходи!$L:$L,разходи!$E:$E,'ПП Август'!$C$62,разходи!$M:$M,'ПП Август'!H2)</f>
        <v>0</v>
      </c>
      <c r="I62" s="74">
        <f>SUMIFS(разходи!$L:$L,разходи!$E:$E,'ПП Август'!$C$62,разходи!$M:$M,'ПП Август'!I2)</f>
        <v>0</v>
      </c>
      <c r="J62" s="74">
        <f>SUMIFS(разходи!$L:$L,разходи!$E:$E,'ПП Август'!$C$62,разходи!$M:$M,'ПП Август'!J2)</f>
        <v>0</v>
      </c>
      <c r="K62" s="74">
        <f>SUMIFS(разходи!$L:$L,разходи!$E:$E,'ПП Август'!$C$62,разходи!$M:$M,'ПП Август'!K2)</f>
        <v>0</v>
      </c>
      <c r="L62" s="74">
        <f>SUMIFS(разходи!$L:$L,разходи!$E:$E,'ПП Август'!$C$62,разходи!$M:$M,'ПП Август'!L2)</f>
        <v>0</v>
      </c>
      <c r="M62" s="74">
        <f>SUMIFS(разходи!$L:$L,разходи!$E:$E,'ПП Август'!$C$62,разходи!$M:$M,'ПП Август'!M2)</f>
        <v>501.61</v>
      </c>
      <c r="N62" s="76">
        <f>SUMIFS(разходи!$L:$L,разходи!$E:$E,'ПП Август'!$C$62,разходи!$M:$M,'ПП Август'!N2)</f>
        <v>0</v>
      </c>
      <c r="O62" s="76">
        <f>SUMIFS(разходи!$L:$L,разходи!$E:$E,'ПП Август'!$C$62,разходи!$M:$M,'ПП Август'!O2)</f>
        <v>0</v>
      </c>
      <c r="P62" s="74">
        <f>SUMIFS(разходи!$L:$L,разходи!$E:$E,'ПП Август'!$C$62,разходи!$M:$M,'ПП Август'!P2)</f>
        <v>0</v>
      </c>
      <c r="Q62" s="74">
        <f>SUMIFS(разходи!$L:$L,разходи!$E:$E,'ПП Август'!$C$62,разходи!$M:$M,'ПП Август'!Q2)</f>
        <v>0</v>
      </c>
      <c r="R62" s="74">
        <f>SUMIFS(разходи!$L:$L,разходи!$E:$E,'ПП Август'!$C$62,разходи!$M:$M,'ПП Август'!R2)</f>
        <v>0</v>
      </c>
      <c r="S62" s="74">
        <f>SUMIFS(разходи!$L:$L,разходи!$E:$E,'ПП Август'!$C$62,разходи!$M:$M,'ПП Август'!S2)</f>
        <v>0</v>
      </c>
      <c r="T62" s="74">
        <f>SUMIFS(разходи!$L:$L,разходи!$E:$E,'ПП Август'!$C$62,разходи!$M:$M,'ПП Август'!T2)</f>
        <v>0</v>
      </c>
      <c r="U62" s="76">
        <f>SUMIFS(разходи!$L:$L,разходи!$E:$E,'ПП Август'!$C$62,разходи!$M:$M,'ПП Август'!U2)</f>
        <v>0</v>
      </c>
      <c r="V62" s="76">
        <f>SUMIFS(разходи!$L:$L,разходи!$E:$E,'ПП Август'!$C$62,разходи!$M:$M,'ПП Август'!V2)</f>
        <v>0</v>
      </c>
      <c r="W62" s="74">
        <f>SUMIFS(разходи!$L:$L,разходи!$E:$E,'ПП Август'!$C$62,разходи!$M:$M,'ПП Август'!W2)</f>
        <v>0</v>
      </c>
      <c r="X62" s="74">
        <f>SUMIFS(разходи!$L:$L,разходи!$E:$E,'ПП Август'!$C$62,разходи!$M:$M,'ПП Август'!X2)</f>
        <v>0</v>
      </c>
      <c r="Y62" s="74">
        <f>SUMIFS(разходи!$L:$L,разходи!$E:$E,'ПП Август'!$C$62,разходи!$M:$M,'ПП Август'!Y2)</f>
        <v>0</v>
      </c>
      <c r="Z62" s="74">
        <f>SUMIFS(разходи!$L:$L,разходи!$E:$E,'ПП Август'!$C$62,разходи!$M:$M,'ПП Август'!Z2)</f>
        <v>0</v>
      </c>
      <c r="AA62" s="74">
        <f>SUMIFS(разходи!$L:$L,разходи!$E:$E,'ПП Август'!$C$62,разходи!$M:$M,'ПП Август'!AA2)</f>
        <v>0</v>
      </c>
      <c r="AB62" s="76">
        <f>SUMIFS(разходи!$L:$L,разходи!$E:$E,'ПП Август'!$C$62,разходи!$M:$M,'ПП Август'!AB2)</f>
        <v>0</v>
      </c>
      <c r="AC62" s="76">
        <f>SUMIFS(разходи!$L:$L,разходи!$E:$E,'ПП Август'!$C$62,разходи!$M:$M,'ПП Август'!AC2)</f>
        <v>0</v>
      </c>
      <c r="AD62" s="74">
        <f>SUMIFS(разходи!$L:$L,разходи!$E:$E,'ПП Август'!$C$62,разходи!$M:$M,'ПП Август'!AD2)</f>
        <v>0</v>
      </c>
      <c r="AE62" s="74">
        <f>SUMIFS(разходи!$L:$L,разходи!$E:$E,'ПП Август'!$C$62,разходи!$M:$M,'ПП Август'!AE2)</f>
        <v>0</v>
      </c>
      <c r="AF62" s="74">
        <f>SUMIFS(разходи!$L:$L,разходи!$E:$E,'ПП Август'!$C$62,разходи!$M:$M,'ПП Август'!AF2)</f>
        <v>0</v>
      </c>
      <c r="AG62" s="74">
        <f>SUMIFS(разходи!$L:$L,разходи!$E:$E,'ПП Август'!$C$62,разходи!$M:$M,'ПП Август'!AG2)</f>
        <v>0</v>
      </c>
      <c r="AH62" s="74">
        <f>SUMIFS(разходи!$L:$L,разходи!$E:$E,'ПП Август'!$C$62,разходи!$M:$M,'ПП Август'!AH2)</f>
        <v>0</v>
      </c>
      <c r="AI62" s="76">
        <f>SUMIFS(разходи!$L:$L,разходи!$E:$E,'ПП Август'!$C$62,разходи!$M:$M,'ПП Август'!AI2)</f>
        <v>0</v>
      </c>
      <c r="AJ62" s="61">
        <f t="shared" si="16"/>
        <v>501.61</v>
      </c>
      <c r="AK62" s="69">
        <f t="shared" si="3"/>
        <v>-501.61</v>
      </c>
    </row>
    <row r="63" spans="1:37" s="21" customFormat="1" ht="20.100000000000001" customHeight="1" outlineLevel="2" x14ac:dyDescent="0.3">
      <c r="A63" s="27"/>
      <c r="B63" s="22"/>
      <c r="C63" s="49" t="s">
        <v>865</v>
      </c>
      <c r="D63" s="84"/>
      <c r="E63" s="74">
        <f>SUMIFS(разходи!$L:$L,разходи!$E:$E,'ПП Август'!$C$63,разходи!$M:$M,'ПП Август'!E2)</f>
        <v>0</v>
      </c>
      <c r="F63" s="74">
        <f>SUMIFS(разходи!$L:$L,разходи!$E:$E,'ПП Август'!$C$63,разходи!$M:$M,'ПП Август'!F2)</f>
        <v>0</v>
      </c>
      <c r="G63" s="76">
        <f>SUMIFS(разходи!$L:$L,разходи!$E:$E,'ПП Август'!$C$63,разходи!$M:$M,'ПП Август'!G2)</f>
        <v>0</v>
      </c>
      <c r="H63" s="76">
        <f>SUMIFS(разходи!$L:$L,разходи!$E:$E,'ПП Август'!$C$63,разходи!$M:$M,'ПП Август'!H2)</f>
        <v>0</v>
      </c>
      <c r="I63" s="74">
        <f>SUMIFS(разходи!$L:$L,разходи!$E:$E,'ПП Август'!$C$63,разходи!$M:$M,'ПП Август'!I2)</f>
        <v>0</v>
      </c>
      <c r="J63" s="74">
        <f>SUMIFS(разходи!$L:$L,разходи!$E:$E,'ПП Август'!$C$63,разходи!$M:$M,'ПП Август'!J2)</f>
        <v>0</v>
      </c>
      <c r="K63" s="74">
        <f>SUMIFS(разходи!$L:$L,разходи!$E:$E,'ПП Август'!$C$63,разходи!$M:$M,'ПП Август'!K2)</f>
        <v>0</v>
      </c>
      <c r="L63" s="74">
        <f>SUMIFS(разходи!$L:$L,разходи!$E:$E,'ПП Август'!$C$63,разходи!$M:$M,'ПП Август'!L2)</f>
        <v>0</v>
      </c>
      <c r="M63" s="74">
        <f>SUMIFS(разходи!$L:$L,разходи!$E:$E,'ПП Август'!$C$63,разходи!$M:$M,'ПП Август'!M2)</f>
        <v>0</v>
      </c>
      <c r="N63" s="76">
        <f>SUMIFS(разходи!$L:$L,разходи!$E:$E,'ПП Август'!$C$63,разходи!$M:$M,'ПП Август'!N2)</f>
        <v>0</v>
      </c>
      <c r="O63" s="76">
        <f>SUMIFS(разходи!$L:$L,разходи!$E:$E,'ПП Август'!$C$63,разходи!$M:$M,'ПП Август'!O2)</f>
        <v>0</v>
      </c>
      <c r="P63" s="74">
        <f>SUMIFS(разходи!$L:$L,разходи!$E:$E,'ПП Август'!$C$63,разходи!$M:$M,'ПП Август'!P2)</f>
        <v>0</v>
      </c>
      <c r="Q63" s="74">
        <f>SUMIFS(разходи!$L:$L,разходи!$E:$E,'ПП Август'!$C$63,разходи!$M:$M,'ПП Август'!Q2)</f>
        <v>0</v>
      </c>
      <c r="R63" s="74">
        <f>SUMIFS(разходи!$L:$L,разходи!$E:$E,'ПП Август'!$C$63,разходи!$M:$M,'ПП Август'!R2)</f>
        <v>0</v>
      </c>
      <c r="S63" s="74">
        <f>SUMIFS(разходи!$L:$L,разходи!$E:$E,'ПП Август'!$C$63,разходи!$M:$M,'ПП Август'!S2)</f>
        <v>0</v>
      </c>
      <c r="T63" s="74">
        <f>SUMIFS(разходи!$L:$L,разходи!$E:$E,'ПП Август'!$C$63,разходи!$M:$M,'ПП Август'!T2)</f>
        <v>0</v>
      </c>
      <c r="U63" s="76">
        <f>SUMIFS(разходи!$L:$L,разходи!$E:$E,'ПП Август'!$C$63,разходи!$M:$M,'ПП Август'!U2)</f>
        <v>0</v>
      </c>
      <c r="V63" s="76">
        <f>SUMIFS(разходи!$L:$L,разходи!$E:$E,'ПП Август'!$C$63,разходи!$M:$M,'ПП Август'!V2)</f>
        <v>0</v>
      </c>
      <c r="W63" s="74">
        <f>SUMIFS(разходи!$L:$L,разходи!$E:$E,'ПП Август'!$C$63,разходи!$M:$M,'ПП Август'!W2)</f>
        <v>0</v>
      </c>
      <c r="X63" s="74">
        <f>SUMIFS(разходи!$L:$L,разходи!$E:$E,'ПП Август'!$C$63,разходи!$M:$M,'ПП Август'!X2)</f>
        <v>0</v>
      </c>
      <c r="Y63" s="74">
        <f>SUMIFS(разходи!$L:$L,разходи!$E:$E,'ПП Август'!$C$63,разходи!$M:$M,'ПП Август'!Y2)</f>
        <v>0</v>
      </c>
      <c r="Z63" s="74">
        <f>SUMIFS(разходи!$L:$L,разходи!$E:$E,'ПП Август'!$C$63,разходи!$M:$M,'ПП Август'!Z2)</f>
        <v>0</v>
      </c>
      <c r="AA63" s="74">
        <f>SUMIFS(разходи!$L:$L,разходи!$E:$E,'ПП Август'!$C$63,разходи!$M:$M,'ПП Август'!AA2)</f>
        <v>0</v>
      </c>
      <c r="AB63" s="76">
        <f>SUMIFS(разходи!$L:$L,разходи!$E:$E,'ПП Август'!$C$63,разходи!$M:$M,'ПП Август'!AB2)</f>
        <v>0</v>
      </c>
      <c r="AC63" s="76">
        <f>SUMIFS(разходи!$L:$L,разходи!$E:$E,'ПП Август'!$C$63,разходи!$M:$M,'ПП Август'!AC2)</f>
        <v>0</v>
      </c>
      <c r="AD63" s="74">
        <f>SUMIFS(разходи!$L:$L,разходи!$E:$E,'ПП Август'!$C$63,разходи!$M:$M,'ПП Август'!AD2)</f>
        <v>0</v>
      </c>
      <c r="AE63" s="74">
        <f>SUMIFS(разходи!$L:$L,разходи!$E:$E,'ПП Август'!$C$63,разходи!$M:$M,'ПП Август'!AE2)</f>
        <v>0</v>
      </c>
      <c r="AF63" s="74">
        <f>SUMIFS(разходи!$L:$L,разходи!$E:$E,'ПП Август'!$C$63,разходи!$M:$M,'ПП Август'!AF2)</f>
        <v>0</v>
      </c>
      <c r="AG63" s="74">
        <f>SUMIFS(разходи!$L:$L,разходи!$E:$E,'ПП Август'!$C$63,разходи!$M:$M,'ПП Август'!AG2)</f>
        <v>0</v>
      </c>
      <c r="AH63" s="74">
        <f>SUMIFS(разходи!$L:$L,разходи!$E:$E,'ПП Август'!$C$63,разходи!$M:$M,'ПП Август'!AH2)</f>
        <v>0</v>
      </c>
      <c r="AI63" s="76">
        <f>SUMIFS(разходи!$L:$L,разходи!$E:$E,'ПП Август'!$C$63,разходи!$M:$M,'ПП Август'!AI2)</f>
        <v>0</v>
      </c>
      <c r="AJ63" s="61">
        <f t="shared" si="16"/>
        <v>0</v>
      </c>
      <c r="AK63" s="69">
        <f t="shared" si="3"/>
        <v>0</v>
      </c>
    </row>
    <row r="64" spans="1:37" s="21" customFormat="1" ht="20.100000000000001" customHeight="1" outlineLevel="1" x14ac:dyDescent="0.3">
      <c r="A64" s="27"/>
      <c r="B64" s="22"/>
      <c r="C64" s="8" t="s">
        <v>866</v>
      </c>
      <c r="D64" s="80">
        <f>SUM(D65:D68)</f>
        <v>0</v>
      </c>
      <c r="E64" s="74">
        <f t="shared" ref="E64:AI64" si="20">SUM(E65:E68)</f>
        <v>0</v>
      </c>
      <c r="F64" s="74">
        <f t="shared" si="20"/>
        <v>0</v>
      </c>
      <c r="G64" s="76">
        <f t="shared" si="20"/>
        <v>0</v>
      </c>
      <c r="H64" s="76">
        <f t="shared" si="20"/>
        <v>0</v>
      </c>
      <c r="I64" s="74">
        <f t="shared" si="20"/>
        <v>0</v>
      </c>
      <c r="J64" s="74">
        <f t="shared" si="20"/>
        <v>0</v>
      </c>
      <c r="K64" s="74">
        <f t="shared" si="20"/>
        <v>0</v>
      </c>
      <c r="L64" s="74">
        <f t="shared" si="20"/>
        <v>298.77999999999997</v>
      </c>
      <c r="M64" s="74">
        <f t="shared" si="20"/>
        <v>12370.056</v>
      </c>
      <c r="N64" s="76">
        <f t="shared" si="20"/>
        <v>0</v>
      </c>
      <c r="O64" s="76">
        <f t="shared" si="20"/>
        <v>0</v>
      </c>
      <c r="P64" s="74">
        <f t="shared" si="20"/>
        <v>0</v>
      </c>
      <c r="Q64" s="74">
        <f t="shared" si="20"/>
        <v>0</v>
      </c>
      <c r="R64" s="74">
        <f t="shared" si="20"/>
        <v>0</v>
      </c>
      <c r="S64" s="74">
        <f t="shared" si="20"/>
        <v>0</v>
      </c>
      <c r="T64" s="74">
        <f t="shared" si="20"/>
        <v>0</v>
      </c>
      <c r="U64" s="76">
        <f t="shared" si="20"/>
        <v>0</v>
      </c>
      <c r="V64" s="76">
        <f t="shared" si="20"/>
        <v>0</v>
      </c>
      <c r="W64" s="74">
        <f t="shared" si="20"/>
        <v>0</v>
      </c>
      <c r="X64" s="74">
        <f t="shared" si="20"/>
        <v>0</v>
      </c>
      <c r="Y64" s="74">
        <f t="shared" si="20"/>
        <v>0</v>
      </c>
      <c r="Z64" s="74">
        <f t="shared" si="20"/>
        <v>0</v>
      </c>
      <c r="AA64" s="74">
        <f t="shared" si="20"/>
        <v>0</v>
      </c>
      <c r="AB64" s="76">
        <f t="shared" si="20"/>
        <v>0</v>
      </c>
      <c r="AC64" s="76">
        <f t="shared" si="20"/>
        <v>0</v>
      </c>
      <c r="AD64" s="74">
        <f t="shared" si="20"/>
        <v>0</v>
      </c>
      <c r="AE64" s="74">
        <f t="shared" si="20"/>
        <v>0</v>
      </c>
      <c r="AF64" s="74">
        <f t="shared" si="20"/>
        <v>0</v>
      </c>
      <c r="AG64" s="74">
        <f t="shared" si="20"/>
        <v>0</v>
      </c>
      <c r="AH64" s="74">
        <f t="shared" si="20"/>
        <v>0</v>
      </c>
      <c r="AI64" s="76">
        <f t="shared" si="20"/>
        <v>0</v>
      </c>
      <c r="AJ64" s="61">
        <f t="shared" si="16"/>
        <v>12668.836000000001</v>
      </c>
      <c r="AK64" s="69">
        <f t="shared" si="3"/>
        <v>-12668.836000000001</v>
      </c>
    </row>
    <row r="65" spans="1:37" s="21" customFormat="1" ht="20.100000000000001" customHeight="1" outlineLevel="2" x14ac:dyDescent="0.3">
      <c r="A65" s="27"/>
      <c r="B65" s="22"/>
      <c r="C65" s="49" t="s">
        <v>343</v>
      </c>
      <c r="D65" s="80"/>
      <c r="E65" s="74">
        <f>SUMIFS(разходи!$L:$L,разходи!$E:$E,'ПП Август'!$C$65,разходи!$M:$M,'ПП Август'!E2)</f>
        <v>0</v>
      </c>
      <c r="F65" s="74">
        <f>SUMIFS(разходи!$L:$L,разходи!$E:$E,'ПП Август'!$C$65,разходи!$M:$M,'ПП Август'!F2)</f>
        <v>0</v>
      </c>
      <c r="G65" s="76">
        <f>SUMIFS(разходи!$L:$L,разходи!$E:$E,'ПП Август'!$C$65,разходи!$M:$M,'ПП Август'!G2)</f>
        <v>0</v>
      </c>
      <c r="H65" s="76">
        <f>SUMIFS(разходи!$L:$L,разходи!$E:$E,'ПП Август'!$C$65,разходи!$M:$M,'ПП Август'!H2)</f>
        <v>0</v>
      </c>
      <c r="I65" s="74">
        <f>SUMIFS(разходи!$L:$L,разходи!$E:$E,'ПП Август'!$C$65,разходи!$M:$M,'ПП Август'!I2)</f>
        <v>0</v>
      </c>
      <c r="J65" s="74">
        <f>SUMIFS(разходи!$L:$L,разходи!$E:$E,'ПП Август'!$C$65,разходи!$M:$M,'ПП Август'!J2)</f>
        <v>0</v>
      </c>
      <c r="K65" s="74">
        <f>SUMIFS(разходи!$L:$L,разходи!$E:$E,'ПП Август'!$C$65,разходи!$M:$M,'ПП Август'!K2)</f>
        <v>0</v>
      </c>
      <c r="L65" s="74">
        <f>SUMIFS(разходи!$L:$L,разходи!$E:$E,'ПП Август'!$C$65,разходи!$M:$M,'ПП Август'!L2)</f>
        <v>0</v>
      </c>
      <c r="M65" s="74">
        <f>SUMIFS(разходи!$L:$L,разходи!$E:$E,'ПП Август'!$C$65,разходи!$M:$M,'ПП Август'!M2)</f>
        <v>12370.056</v>
      </c>
      <c r="N65" s="76">
        <f>SUMIFS(разходи!$L:$L,разходи!$E:$E,'ПП Август'!$C$65,разходи!$M:$M,'ПП Август'!N2)</f>
        <v>0</v>
      </c>
      <c r="O65" s="76">
        <f>SUMIFS(разходи!$L:$L,разходи!$E:$E,'ПП Август'!$C$65,разходи!$M:$M,'ПП Август'!O2)</f>
        <v>0</v>
      </c>
      <c r="P65" s="74">
        <f>SUMIFS(разходи!$L:$L,разходи!$E:$E,'ПП Август'!$C$65,разходи!$M:$M,'ПП Август'!P2)</f>
        <v>0</v>
      </c>
      <c r="Q65" s="74">
        <f>SUMIFS(разходи!$L:$L,разходи!$E:$E,'ПП Август'!$C$65,разходи!$M:$M,'ПП Август'!Q2)</f>
        <v>0</v>
      </c>
      <c r="R65" s="74">
        <f>SUMIFS(разходи!$L:$L,разходи!$E:$E,'ПП Август'!$C$65,разходи!$M:$M,'ПП Август'!R2)</f>
        <v>0</v>
      </c>
      <c r="S65" s="74">
        <f>SUMIFS(разходи!$L:$L,разходи!$E:$E,'ПП Август'!$C$65,разходи!$M:$M,'ПП Август'!S2)</f>
        <v>0</v>
      </c>
      <c r="T65" s="74">
        <f>SUMIFS(разходи!$L:$L,разходи!$E:$E,'ПП Август'!$C$65,разходи!$M:$M,'ПП Август'!T2)</f>
        <v>0</v>
      </c>
      <c r="U65" s="76">
        <f>SUMIFS(разходи!$L:$L,разходи!$E:$E,'ПП Август'!$C$65,разходи!$M:$M,'ПП Август'!U2)</f>
        <v>0</v>
      </c>
      <c r="V65" s="76">
        <f>SUMIFS(разходи!$L:$L,разходи!$E:$E,'ПП Август'!$C$65,разходи!$M:$M,'ПП Август'!V2)</f>
        <v>0</v>
      </c>
      <c r="W65" s="74">
        <f>SUMIFS(разходи!$L:$L,разходи!$E:$E,'ПП Август'!$C$65,разходи!$M:$M,'ПП Август'!W2)</f>
        <v>0</v>
      </c>
      <c r="X65" s="74">
        <f>SUMIFS(разходи!$L:$L,разходи!$E:$E,'ПП Август'!$C$65,разходи!$M:$M,'ПП Август'!X2)</f>
        <v>0</v>
      </c>
      <c r="Y65" s="74">
        <f>SUMIFS(разходи!$L:$L,разходи!$E:$E,'ПП Август'!$C$65,разходи!$M:$M,'ПП Август'!Y2)</f>
        <v>0</v>
      </c>
      <c r="Z65" s="74">
        <f>SUMIFS(разходи!$L:$L,разходи!$E:$E,'ПП Август'!$C$65,разходи!$M:$M,'ПП Август'!Z2)</f>
        <v>0</v>
      </c>
      <c r="AA65" s="74">
        <f>SUMIFS(разходи!$L:$L,разходи!$E:$E,'ПП Август'!$C$65,разходи!$M:$M,'ПП Август'!AA2)</f>
        <v>0</v>
      </c>
      <c r="AB65" s="76">
        <f>SUMIFS(разходи!$L:$L,разходи!$E:$E,'ПП Август'!$C$65,разходи!$M:$M,'ПП Август'!AB2)</f>
        <v>0</v>
      </c>
      <c r="AC65" s="76">
        <f>SUMIFS(разходи!$L:$L,разходи!$E:$E,'ПП Август'!$C$65,разходи!$M:$M,'ПП Август'!AC2)</f>
        <v>0</v>
      </c>
      <c r="AD65" s="74">
        <f>SUMIFS(разходи!$L:$L,разходи!$E:$E,'ПП Август'!$C$65,разходи!$M:$M,'ПП Август'!AD2)</f>
        <v>0</v>
      </c>
      <c r="AE65" s="74">
        <f>SUMIFS(разходи!$L:$L,разходи!$E:$E,'ПП Август'!$C$65,разходи!$M:$M,'ПП Август'!AE2)</f>
        <v>0</v>
      </c>
      <c r="AF65" s="74">
        <f>SUMIFS(разходи!$L:$L,разходи!$E:$E,'ПП Август'!$C$65,разходи!$M:$M,'ПП Август'!AF2)</f>
        <v>0</v>
      </c>
      <c r="AG65" s="74">
        <f>SUMIFS(разходи!$L:$L,разходи!$E:$E,'ПП Август'!$C$65,разходи!$M:$M,'ПП Август'!AG2)</f>
        <v>0</v>
      </c>
      <c r="AH65" s="74">
        <f>SUMIFS(разходи!$L:$L,разходи!$E:$E,'ПП Август'!$C$65,разходи!$M:$M,'ПП Август'!AH2)</f>
        <v>0</v>
      </c>
      <c r="AI65" s="76">
        <f>SUMIFS(разходи!$L:$L,разходи!$E:$E,'ПП Август'!$C$65,разходи!$M:$M,'ПП Август'!AI2)</f>
        <v>0</v>
      </c>
      <c r="AJ65" s="61">
        <f t="shared" si="16"/>
        <v>12370.056</v>
      </c>
      <c r="AK65" s="69">
        <f t="shared" si="3"/>
        <v>-12370.056</v>
      </c>
    </row>
    <row r="66" spans="1:37" s="21" customFormat="1" ht="20.100000000000001" customHeight="1" outlineLevel="2" x14ac:dyDescent="0.3">
      <c r="A66" s="27"/>
      <c r="B66" s="22"/>
      <c r="C66" s="49" t="s">
        <v>609</v>
      </c>
      <c r="D66" s="80"/>
      <c r="E66" s="74">
        <f>SUMIFS(разходи!$L:$L,разходи!$E:$E,'ПП Август'!$C$66,разходи!$M:$M,'ПП Август'!E2)</f>
        <v>0</v>
      </c>
      <c r="F66" s="74">
        <f>SUMIFS(разходи!$L:$L,разходи!$E:$E,'ПП Август'!$C$66,разходи!$M:$M,'ПП Август'!F2)</f>
        <v>0</v>
      </c>
      <c r="G66" s="76">
        <f>SUMIFS(разходи!$L:$L,разходи!$E:$E,'ПП Август'!$C$66,разходи!$M:$M,'ПП Август'!G2)</f>
        <v>0</v>
      </c>
      <c r="H66" s="76">
        <f>SUMIFS(разходи!$L:$L,разходи!$E:$E,'ПП Август'!$C$66,разходи!$M:$M,'ПП Август'!H2)</f>
        <v>0</v>
      </c>
      <c r="I66" s="74">
        <f>SUMIFS(разходи!$L:$L,разходи!$E:$E,'ПП Август'!$C$66,разходи!$M:$M,'ПП Август'!I2)</f>
        <v>0</v>
      </c>
      <c r="J66" s="74">
        <f>SUMIFS(разходи!$L:$L,разходи!$E:$E,'ПП Август'!$C$66,разходи!$M:$M,'ПП Август'!J2)</f>
        <v>0</v>
      </c>
      <c r="K66" s="74">
        <f>SUMIFS(разходи!$L:$L,разходи!$E:$E,'ПП Август'!$C$66,разходи!$M:$M,'ПП Август'!K2)</f>
        <v>0</v>
      </c>
      <c r="L66" s="74">
        <f>SUMIFS(разходи!$L:$L,разходи!$E:$E,'ПП Август'!$C$66,разходи!$M:$M,'ПП Август'!L2)</f>
        <v>0</v>
      </c>
      <c r="M66" s="74">
        <f>SUMIFS(разходи!$L:$L,разходи!$E:$E,'ПП Август'!$C$66,разходи!$M:$M,'ПП Август'!M2)</f>
        <v>0</v>
      </c>
      <c r="N66" s="76">
        <f>SUMIFS(разходи!$L:$L,разходи!$E:$E,'ПП Август'!$C$66,разходи!$M:$M,'ПП Август'!N2)</f>
        <v>0</v>
      </c>
      <c r="O66" s="76">
        <f>SUMIFS(разходи!$L:$L,разходи!$E:$E,'ПП Август'!$C$66,разходи!$M:$M,'ПП Август'!O2)</f>
        <v>0</v>
      </c>
      <c r="P66" s="74">
        <f>SUMIFS(разходи!$L:$L,разходи!$E:$E,'ПП Август'!$C$66,разходи!$M:$M,'ПП Август'!P2)</f>
        <v>0</v>
      </c>
      <c r="Q66" s="74">
        <f>SUMIFS(разходи!$L:$L,разходи!$E:$E,'ПП Август'!$C$66,разходи!$M:$M,'ПП Август'!Q2)</f>
        <v>0</v>
      </c>
      <c r="R66" s="74">
        <f>SUMIFS(разходи!$L:$L,разходи!$E:$E,'ПП Август'!$C$66,разходи!$M:$M,'ПП Август'!R2)</f>
        <v>0</v>
      </c>
      <c r="S66" s="74">
        <f>SUMIFS(разходи!$L:$L,разходи!$E:$E,'ПП Август'!$C$66,разходи!$M:$M,'ПП Август'!S2)</f>
        <v>0</v>
      </c>
      <c r="T66" s="74">
        <f>SUMIFS(разходи!$L:$L,разходи!$E:$E,'ПП Август'!$C$66,разходи!$M:$M,'ПП Август'!T2)</f>
        <v>0</v>
      </c>
      <c r="U66" s="76">
        <f>SUMIFS(разходи!$L:$L,разходи!$E:$E,'ПП Август'!$C$66,разходи!$M:$M,'ПП Август'!U2)</f>
        <v>0</v>
      </c>
      <c r="V66" s="76">
        <f>SUMIFS(разходи!$L:$L,разходи!$E:$E,'ПП Август'!$C$66,разходи!$M:$M,'ПП Август'!V2)</f>
        <v>0</v>
      </c>
      <c r="W66" s="74">
        <f>SUMIFS(разходи!$L:$L,разходи!$E:$E,'ПП Август'!$C$66,разходи!$M:$M,'ПП Август'!W2)</f>
        <v>0</v>
      </c>
      <c r="X66" s="74">
        <f>SUMIFS(разходи!$L:$L,разходи!$E:$E,'ПП Август'!$C$66,разходи!$M:$M,'ПП Август'!X2)</f>
        <v>0</v>
      </c>
      <c r="Y66" s="74">
        <f>SUMIFS(разходи!$L:$L,разходи!$E:$E,'ПП Август'!$C$66,разходи!$M:$M,'ПП Август'!Y2)</f>
        <v>0</v>
      </c>
      <c r="Z66" s="74">
        <f>SUMIFS(разходи!$L:$L,разходи!$E:$E,'ПП Август'!$C$66,разходи!$M:$M,'ПП Август'!Z2)</f>
        <v>0</v>
      </c>
      <c r="AA66" s="74">
        <f>SUMIFS(разходи!$L:$L,разходи!$E:$E,'ПП Август'!$C$66,разходи!$M:$M,'ПП Август'!AA2)</f>
        <v>0</v>
      </c>
      <c r="AB66" s="76">
        <f>SUMIFS(разходи!$L:$L,разходи!$E:$E,'ПП Август'!$C$66,разходи!$M:$M,'ПП Август'!AB2)</f>
        <v>0</v>
      </c>
      <c r="AC66" s="76">
        <f>SUMIFS(разходи!$L:$L,разходи!$E:$E,'ПП Август'!$C$66,разходи!$M:$M,'ПП Август'!AC2)</f>
        <v>0</v>
      </c>
      <c r="AD66" s="74">
        <f>SUMIFS(разходи!$L:$L,разходи!$E:$E,'ПП Август'!$C$66,разходи!$M:$M,'ПП Август'!AD2)</f>
        <v>0</v>
      </c>
      <c r="AE66" s="74">
        <f>SUMIFS(разходи!$L:$L,разходи!$E:$E,'ПП Август'!$C$66,разходи!$M:$M,'ПП Август'!AE2)</f>
        <v>0</v>
      </c>
      <c r="AF66" s="74">
        <f>SUMIFS(разходи!$L:$L,разходи!$E:$E,'ПП Август'!$C$66,разходи!$M:$M,'ПП Август'!AF2)</f>
        <v>0</v>
      </c>
      <c r="AG66" s="74">
        <f>SUMIFS(разходи!$L:$L,разходи!$E:$E,'ПП Август'!$C$66,разходи!$M:$M,'ПП Август'!AG2)</f>
        <v>0</v>
      </c>
      <c r="AH66" s="74">
        <f>SUMIFS(разходи!$L:$L,разходи!$E:$E,'ПП Август'!$C$66,разходи!$M:$M,'ПП Август'!AH2)</f>
        <v>0</v>
      </c>
      <c r="AI66" s="76">
        <f>SUMIFS(разходи!$L:$L,разходи!$E:$E,'ПП Август'!$C$66,разходи!$M:$M,'ПП Август'!AI2)</f>
        <v>0</v>
      </c>
      <c r="AJ66" s="61">
        <f t="shared" si="16"/>
        <v>0</v>
      </c>
      <c r="AK66" s="69">
        <f t="shared" si="3"/>
        <v>0</v>
      </c>
    </row>
    <row r="67" spans="1:37" s="21" customFormat="1" ht="20.100000000000001" customHeight="1" outlineLevel="2" x14ac:dyDescent="0.3">
      <c r="A67" s="27"/>
      <c r="B67" s="22"/>
      <c r="C67" s="49" t="s">
        <v>450</v>
      </c>
      <c r="D67" s="80"/>
      <c r="E67" s="74">
        <f>SUMIFS(разходи!$L:$L,разходи!$E:$E,'ПП Август'!$C$67,разходи!$M:$M,'ПП Август'!E2)</f>
        <v>0</v>
      </c>
      <c r="F67" s="74">
        <f>SUMIFS(разходи!$L:$L,разходи!$E:$E,'ПП Август'!$C$67,разходи!$M:$M,'ПП Август'!F2)</f>
        <v>0</v>
      </c>
      <c r="G67" s="76">
        <f>SUMIFS(разходи!$L:$L,разходи!$E:$E,'ПП Август'!$C$67,разходи!$M:$M,'ПП Август'!G2)</f>
        <v>0</v>
      </c>
      <c r="H67" s="76">
        <f>SUMIFS(разходи!$L:$L,разходи!$E:$E,'ПП Август'!$C$67,разходи!$M:$M,'ПП Август'!H2)</f>
        <v>0</v>
      </c>
      <c r="I67" s="74">
        <f>SUMIFS(разходи!$L:$L,разходи!$E:$E,'ПП Август'!$C$67,разходи!$M:$M,'ПП Август'!I2)</f>
        <v>0</v>
      </c>
      <c r="J67" s="74">
        <f>SUMIFS(разходи!$L:$L,разходи!$E:$E,'ПП Август'!$C$67,разходи!$M:$M,'ПП Август'!J2)</f>
        <v>0</v>
      </c>
      <c r="K67" s="74">
        <f>SUMIFS(разходи!$L:$L,разходи!$E:$E,'ПП Август'!$C$67,разходи!$M:$M,'ПП Август'!K2)</f>
        <v>0</v>
      </c>
      <c r="L67" s="74">
        <f>SUMIFS(разходи!$L:$L,разходи!$E:$E,'ПП Август'!$C$67,разходи!$M:$M,'ПП Август'!L2)</f>
        <v>298.77999999999997</v>
      </c>
      <c r="M67" s="74">
        <f>SUMIFS(разходи!$L:$L,разходи!$E:$E,'ПП Август'!$C$67,разходи!$M:$M,'ПП Август'!M2)</f>
        <v>0</v>
      </c>
      <c r="N67" s="76">
        <f>SUMIFS(разходи!$L:$L,разходи!$E:$E,'ПП Август'!$C$67,разходи!$M:$M,'ПП Август'!N2)</f>
        <v>0</v>
      </c>
      <c r="O67" s="76">
        <f>SUMIFS(разходи!$L:$L,разходи!$E:$E,'ПП Август'!$C$67,разходи!$M:$M,'ПП Август'!O2)</f>
        <v>0</v>
      </c>
      <c r="P67" s="74">
        <f>SUMIFS(разходи!$L:$L,разходи!$E:$E,'ПП Август'!$C$67,разходи!$M:$M,'ПП Август'!P2)</f>
        <v>0</v>
      </c>
      <c r="Q67" s="74">
        <f>SUMIFS(разходи!$L:$L,разходи!$E:$E,'ПП Август'!$C$67,разходи!$M:$M,'ПП Август'!Q2)</f>
        <v>0</v>
      </c>
      <c r="R67" s="74">
        <f>SUMIFS(разходи!$L:$L,разходи!$E:$E,'ПП Август'!$C$67,разходи!$M:$M,'ПП Август'!R2)</f>
        <v>0</v>
      </c>
      <c r="S67" s="74">
        <f>SUMIFS(разходи!$L:$L,разходи!$E:$E,'ПП Август'!$C$67,разходи!$M:$M,'ПП Август'!S2)</f>
        <v>0</v>
      </c>
      <c r="T67" s="74">
        <f>SUMIFS(разходи!$L:$L,разходи!$E:$E,'ПП Август'!$C$67,разходи!$M:$M,'ПП Август'!T2)</f>
        <v>0</v>
      </c>
      <c r="U67" s="76">
        <f>SUMIFS(разходи!$L:$L,разходи!$E:$E,'ПП Август'!$C$67,разходи!$M:$M,'ПП Август'!U2)</f>
        <v>0</v>
      </c>
      <c r="V67" s="76">
        <f>SUMIFS(разходи!$L:$L,разходи!$E:$E,'ПП Август'!$C$67,разходи!$M:$M,'ПП Август'!V2)</f>
        <v>0</v>
      </c>
      <c r="W67" s="74">
        <f>SUMIFS(разходи!$L:$L,разходи!$E:$E,'ПП Август'!$C$67,разходи!$M:$M,'ПП Август'!W2)</f>
        <v>0</v>
      </c>
      <c r="X67" s="74">
        <f>SUMIFS(разходи!$L:$L,разходи!$E:$E,'ПП Август'!$C$67,разходи!$M:$M,'ПП Август'!X2)</f>
        <v>0</v>
      </c>
      <c r="Y67" s="74">
        <f>SUMIFS(разходи!$L:$L,разходи!$E:$E,'ПП Август'!$C$67,разходи!$M:$M,'ПП Август'!Y2)</f>
        <v>0</v>
      </c>
      <c r="Z67" s="74">
        <f>SUMIFS(разходи!$L:$L,разходи!$E:$E,'ПП Август'!$C$67,разходи!$M:$M,'ПП Август'!Z2)</f>
        <v>0</v>
      </c>
      <c r="AA67" s="74">
        <f>SUMIFS(разходи!$L:$L,разходи!$E:$E,'ПП Август'!$C$67,разходи!$M:$M,'ПП Август'!AA2)</f>
        <v>0</v>
      </c>
      <c r="AB67" s="76">
        <f>SUMIFS(разходи!$L:$L,разходи!$E:$E,'ПП Август'!$C$67,разходи!$M:$M,'ПП Август'!AB2)</f>
        <v>0</v>
      </c>
      <c r="AC67" s="76">
        <f>SUMIFS(разходи!$L:$L,разходи!$E:$E,'ПП Август'!$C$67,разходи!$M:$M,'ПП Август'!AC2)</f>
        <v>0</v>
      </c>
      <c r="AD67" s="74">
        <f>SUMIFS(разходи!$L:$L,разходи!$E:$E,'ПП Август'!$C$67,разходи!$M:$M,'ПП Август'!AD2)</f>
        <v>0</v>
      </c>
      <c r="AE67" s="74">
        <f>SUMIFS(разходи!$L:$L,разходи!$E:$E,'ПП Август'!$C$67,разходи!$M:$M,'ПП Август'!AE2)</f>
        <v>0</v>
      </c>
      <c r="AF67" s="74">
        <f>SUMIFS(разходи!$L:$L,разходи!$E:$E,'ПП Август'!$C$67,разходи!$M:$M,'ПП Август'!AF2)</f>
        <v>0</v>
      </c>
      <c r="AG67" s="74">
        <f>SUMIFS(разходи!$L:$L,разходи!$E:$E,'ПП Август'!$C$67,разходи!$M:$M,'ПП Август'!AG2)</f>
        <v>0</v>
      </c>
      <c r="AH67" s="74">
        <f>SUMIFS(разходи!$L:$L,разходи!$E:$E,'ПП Август'!$C$67,разходи!$M:$M,'ПП Август'!AH2)</f>
        <v>0</v>
      </c>
      <c r="AI67" s="76">
        <f>SUMIFS(разходи!$L:$L,разходи!$E:$E,'ПП Август'!$C$67,разходи!$M:$M,'ПП Август'!AI2)</f>
        <v>0</v>
      </c>
      <c r="AJ67" s="61">
        <f t="shared" si="16"/>
        <v>298.77999999999997</v>
      </c>
      <c r="AK67" s="69">
        <f t="shared" si="3"/>
        <v>-298.77999999999997</v>
      </c>
    </row>
    <row r="68" spans="1:37" s="21" customFormat="1" ht="20.100000000000001" customHeight="1" outlineLevel="2" x14ac:dyDescent="0.3">
      <c r="A68" s="27"/>
      <c r="B68" s="22"/>
      <c r="C68" s="49" t="s">
        <v>867</v>
      </c>
      <c r="D68" s="80"/>
      <c r="E68" s="74">
        <f>SUMIFS(разходи!$L:$L,разходи!$E:$E,'ПП Август'!$C$68,разходи!$M:$M,'ПП Август'!E2)</f>
        <v>0</v>
      </c>
      <c r="F68" s="74">
        <f>SUMIFS(разходи!$L:$L,разходи!$E:$E,'ПП Август'!$C$68,разходи!$M:$M,'ПП Август'!F2)</f>
        <v>0</v>
      </c>
      <c r="G68" s="76">
        <f>SUMIFS(разходи!$L:$L,разходи!$E:$E,'ПП Август'!$C$68,разходи!$M:$M,'ПП Август'!G2)</f>
        <v>0</v>
      </c>
      <c r="H68" s="76">
        <f>SUMIFS(разходи!$L:$L,разходи!$E:$E,'ПП Август'!$C$68,разходи!$M:$M,'ПП Август'!H2)</f>
        <v>0</v>
      </c>
      <c r="I68" s="74">
        <f>SUMIFS(разходи!$L:$L,разходи!$E:$E,'ПП Август'!$C$68,разходи!$M:$M,'ПП Август'!I2)</f>
        <v>0</v>
      </c>
      <c r="J68" s="74">
        <f>SUMIFS(разходи!$L:$L,разходи!$E:$E,'ПП Август'!$C$68,разходи!$M:$M,'ПП Август'!J2)</f>
        <v>0</v>
      </c>
      <c r="K68" s="74">
        <f>SUMIFS(разходи!$L:$L,разходи!$E:$E,'ПП Август'!$C$68,разходи!$M:$M,'ПП Август'!K2)</f>
        <v>0</v>
      </c>
      <c r="L68" s="74">
        <f>SUMIFS(разходи!$L:$L,разходи!$E:$E,'ПП Август'!$C$68,разходи!$M:$M,'ПП Август'!L2)</f>
        <v>0</v>
      </c>
      <c r="M68" s="74">
        <f>SUMIFS(разходи!$L:$L,разходи!$E:$E,'ПП Август'!$C$68,разходи!$M:$M,'ПП Август'!M2)</f>
        <v>0</v>
      </c>
      <c r="N68" s="76">
        <f>SUMIFS(разходи!$L:$L,разходи!$E:$E,'ПП Август'!$C$68,разходи!$M:$M,'ПП Август'!N2)</f>
        <v>0</v>
      </c>
      <c r="O68" s="76">
        <f>SUMIFS(разходи!$L:$L,разходи!$E:$E,'ПП Август'!$C$68,разходи!$M:$M,'ПП Август'!O2)</f>
        <v>0</v>
      </c>
      <c r="P68" s="74">
        <f>SUMIFS(разходи!$L:$L,разходи!$E:$E,'ПП Август'!$C$68,разходи!$M:$M,'ПП Август'!P2)</f>
        <v>0</v>
      </c>
      <c r="Q68" s="74">
        <f>SUMIFS(разходи!$L:$L,разходи!$E:$E,'ПП Август'!$C$68,разходи!$M:$M,'ПП Август'!Q2)</f>
        <v>0</v>
      </c>
      <c r="R68" s="74">
        <f>SUMIFS(разходи!$L:$L,разходи!$E:$E,'ПП Август'!$C$68,разходи!$M:$M,'ПП Август'!R2)</f>
        <v>0</v>
      </c>
      <c r="S68" s="74">
        <f>SUMIFS(разходи!$L:$L,разходи!$E:$E,'ПП Август'!$C$68,разходи!$M:$M,'ПП Август'!S2)</f>
        <v>0</v>
      </c>
      <c r="T68" s="74">
        <f>SUMIFS(разходи!$L:$L,разходи!$E:$E,'ПП Август'!$C$68,разходи!$M:$M,'ПП Август'!T2)</f>
        <v>0</v>
      </c>
      <c r="U68" s="76">
        <f>SUMIFS(разходи!$L:$L,разходи!$E:$E,'ПП Август'!$C$68,разходи!$M:$M,'ПП Август'!U2)</f>
        <v>0</v>
      </c>
      <c r="V68" s="76">
        <f>SUMIFS(разходи!$L:$L,разходи!$E:$E,'ПП Август'!$C$68,разходи!$M:$M,'ПП Август'!V2)</f>
        <v>0</v>
      </c>
      <c r="W68" s="74">
        <f>SUMIFS(разходи!$L:$L,разходи!$E:$E,'ПП Август'!$C$68,разходи!$M:$M,'ПП Август'!W2)</f>
        <v>0</v>
      </c>
      <c r="X68" s="74">
        <f>SUMIFS(разходи!$L:$L,разходи!$E:$E,'ПП Август'!$C$68,разходи!$M:$M,'ПП Август'!X2)</f>
        <v>0</v>
      </c>
      <c r="Y68" s="74">
        <f>SUMIFS(разходи!$L:$L,разходи!$E:$E,'ПП Август'!$C$68,разходи!$M:$M,'ПП Август'!Y2)</f>
        <v>0</v>
      </c>
      <c r="Z68" s="74">
        <f>SUMIFS(разходи!$L:$L,разходи!$E:$E,'ПП Август'!$C$68,разходи!$M:$M,'ПП Август'!Z2)</f>
        <v>0</v>
      </c>
      <c r="AA68" s="74">
        <f>SUMIFS(разходи!$L:$L,разходи!$E:$E,'ПП Август'!$C$68,разходи!$M:$M,'ПП Август'!AA2)</f>
        <v>0</v>
      </c>
      <c r="AB68" s="76">
        <f>SUMIFS(разходи!$L:$L,разходи!$E:$E,'ПП Август'!$C$68,разходи!$M:$M,'ПП Август'!AB2)</f>
        <v>0</v>
      </c>
      <c r="AC68" s="76">
        <f>SUMIFS(разходи!$L:$L,разходи!$E:$E,'ПП Август'!$C$68,разходи!$M:$M,'ПП Август'!AC2)</f>
        <v>0</v>
      </c>
      <c r="AD68" s="74">
        <f>SUMIFS(разходи!$L:$L,разходи!$E:$E,'ПП Август'!$C$68,разходи!$M:$M,'ПП Август'!AD2)</f>
        <v>0</v>
      </c>
      <c r="AE68" s="74">
        <f>SUMIFS(разходи!$L:$L,разходи!$E:$E,'ПП Август'!$C$68,разходи!$M:$M,'ПП Август'!AE2)</f>
        <v>0</v>
      </c>
      <c r="AF68" s="74">
        <f>SUMIFS(разходи!$L:$L,разходи!$E:$E,'ПП Август'!$C$68,разходи!$M:$M,'ПП Август'!AF2)</f>
        <v>0</v>
      </c>
      <c r="AG68" s="74">
        <f>SUMIFS(разходи!$L:$L,разходи!$E:$E,'ПП Август'!$C$68,разходи!$M:$M,'ПП Август'!AG2)</f>
        <v>0</v>
      </c>
      <c r="AH68" s="74">
        <f>SUMIFS(разходи!$L:$L,разходи!$E:$E,'ПП Август'!$C$68,разходи!$M:$M,'ПП Август'!AH2)</f>
        <v>0</v>
      </c>
      <c r="AI68" s="76">
        <f>SUMIFS(разходи!$L:$L,разходи!$E:$E,'ПП Август'!$C$68,разходи!$M:$M,'ПП Август'!AI2)</f>
        <v>0</v>
      </c>
      <c r="AJ68" s="61">
        <f t="shared" si="16"/>
        <v>0</v>
      </c>
      <c r="AK68" s="69">
        <f t="shared" si="3"/>
        <v>0</v>
      </c>
    </row>
    <row r="69" spans="1:37" s="21" customFormat="1" ht="20.100000000000001" customHeight="1" outlineLevel="1" x14ac:dyDescent="0.3">
      <c r="A69" s="27"/>
      <c r="B69" s="22"/>
      <c r="C69" s="8" t="s">
        <v>868</v>
      </c>
      <c r="D69" s="80">
        <f>SUM(D70:D71)</f>
        <v>3000</v>
      </c>
      <c r="E69" s="74">
        <f>SUMIFS(разходи!$L:$L,разходи!$E:$E,'ПП Август'!$C$73,разходи!$M:$M,'ПП Август'!E2)</f>
        <v>0</v>
      </c>
      <c r="F69" s="74">
        <f>SUMIFS(разходи!$L:$L,разходи!$E:$E,'ПП Август'!$C$73,разходи!$M:$M,'ПП Август'!F2)</f>
        <v>0</v>
      </c>
      <c r="G69" s="76">
        <f>SUMIFS(разходи!$L:$L,разходи!$E:$E,'ПП Август'!$C$73,разходи!$M:$M,'ПП Август'!G2)</f>
        <v>0</v>
      </c>
      <c r="H69" s="76">
        <f>SUMIFS(разходи!$L:$L,разходи!$E:$E,'ПП Август'!$C$73,разходи!$M:$M,'ПП Август'!H2)</f>
        <v>0</v>
      </c>
      <c r="I69" s="74">
        <f>SUMIFS(разходи!$L:$L,разходи!$E:$E,'ПП Август'!$C$73,разходи!$M:$M,'ПП Август'!I2)</f>
        <v>0</v>
      </c>
      <c r="J69" s="74">
        <f>SUMIFS(разходи!$L:$L,разходи!$E:$E,'ПП Август'!$C$73,разходи!$M:$M,'ПП Август'!J2)</f>
        <v>0</v>
      </c>
      <c r="K69" s="74">
        <f>SUMIFS(разходи!$L:$L,разходи!$E:$E,'ПП Август'!$C$73,разходи!$M:$M,'ПП Август'!K2)</f>
        <v>0</v>
      </c>
      <c r="L69" s="74">
        <f>SUMIFS(разходи!$L:$L,разходи!$E:$E,'ПП Август'!$C$73,разходи!$M:$M,'ПП Август'!L2)</f>
        <v>0</v>
      </c>
      <c r="M69" s="74">
        <f>SUMIFS(разходи!$L:$L,разходи!$E:$E,'ПП Август'!$C$73,разходи!$M:$M,'ПП Август'!M2)</f>
        <v>0</v>
      </c>
      <c r="N69" s="76">
        <f>SUMIFS(разходи!$L:$L,разходи!$E:$E,'ПП Август'!$C$73,разходи!$M:$M,'ПП Август'!N2)</f>
        <v>0</v>
      </c>
      <c r="O69" s="76">
        <f>SUMIFS(разходи!$L:$L,разходи!$E:$E,'ПП Август'!$C$73,разходи!$M:$M,'ПП Август'!O2)</f>
        <v>0</v>
      </c>
      <c r="P69" s="74">
        <f>SUMIFS(разходи!$L:$L,разходи!$E:$E,'ПП Август'!$C$73,разходи!$M:$M,'ПП Август'!P2)</f>
        <v>0</v>
      </c>
      <c r="Q69" s="74">
        <f>SUMIFS(разходи!$L:$L,разходи!$E:$E,'ПП Август'!$C$73,разходи!$M:$M,'ПП Август'!Q2)</f>
        <v>0</v>
      </c>
      <c r="R69" s="74">
        <f>SUMIFS(разходи!$L:$L,разходи!$E:$E,'ПП Август'!$C$73,разходи!$M:$M,'ПП Август'!R2)</f>
        <v>0</v>
      </c>
      <c r="S69" s="74">
        <f>SUMIFS(разходи!$L:$L,разходи!$E:$E,'ПП Август'!$C$73,разходи!$M:$M,'ПП Август'!S2)</f>
        <v>0</v>
      </c>
      <c r="T69" s="74">
        <f>SUMIFS(разходи!$L:$L,разходи!$E:$E,'ПП Август'!$C$73,разходи!$M:$M,'ПП Август'!T2)</f>
        <v>0</v>
      </c>
      <c r="U69" s="76">
        <f>SUMIFS(разходи!$L:$L,разходи!$E:$E,'ПП Август'!$C$73,разходи!$M:$M,'ПП Август'!U2)</f>
        <v>0</v>
      </c>
      <c r="V69" s="76">
        <f>SUMIFS(разходи!$L:$L,разходи!$E:$E,'ПП Август'!$C$73,разходи!$M:$M,'ПП Август'!V2)</f>
        <v>0</v>
      </c>
      <c r="W69" s="74">
        <f>SUMIFS(разходи!$L:$L,разходи!$E:$E,'ПП Август'!$C$73,разходи!$M:$M,'ПП Август'!W2)</f>
        <v>0</v>
      </c>
      <c r="X69" s="74">
        <f>SUMIFS(разходи!$L:$L,разходи!$E:$E,'ПП Август'!$C$73,разходи!$M:$M,'ПП Август'!X2)</f>
        <v>0</v>
      </c>
      <c r="Y69" s="74">
        <f>SUMIFS(разходи!$L:$L,разходи!$E:$E,'ПП Август'!$C$73,разходи!$M:$M,'ПП Август'!Y2)</f>
        <v>0</v>
      </c>
      <c r="Z69" s="74">
        <f>SUMIFS(разходи!$L:$L,разходи!$E:$E,'ПП Август'!$C$73,разходи!$M:$M,'ПП Август'!Z2)</f>
        <v>0</v>
      </c>
      <c r="AA69" s="74">
        <f>SUMIFS(разходи!$L:$L,разходи!$E:$E,'ПП Август'!$C$73,разходи!$M:$M,'ПП Август'!AA2)</f>
        <v>0</v>
      </c>
      <c r="AB69" s="76">
        <f>SUMIFS(разходи!$L:$L,разходи!$E:$E,'ПП Август'!$C$73,разходи!$M:$M,'ПП Август'!AB2)</f>
        <v>0</v>
      </c>
      <c r="AC69" s="76">
        <f>SUMIFS(разходи!$L:$L,разходи!$E:$E,'ПП Август'!$C$73,разходи!$M:$M,'ПП Август'!AC2)</f>
        <v>0</v>
      </c>
      <c r="AD69" s="74">
        <f>SUMIFS(разходи!$L:$L,разходи!$E:$E,'ПП Август'!$C$73,разходи!$M:$M,'ПП Август'!AD2)</f>
        <v>0</v>
      </c>
      <c r="AE69" s="74">
        <f>SUMIFS(разходи!$L:$L,разходи!$E:$E,'ПП Август'!$C$73,разходи!$M:$M,'ПП Август'!AE2)</f>
        <v>0</v>
      </c>
      <c r="AF69" s="74">
        <f>SUMIFS(разходи!$L:$L,разходи!$E:$E,'ПП Август'!$C$73,разходи!$M:$M,'ПП Август'!AF2)</f>
        <v>0</v>
      </c>
      <c r="AG69" s="74">
        <f>SUMIFS(разходи!$L:$L,разходи!$E:$E,'ПП Август'!$C$73,разходи!$M:$M,'ПП Август'!AG2)</f>
        <v>0</v>
      </c>
      <c r="AH69" s="74">
        <f>SUMIFS(разходи!$L:$L,разходи!$E:$E,'ПП Август'!$C$73,разходи!$M:$M,'ПП Август'!AH2)</f>
        <v>0</v>
      </c>
      <c r="AI69" s="76">
        <f>SUMIFS(разходи!$L:$L,разходи!$E:$E,'ПП Август'!$C$73,разходи!$M:$M,'ПП Август'!AI2)</f>
        <v>0</v>
      </c>
      <c r="AJ69" s="61">
        <f t="shared" si="16"/>
        <v>0</v>
      </c>
      <c r="AK69" s="69">
        <f t="shared" si="3"/>
        <v>3000</v>
      </c>
    </row>
    <row r="70" spans="1:37" s="53" customFormat="1" ht="20.100000000000001" customHeight="1" outlineLevel="2" x14ac:dyDescent="0.3">
      <c r="A70" s="51"/>
      <c r="B70" s="52"/>
      <c r="C70" s="49" t="s">
        <v>869</v>
      </c>
      <c r="D70" s="80"/>
      <c r="E70" s="74">
        <f>SUMIFS(разходи!$L:$L,разходи!$E:$E,'ПП Август'!$C$70,разходи!$M:$M,'ПП Август'!E2)</f>
        <v>0</v>
      </c>
      <c r="F70" s="74">
        <f>SUMIFS(разходи!$L:$L,разходи!$E:$E,'ПП Август'!$C$70,разходи!$M:$M,'ПП Август'!F2)</f>
        <v>0</v>
      </c>
      <c r="G70" s="76">
        <f>SUMIFS(разходи!$L:$L,разходи!$E:$E,'ПП Август'!$C$70,разходи!$M:$M,'ПП Август'!G2)</f>
        <v>0</v>
      </c>
      <c r="H70" s="76">
        <f>SUMIFS(разходи!$L:$L,разходи!$E:$E,'ПП Август'!$C$70,разходи!$M:$M,'ПП Август'!H2)</f>
        <v>0</v>
      </c>
      <c r="I70" s="74">
        <f>SUMIFS(разходи!$L:$L,разходи!$E:$E,'ПП Август'!$C$70,разходи!$M:$M,'ПП Август'!I2)</f>
        <v>0</v>
      </c>
      <c r="J70" s="74">
        <f>SUMIFS(разходи!$L:$L,разходи!$E:$E,'ПП Август'!$C$70,разходи!$M:$M,'ПП Август'!J2)</f>
        <v>0</v>
      </c>
      <c r="K70" s="74">
        <f>SUMIFS(разходи!$L:$L,разходи!$E:$E,'ПП Август'!$C$70,разходи!$M:$M,'ПП Август'!K2)</f>
        <v>0</v>
      </c>
      <c r="L70" s="74">
        <f>SUMIFS(разходи!$L:$L,разходи!$E:$E,'ПП Август'!$C$70,разходи!$M:$M,'ПП Август'!L2)</f>
        <v>0</v>
      </c>
      <c r="M70" s="74">
        <f>SUMIFS(разходи!$L:$L,разходи!$E:$E,'ПП Август'!$C$70,разходи!$M:$M,'ПП Август'!M2)</f>
        <v>0</v>
      </c>
      <c r="N70" s="76">
        <f>SUMIFS(разходи!$L:$L,разходи!$E:$E,'ПП Август'!$C$70,разходи!$M:$M,'ПП Август'!N2)</f>
        <v>0</v>
      </c>
      <c r="O70" s="76">
        <f>SUMIFS(разходи!$L:$L,разходи!$E:$E,'ПП Август'!$C$70,разходи!$M:$M,'ПП Август'!O2)</f>
        <v>0</v>
      </c>
      <c r="P70" s="74">
        <f>SUMIFS(разходи!$L:$L,разходи!$E:$E,'ПП Август'!$C$70,разходи!$M:$M,'ПП Август'!P2)</f>
        <v>0</v>
      </c>
      <c r="Q70" s="74">
        <f>SUMIFS(разходи!$L:$L,разходи!$E:$E,'ПП Август'!$C$70,разходи!$M:$M,'ПП Август'!Q2)</f>
        <v>0</v>
      </c>
      <c r="R70" s="74">
        <f>SUMIFS(разходи!$L:$L,разходи!$E:$E,'ПП Август'!$C$70,разходи!$M:$M,'ПП Август'!R2)</f>
        <v>0</v>
      </c>
      <c r="S70" s="74">
        <f>SUMIFS(разходи!$L:$L,разходи!$E:$E,'ПП Август'!$C$70,разходи!$M:$M,'ПП Август'!S2)</f>
        <v>0</v>
      </c>
      <c r="T70" s="74">
        <f>SUMIFS(разходи!$L:$L,разходи!$E:$E,'ПП Август'!$C$70,разходи!$M:$M,'ПП Август'!T2)</f>
        <v>0</v>
      </c>
      <c r="U70" s="76">
        <f>SUMIFS(разходи!$L:$L,разходи!$E:$E,'ПП Август'!$C$70,разходи!$M:$M,'ПП Август'!U2)</f>
        <v>0</v>
      </c>
      <c r="V70" s="76">
        <f>SUMIFS(разходи!$L:$L,разходи!$E:$E,'ПП Август'!$C$70,разходи!$M:$M,'ПП Август'!V2)</f>
        <v>0</v>
      </c>
      <c r="W70" s="74">
        <f>SUMIFS(разходи!$L:$L,разходи!$E:$E,'ПП Август'!$C$70,разходи!$M:$M,'ПП Август'!W2)</f>
        <v>0</v>
      </c>
      <c r="X70" s="74">
        <f>SUMIFS(разходи!$L:$L,разходи!$E:$E,'ПП Август'!$C$70,разходи!$M:$M,'ПП Август'!X2)</f>
        <v>0</v>
      </c>
      <c r="Y70" s="74">
        <f>SUMIFS(разходи!$L:$L,разходи!$E:$E,'ПП Август'!$C$70,разходи!$M:$M,'ПП Август'!Y2)</f>
        <v>0</v>
      </c>
      <c r="Z70" s="74">
        <f>SUMIFS(разходи!$L:$L,разходи!$E:$E,'ПП Август'!$C$70,разходи!$M:$M,'ПП Август'!Z2)</f>
        <v>0</v>
      </c>
      <c r="AA70" s="74">
        <f>SUMIFS(разходи!$L:$L,разходи!$E:$E,'ПП Август'!$C$70,разходи!$M:$M,'ПП Август'!AA2)</f>
        <v>0</v>
      </c>
      <c r="AB70" s="76">
        <f>SUMIFS(разходи!$L:$L,разходи!$E:$E,'ПП Август'!$C$70,разходи!$M:$M,'ПП Август'!AB2)</f>
        <v>0</v>
      </c>
      <c r="AC70" s="76">
        <f>SUMIFS(разходи!$L:$L,разходи!$E:$E,'ПП Август'!$C$70,разходи!$M:$M,'ПП Август'!AC2)</f>
        <v>0</v>
      </c>
      <c r="AD70" s="74">
        <f>SUMIFS(разходи!$L:$L,разходи!$E:$E,'ПП Август'!$C$70,разходи!$M:$M,'ПП Август'!AD2)</f>
        <v>0</v>
      </c>
      <c r="AE70" s="74">
        <f>SUMIFS(разходи!$L:$L,разходи!$E:$E,'ПП Август'!$C$70,разходи!$M:$M,'ПП Август'!AE2)</f>
        <v>0</v>
      </c>
      <c r="AF70" s="74">
        <f>SUMIFS(разходи!$L:$L,разходи!$E:$E,'ПП Август'!$C$70,разходи!$M:$M,'ПП Август'!AF2)</f>
        <v>0</v>
      </c>
      <c r="AG70" s="74">
        <f>SUMIFS(разходи!$L:$L,разходи!$E:$E,'ПП Август'!$C$70,разходи!$M:$M,'ПП Август'!AG2)</f>
        <v>0</v>
      </c>
      <c r="AH70" s="74">
        <f>SUMIFS(разходи!$L:$L,разходи!$E:$E,'ПП Август'!$C$70,разходи!$M:$M,'ПП Август'!AH2)</f>
        <v>0</v>
      </c>
      <c r="AI70" s="76">
        <f>SUMIFS(разходи!$L:$L,разходи!$E:$E,'ПП Август'!$C$70,разходи!$M:$M,'ПП Август'!AI2)</f>
        <v>0</v>
      </c>
      <c r="AJ70" s="61">
        <f t="shared" si="16"/>
        <v>0</v>
      </c>
      <c r="AK70" s="69">
        <f t="shared" si="3"/>
        <v>0</v>
      </c>
    </row>
    <row r="71" spans="1:37" s="53" customFormat="1" ht="20.100000000000001" customHeight="1" outlineLevel="2" x14ac:dyDescent="0.3">
      <c r="A71" s="51"/>
      <c r="B71" s="52"/>
      <c r="C71" s="49" t="s">
        <v>415</v>
      </c>
      <c r="D71" s="80">
        <v>3000</v>
      </c>
      <c r="E71" s="74">
        <f>SUMIFS(разходи!$L:$L,разходи!$E:$E,'ПП Август'!$C$71,разходи!$M:$M,'ПП Август'!E2)</f>
        <v>0</v>
      </c>
      <c r="F71" s="74">
        <f>SUMIFS(разходи!$L:$L,разходи!$E:$E,'ПП Август'!$C$71,разходи!$M:$M,'ПП Август'!F2)</f>
        <v>0</v>
      </c>
      <c r="G71" s="76">
        <f>SUMIFS(разходи!$L:$L,разходи!$E:$E,'ПП Август'!$C$71,разходи!$M:$M,'ПП Август'!G2)</f>
        <v>0</v>
      </c>
      <c r="H71" s="76">
        <f>SUMIFS(разходи!$L:$L,разходи!$E:$E,'ПП Август'!$C$71,разходи!$M:$M,'ПП Август'!H2)</f>
        <v>0</v>
      </c>
      <c r="I71" s="74">
        <f>SUMIFS(разходи!$L:$L,разходи!$E:$E,'ПП Август'!$C$71,разходи!$M:$M,'ПП Август'!I2)</f>
        <v>0</v>
      </c>
      <c r="J71" s="74">
        <f>SUMIFS(разходи!$L:$L,разходи!$E:$E,'ПП Август'!$C$71,разходи!$M:$M,'ПП Август'!J2)</f>
        <v>0</v>
      </c>
      <c r="K71" s="74">
        <f>SUMIFS(разходи!$L:$L,разходи!$E:$E,'ПП Август'!$C$71,разходи!$M:$M,'ПП Август'!K2)</f>
        <v>0</v>
      </c>
      <c r="L71" s="74">
        <f>SUMIFS(разходи!$L:$L,разходи!$E:$E,'ПП Август'!$C$71,разходи!$M:$M,'ПП Август'!L2)</f>
        <v>0</v>
      </c>
      <c r="M71" s="74">
        <f>SUMIFS(разходи!$L:$L,разходи!$E:$E,'ПП Август'!$C$71,разходи!$M:$M,'ПП Август'!M2)</f>
        <v>0</v>
      </c>
      <c r="N71" s="76">
        <f>SUMIFS(разходи!$L:$L,разходи!$E:$E,'ПП Август'!$C$71,разходи!$M:$M,'ПП Август'!N2)</f>
        <v>0</v>
      </c>
      <c r="O71" s="76">
        <f>SUMIFS(разходи!$L:$L,разходи!$E:$E,'ПП Август'!$C$71,разходи!$M:$M,'ПП Август'!O2)</f>
        <v>0</v>
      </c>
      <c r="P71" s="74">
        <f>SUMIFS(разходи!$L:$L,разходи!$E:$E,'ПП Август'!$C$71,разходи!$M:$M,'ПП Август'!P2)</f>
        <v>0</v>
      </c>
      <c r="Q71" s="74">
        <f>SUMIFS(разходи!$L:$L,разходи!$E:$E,'ПП Август'!$C$71,разходи!$M:$M,'ПП Август'!Q2)</f>
        <v>0</v>
      </c>
      <c r="R71" s="74">
        <f>SUMIFS(разходи!$L:$L,разходи!$E:$E,'ПП Август'!$C$71,разходи!$M:$M,'ПП Август'!R2)</f>
        <v>0</v>
      </c>
      <c r="S71" s="74">
        <f>SUMIFS(разходи!$L:$L,разходи!$E:$E,'ПП Август'!$C$71,разходи!$M:$M,'ПП Август'!S2)</f>
        <v>0</v>
      </c>
      <c r="T71" s="74">
        <f>SUMIFS(разходи!$L:$L,разходи!$E:$E,'ПП Август'!$C$71,разходи!$M:$M,'ПП Август'!T2)</f>
        <v>0</v>
      </c>
      <c r="U71" s="76">
        <f>SUMIFS(разходи!$L:$L,разходи!$E:$E,'ПП Август'!$C$71,разходи!$M:$M,'ПП Август'!U2)</f>
        <v>0</v>
      </c>
      <c r="V71" s="76">
        <f>SUMIFS(разходи!$L:$L,разходи!$E:$E,'ПП Август'!$C$71,разходи!$M:$M,'ПП Август'!V2)</f>
        <v>0</v>
      </c>
      <c r="W71" s="74">
        <f>SUMIFS(разходи!$L:$L,разходи!$E:$E,'ПП Август'!$C$71,разходи!$M:$M,'ПП Август'!W2)</f>
        <v>0</v>
      </c>
      <c r="X71" s="74">
        <f>SUMIFS(разходи!$L:$L,разходи!$E:$E,'ПП Август'!$C$71,разходи!$M:$M,'ПП Август'!X2)</f>
        <v>0</v>
      </c>
      <c r="Y71" s="74">
        <f>SUMIFS(разходи!$L:$L,разходи!$E:$E,'ПП Август'!$C$71,разходи!$M:$M,'ПП Август'!Y2)</f>
        <v>0</v>
      </c>
      <c r="Z71" s="74">
        <f>SUMIFS(разходи!$L:$L,разходи!$E:$E,'ПП Август'!$C$71,разходи!$M:$M,'ПП Август'!Z2)</f>
        <v>0</v>
      </c>
      <c r="AA71" s="74">
        <f>SUMIFS(разходи!$L:$L,разходи!$E:$E,'ПП Август'!$C$71,разходи!$M:$M,'ПП Август'!AA2)</f>
        <v>0</v>
      </c>
      <c r="AB71" s="76">
        <f>SUMIFS(разходи!$L:$L,разходи!$E:$E,'ПП Август'!$C$71,разходи!$M:$M,'ПП Август'!AB2)</f>
        <v>0</v>
      </c>
      <c r="AC71" s="76">
        <f>SUMIFS(разходи!$L:$L,разходи!$E:$E,'ПП Август'!$C$71,разходи!$M:$M,'ПП Август'!AC2)</f>
        <v>0</v>
      </c>
      <c r="AD71" s="74">
        <f>SUMIFS(разходи!$L:$L,разходи!$E:$E,'ПП Август'!$C$71,разходи!$M:$M,'ПП Август'!AD2)</f>
        <v>0</v>
      </c>
      <c r="AE71" s="74">
        <f>SUMIFS(разходи!$L:$L,разходи!$E:$E,'ПП Август'!$C$71,разходи!$M:$M,'ПП Август'!AE2)</f>
        <v>0</v>
      </c>
      <c r="AF71" s="74">
        <f>SUMIFS(разходи!$L:$L,разходи!$E:$E,'ПП Август'!$C$71,разходи!$M:$M,'ПП Август'!AF2)</f>
        <v>0</v>
      </c>
      <c r="AG71" s="74">
        <f>SUMIFS(разходи!$L:$L,разходи!$E:$E,'ПП Август'!$C$71,разходи!$M:$M,'ПП Август'!AG2)</f>
        <v>0</v>
      </c>
      <c r="AH71" s="74">
        <f>SUMIFS(разходи!$L:$L,разходи!$E:$E,'ПП Август'!$C$71,разходи!$M:$M,'ПП Август'!AH2)</f>
        <v>0</v>
      </c>
      <c r="AI71" s="76">
        <f>SUMIFS(разходи!$L:$L,разходи!$E:$E,'ПП Август'!$C$71,разходи!$M:$M,'ПП Август'!AI2)</f>
        <v>0</v>
      </c>
      <c r="AJ71" s="61">
        <f t="shared" si="16"/>
        <v>0</v>
      </c>
      <c r="AK71" s="69">
        <f t="shared" si="3"/>
        <v>3000</v>
      </c>
    </row>
    <row r="72" spans="1:37" s="39" customFormat="1" ht="20.100000000000001" customHeight="1" outlineLevel="1" x14ac:dyDescent="0.3">
      <c r="A72" s="37"/>
      <c r="B72" s="38"/>
      <c r="C72" s="48" t="s">
        <v>870</v>
      </c>
      <c r="D72" s="80">
        <v>3200</v>
      </c>
      <c r="E72" s="74">
        <f t="shared" ref="E72:AI72" si="21">SUM(E73:E77)</f>
        <v>0</v>
      </c>
      <c r="F72" s="74">
        <f t="shared" si="21"/>
        <v>0</v>
      </c>
      <c r="G72" s="76">
        <f t="shared" si="21"/>
        <v>0</v>
      </c>
      <c r="H72" s="76">
        <f t="shared" si="21"/>
        <v>0</v>
      </c>
      <c r="I72" s="74">
        <f t="shared" si="21"/>
        <v>0</v>
      </c>
      <c r="J72" s="74">
        <f t="shared" si="21"/>
        <v>0</v>
      </c>
      <c r="K72" s="74">
        <f t="shared" si="21"/>
        <v>0</v>
      </c>
      <c r="L72" s="74">
        <f t="shared" si="21"/>
        <v>0</v>
      </c>
      <c r="M72" s="74">
        <f t="shared" si="21"/>
        <v>0</v>
      </c>
      <c r="N72" s="76">
        <f t="shared" si="21"/>
        <v>0</v>
      </c>
      <c r="O72" s="76">
        <f t="shared" si="21"/>
        <v>0</v>
      </c>
      <c r="P72" s="74">
        <f t="shared" si="21"/>
        <v>0</v>
      </c>
      <c r="Q72" s="74">
        <f t="shared" si="21"/>
        <v>0</v>
      </c>
      <c r="R72" s="74">
        <f t="shared" si="21"/>
        <v>0</v>
      </c>
      <c r="S72" s="74">
        <f t="shared" si="21"/>
        <v>0</v>
      </c>
      <c r="T72" s="74">
        <f t="shared" si="21"/>
        <v>0</v>
      </c>
      <c r="U72" s="76">
        <f t="shared" si="21"/>
        <v>0</v>
      </c>
      <c r="V72" s="76">
        <f t="shared" si="21"/>
        <v>0</v>
      </c>
      <c r="W72" s="74">
        <f t="shared" si="21"/>
        <v>0</v>
      </c>
      <c r="X72" s="74">
        <f t="shared" si="21"/>
        <v>0</v>
      </c>
      <c r="Y72" s="74">
        <f t="shared" si="21"/>
        <v>0</v>
      </c>
      <c r="Z72" s="74">
        <f t="shared" si="21"/>
        <v>0</v>
      </c>
      <c r="AA72" s="74">
        <f t="shared" si="21"/>
        <v>0</v>
      </c>
      <c r="AB72" s="76">
        <f t="shared" si="21"/>
        <v>0</v>
      </c>
      <c r="AC72" s="76">
        <f t="shared" si="21"/>
        <v>0</v>
      </c>
      <c r="AD72" s="74">
        <f t="shared" si="21"/>
        <v>0</v>
      </c>
      <c r="AE72" s="74">
        <f t="shared" si="21"/>
        <v>0</v>
      </c>
      <c r="AF72" s="74">
        <f t="shared" si="21"/>
        <v>0</v>
      </c>
      <c r="AG72" s="74">
        <f t="shared" si="21"/>
        <v>0</v>
      </c>
      <c r="AH72" s="74">
        <f t="shared" si="21"/>
        <v>0</v>
      </c>
      <c r="AI72" s="76">
        <f t="shared" si="21"/>
        <v>0</v>
      </c>
      <c r="AJ72" s="61">
        <f t="shared" si="16"/>
        <v>0</v>
      </c>
      <c r="AK72" s="69">
        <f t="shared" si="3"/>
        <v>3200</v>
      </c>
    </row>
    <row r="73" spans="1:37" s="39" customFormat="1" ht="20.100000000000001" customHeight="1" outlineLevel="2" x14ac:dyDescent="0.3">
      <c r="A73" s="37"/>
      <c r="B73" s="38"/>
      <c r="C73" s="49" t="s">
        <v>871</v>
      </c>
      <c r="D73" s="80"/>
      <c r="E73" s="74">
        <f>SUMIFS(разходи!$L:$L,разходи!$E:$E,'ПП Август'!$C$73,разходи!$M:$M,'ПП Август'!E2)</f>
        <v>0</v>
      </c>
      <c r="F73" s="74">
        <f>SUMIFS(разходи!$L:$L,разходи!$E:$E,'ПП Август'!$C$73,разходи!$M:$M,'ПП Август'!F2)</f>
        <v>0</v>
      </c>
      <c r="G73" s="76">
        <f>SUMIFS(разходи!$L:$L,разходи!$E:$E,'ПП Август'!$C$73,разходи!$M:$M,'ПП Август'!G2)</f>
        <v>0</v>
      </c>
      <c r="H73" s="76">
        <f>SUMIFS(разходи!$L:$L,разходи!$E:$E,'ПП Август'!$C$73,разходи!$M:$M,'ПП Август'!H2)</f>
        <v>0</v>
      </c>
      <c r="I73" s="74">
        <f>SUMIFS(разходи!$L:$L,разходи!$E:$E,'ПП Август'!$C$73,разходи!$M:$M,'ПП Август'!I2)</f>
        <v>0</v>
      </c>
      <c r="J73" s="74">
        <f>SUMIFS(разходи!$L:$L,разходи!$E:$E,'ПП Август'!$C$73,разходи!$M:$M,'ПП Август'!J2)</f>
        <v>0</v>
      </c>
      <c r="K73" s="74">
        <f>SUMIFS(разходи!$L:$L,разходи!$E:$E,'ПП Август'!$C$73,разходи!$M:$M,'ПП Август'!K2)</f>
        <v>0</v>
      </c>
      <c r="L73" s="74">
        <f>SUMIFS(разходи!$L:$L,разходи!$E:$E,'ПП Август'!$C$73,разходи!$M:$M,'ПП Август'!L2)</f>
        <v>0</v>
      </c>
      <c r="M73" s="74">
        <f>SUMIFS(разходи!$L:$L,разходи!$E:$E,'ПП Август'!$C$73,разходи!$M:$M,'ПП Август'!M2)</f>
        <v>0</v>
      </c>
      <c r="N73" s="76">
        <f>SUMIFS(разходи!$L:$L,разходи!$E:$E,'ПП Август'!$C$73,разходи!$M:$M,'ПП Август'!N2)</f>
        <v>0</v>
      </c>
      <c r="O73" s="76">
        <f>SUMIFS(разходи!$L:$L,разходи!$E:$E,'ПП Август'!$C$73,разходи!$M:$M,'ПП Август'!O2)</f>
        <v>0</v>
      </c>
      <c r="P73" s="74">
        <f>SUMIFS(разходи!$L:$L,разходи!$E:$E,'ПП Август'!$C$73,разходи!$M:$M,'ПП Август'!P2)</f>
        <v>0</v>
      </c>
      <c r="Q73" s="74">
        <f>SUMIFS(разходи!$L:$L,разходи!$E:$E,'ПП Август'!$C$73,разходи!$M:$M,'ПП Август'!Q2)</f>
        <v>0</v>
      </c>
      <c r="R73" s="74">
        <f>SUMIFS(разходи!$L:$L,разходи!$E:$E,'ПП Август'!$C$73,разходи!$M:$M,'ПП Август'!R2)</f>
        <v>0</v>
      </c>
      <c r="S73" s="74">
        <f>SUMIFS(разходи!$L:$L,разходи!$E:$E,'ПП Август'!$C$73,разходи!$M:$M,'ПП Август'!S2)</f>
        <v>0</v>
      </c>
      <c r="T73" s="74">
        <f>SUMIFS(разходи!$L:$L,разходи!$E:$E,'ПП Август'!$C$73,разходи!$M:$M,'ПП Август'!T2)</f>
        <v>0</v>
      </c>
      <c r="U73" s="76">
        <f>SUMIFS(разходи!$L:$L,разходи!$E:$E,'ПП Август'!$C$73,разходи!$M:$M,'ПП Август'!U2)</f>
        <v>0</v>
      </c>
      <c r="V73" s="76">
        <f>SUMIFS(разходи!$L:$L,разходи!$E:$E,'ПП Август'!$C$73,разходи!$M:$M,'ПП Август'!V2)</f>
        <v>0</v>
      </c>
      <c r="W73" s="74">
        <f>SUMIFS(разходи!$L:$L,разходи!$E:$E,'ПП Август'!$C$73,разходи!$M:$M,'ПП Август'!W2)</f>
        <v>0</v>
      </c>
      <c r="X73" s="74">
        <f>SUMIFS(разходи!$L:$L,разходи!$E:$E,'ПП Август'!$C$73,разходи!$M:$M,'ПП Август'!X2)</f>
        <v>0</v>
      </c>
      <c r="Y73" s="74">
        <f>SUMIFS(разходи!$L:$L,разходи!$E:$E,'ПП Август'!$C$73,разходи!$M:$M,'ПП Август'!Y2)</f>
        <v>0</v>
      </c>
      <c r="Z73" s="74">
        <f>SUMIFS(разходи!$L:$L,разходи!$E:$E,'ПП Август'!$C$73,разходи!$M:$M,'ПП Август'!Z2)</f>
        <v>0</v>
      </c>
      <c r="AA73" s="74">
        <f>SUMIFS(разходи!$L:$L,разходи!$E:$E,'ПП Август'!$C$73,разходи!$M:$M,'ПП Август'!AA2)</f>
        <v>0</v>
      </c>
      <c r="AB73" s="76">
        <f>SUMIFS(разходи!$L:$L,разходи!$E:$E,'ПП Август'!$C$73,разходи!$M:$M,'ПП Август'!AB2)</f>
        <v>0</v>
      </c>
      <c r="AC73" s="76">
        <f>SUMIFS(разходи!$L:$L,разходи!$E:$E,'ПП Август'!$C$73,разходи!$M:$M,'ПП Август'!AC2)</f>
        <v>0</v>
      </c>
      <c r="AD73" s="74">
        <f>SUMIFS(разходи!$L:$L,разходи!$E:$E,'ПП Август'!$C$73,разходи!$M:$M,'ПП Август'!AD2)</f>
        <v>0</v>
      </c>
      <c r="AE73" s="74">
        <f>SUMIFS(разходи!$L:$L,разходи!$E:$E,'ПП Август'!$C$73,разходи!$M:$M,'ПП Август'!AE2)</f>
        <v>0</v>
      </c>
      <c r="AF73" s="74">
        <f>SUMIFS(разходи!$L:$L,разходи!$E:$E,'ПП Август'!$C$73,разходи!$M:$M,'ПП Август'!AF2)</f>
        <v>0</v>
      </c>
      <c r="AG73" s="74">
        <f>SUMIFS(разходи!$L:$L,разходи!$E:$E,'ПП Август'!$C$73,разходи!$M:$M,'ПП Август'!AG2)</f>
        <v>0</v>
      </c>
      <c r="AH73" s="74">
        <f>SUMIFS(разходи!$L:$L,разходи!$E:$E,'ПП Август'!$C$73,разходи!$M:$M,'ПП Август'!AH2)</f>
        <v>0</v>
      </c>
      <c r="AI73" s="76">
        <f>SUMIFS(разходи!$L:$L,разходи!$E:$E,'ПП Август'!$C$73,разходи!$M:$M,'ПП Август'!AI2)</f>
        <v>0</v>
      </c>
      <c r="AJ73" s="61">
        <f t="shared" si="16"/>
        <v>0</v>
      </c>
      <c r="AK73" s="69">
        <f t="shared" si="3"/>
        <v>0</v>
      </c>
    </row>
    <row r="74" spans="1:37" s="39" customFormat="1" ht="20.100000000000001" customHeight="1" outlineLevel="2" x14ac:dyDescent="0.3">
      <c r="A74" s="37"/>
      <c r="B74" s="38"/>
      <c r="C74" s="49" t="s">
        <v>872</v>
      </c>
      <c r="D74" s="80"/>
      <c r="E74" s="74">
        <f>SUMIFS(разходи!$L:$L,разходи!$E:$E,'ПП Август'!$C$74,разходи!$M:$M,'ПП Август'!E2)</f>
        <v>0</v>
      </c>
      <c r="F74" s="74">
        <f>SUMIFS(разходи!$L:$L,разходи!$E:$E,'ПП Август'!$C$74,разходи!$M:$M,'ПП Август'!F2)</f>
        <v>0</v>
      </c>
      <c r="G74" s="76">
        <f>SUMIFS(разходи!$L:$L,разходи!$E:$E,'ПП Август'!$C$74,разходи!$M:$M,'ПП Август'!G2)</f>
        <v>0</v>
      </c>
      <c r="H74" s="76">
        <f>SUMIFS(разходи!$L:$L,разходи!$E:$E,'ПП Август'!$C$74,разходи!$M:$M,'ПП Август'!H2)</f>
        <v>0</v>
      </c>
      <c r="I74" s="74">
        <f>SUMIFS(разходи!$L:$L,разходи!$E:$E,'ПП Август'!$C$74,разходи!$M:$M,'ПП Август'!I2)</f>
        <v>0</v>
      </c>
      <c r="J74" s="74">
        <f>SUMIFS(разходи!$L:$L,разходи!$E:$E,'ПП Август'!$C$74,разходи!$M:$M,'ПП Август'!J2)</f>
        <v>0</v>
      </c>
      <c r="K74" s="74">
        <f>SUMIFS(разходи!$L:$L,разходи!$E:$E,'ПП Август'!$C$74,разходи!$M:$M,'ПП Август'!K2)</f>
        <v>0</v>
      </c>
      <c r="L74" s="74">
        <f>SUMIFS(разходи!$L:$L,разходи!$E:$E,'ПП Август'!$C$74,разходи!$M:$M,'ПП Август'!L2)</f>
        <v>0</v>
      </c>
      <c r="M74" s="74">
        <f>SUMIFS(разходи!$L:$L,разходи!$E:$E,'ПП Август'!$C$74,разходи!$M:$M,'ПП Август'!M2)</f>
        <v>0</v>
      </c>
      <c r="N74" s="76">
        <f>SUMIFS(разходи!$L:$L,разходи!$E:$E,'ПП Август'!$C$74,разходи!$M:$M,'ПП Август'!N2)</f>
        <v>0</v>
      </c>
      <c r="O74" s="76">
        <f>SUMIFS(разходи!$L:$L,разходи!$E:$E,'ПП Август'!$C$74,разходи!$M:$M,'ПП Август'!O2)</f>
        <v>0</v>
      </c>
      <c r="P74" s="74">
        <f>SUMIFS(разходи!$L:$L,разходи!$E:$E,'ПП Август'!$C$74,разходи!$M:$M,'ПП Август'!P2)</f>
        <v>0</v>
      </c>
      <c r="Q74" s="74">
        <f>SUMIFS(разходи!$L:$L,разходи!$E:$E,'ПП Август'!$C$74,разходи!$M:$M,'ПП Август'!Q2)</f>
        <v>0</v>
      </c>
      <c r="R74" s="74">
        <f>SUMIFS(разходи!$L:$L,разходи!$E:$E,'ПП Август'!$C$74,разходи!$M:$M,'ПП Август'!R2)</f>
        <v>0</v>
      </c>
      <c r="S74" s="74">
        <f>SUMIFS(разходи!$L:$L,разходи!$E:$E,'ПП Август'!$C$74,разходи!$M:$M,'ПП Август'!S2)</f>
        <v>0</v>
      </c>
      <c r="T74" s="74">
        <f>SUMIFS(разходи!$L:$L,разходи!$E:$E,'ПП Август'!$C$74,разходи!$M:$M,'ПП Август'!T2)</f>
        <v>0</v>
      </c>
      <c r="U74" s="76">
        <f>SUMIFS(разходи!$L:$L,разходи!$E:$E,'ПП Август'!$C$74,разходи!$M:$M,'ПП Август'!U2)</f>
        <v>0</v>
      </c>
      <c r="V74" s="76">
        <f>SUMIFS(разходи!$L:$L,разходи!$E:$E,'ПП Август'!$C$74,разходи!$M:$M,'ПП Август'!V2)</f>
        <v>0</v>
      </c>
      <c r="W74" s="74">
        <f>SUMIFS(разходи!$L:$L,разходи!$E:$E,'ПП Август'!$C$74,разходи!$M:$M,'ПП Август'!W2)</f>
        <v>0</v>
      </c>
      <c r="X74" s="74">
        <f>SUMIFS(разходи!$L:$L,разходи!$E:$E,'ПП Август'!$C$74,разходи!$M:$M,'ПП Август'!X2)</f>
        <v>0</v>
      </c>
      <c r="Y74" s="74">
        <f>SUMIFS(разходи!$L:$L,разходи!$E:$E,'ПП Август'!$C$74,разходи!$M:$M,'ПП Август'!Y2)</f>
        <v>0</v>
      </c>
      <c r="Z74" s="74">
        <f>SUMIFS(разходи!$L:$L,разходи!$E:$E,'ПП Август'!$C$74,разходи!$M:$M,'ПП Август'!Z2)</f>
        <v>0</v>
      </c>
      <c r="AA74" s="74">
        <f>SUMIFS(разходи!$L:$L,разходи!$E:$E,'ПП Август'!$C$74,разходи!$M:$M,'ПП Август'!AA2)</f>
        <v>0</v>
      </c>
      <c r="AB74" s="76">
        <f>SUMIFS(разходи!$L:$L,разходи!$E:$E,'ПП Август'!$C$74,разходи!$M:$M,'ПП Август'!AB2)</f>
        <v>0</v>
      </c>
      <c r="AC74" s="76">
        <f>SUMIFS(разходи!$L:$L,разходи!$E:$E,'ПП Август'!$C$74,разходи!$M:$M,'ПП Август'!AC2)</f>
        <v>0</v>
      </c>
      <c r="AD74" s="74">
        <f>SUMIFS(разходи!$L:$L,разходи!$E:$E,'ПП Август'!$C$74,разходи!$M:$M,'ПП Август'!AD2)</f>
        <v>0</v>
      </c>
      <c r="AE74" s="74">
        <f>SUMIFS(разходи!$L:$L,разходи!$E:$E,'ПП Август'!$C$74,разходи!$M:$M,'ПП Август'!AE2)</f>
        <v>0</v>
      </c>
      <c r="AF74" s="74">
        <f>SUMIFS(разходи!$L:$L,разходи!$E:$E,'ПП Август'!$C$74,разходи!$M:$M,'ПП Август'!AF2)</f>
        <v>0</v>
      </c>
      <c r="AG74" s="74">
        <f>SUMIFS(разходи!$L:$L,разходи!$E:$E,'ПП Август'!$C$74,разходи!$M:$M,'ПП Август'!AG2)</f>
        <v>0</v>
      </c>
      <c r="AH74" s="74">
        <f>SUMIFS(разходи!$L:$L,разходи!$E:$E,'ПП Август'!$C$74,разходи!$M:$M,'ПП Август'!AH2)</f>
        <v>0</v>
      </c>
      <c r="AI74" s="76">
        <f>SUMIFS(разходи!$L:$L,разходи!$E:$E,'ПП Август'!$C$74,разходи!$M:$M,'ПП Август'!AI2)</f>
        <v>0</v>
      </c>
      <c r="AJ74" s="61">
        <f t="shared" si="16"/>
        <v>0</v>
      </c>
      <c r="AK74" s="69">
        <f t="shared" si="3"/>
        <v>0</v>
      </c>
    </row>
    <row r="75" spans="1:37" s="39" customFormat="1" ht="20.100000000000001" customHeight="1" outlineLevel="2" x14ac:dyDescent="0.3">
      <c r="A75" s="37"/>
      <c r="B75" s="38"/>
      <c r="C75" s="49" t="s">
        <v>786</v>
      </c>
      <c r="D75" s="80"/>
      <c r="E75" s="74">
        <f>SUMIFS(разходи!$L:$L,разходи!$E:$E,'ПП Август'!$C$75,разходи!$M:$M,'ПП Август'!E2)</f>
        <v>0</v>
      </c>
      <c r="F75" s="74">
        <f>SUMIFS(разходи!$L:$L,разходи!$E:$E,'ПП Август'!$C$75,разходи!$M:$M,'ПП Август'!F2)</f>
        <v>0</v>
      </c>
      <c r="G75" s="76">
        <f>SUMIFS(разходи!$L:$L,разходи!$E:$E,'ПП Август'!$C$75,разходи!$M:$M,'ПП Август'!G2)</f>
        <v>0</v>
      </c>
      <c r="H75" s="76">
        <f>SUMIFS(разходи!$L:$L,разходи!$E:$E,'ПП Август'!$C$75,разходи!$M:$M,'ПП Август'!H2)</f>
        <v>0</v>
      </c>
      <c r="I75" s="74">
        <f>SUMIFS(разходи!$L:$L,разходи!$E:$E,'ПП Август'!$C$75,разходи!$M:$M,'ПП Август'!I2)</f>
        <v>0</v>
      </c>
      <c r="J75" s="74">
        <f>SUMIFS(разходи!$L:$L,разходи!$E:$E,'ПП Август'!$C$75,разходи!$M:$M,'ПП Август'!J2)</f>
        <v>0</v>
      </c>
      <c r="K75" s="74">
        <f>SUMIFS(разходи!$L:$L,разходи!$E:$E,'ПП Август'!$C$75,разходи!$M:$M,'ПП Август'!K2)</f>
        <v>0</v>
      </c>
      <c r="L75" s="74">
        <f>SUMIFS(разходи!$L:$L,разходи!$E:$E,'ПП Август'!$C$75,разходи!$M:$M,'ПП Август'!L2)</f>
        <v>0</v>
      </c>
      <c r="M75" s="74">
        <f>SUMIFS(разходи!$L:$L,разходи!$E:$E,'ПП Август'!$C$75,разходи!$M:$M,'ПП Август'!M2)</f>
        <v>0</v>
      </c>
      <c r="N75" s="76">
        <f>SUMIFS(разходи!$L:$L,разходи!$E:$E,'ПП Август'!$C$75,разходи!$M:$M,'ПП Август'!N2)</f>
        <v>0</v>
      </c>
      <c r="O75" s="76">
        <f>SUMIFS(разходи!$L:$L,разходи!$E:$E,'ПП Август'!$C$75,разходи!$M:$M,'ПП Август'!O2)</f>
        <v>0</v>
      </c>
      <c r="P75" s="74">
        <f>SUMIFS(разходи!$L:$L,разходи!$E:$E,'ПП Август'!$C$75,разходи!$M:$M,'ПП Август'!P2)</f>
        <v>0</v>
      </c>
      <c r="Q75" s="74">
        <f>SUMIFS(разходи!$L:$L,разходи!$E:$E,'ПП Август'!$C$75,разходи!$M:$M,'ПП Август'!Q2)</f>
        <v>0</v>
      </c>
      <c r="R75" s="74">
        <f>SUMIFS(разходи!$L:$L,разходи!$E:$E,'ПП Август'!$C$75,разходи!$M:$M,'ПП Август'!R2)</f>
        <v>0</v>
      </c>
      <c r="S75" s="74">
        <f>SUMIFS(разходи!$L:$L,разходи!$E:$E,'ПП Август'!$C$75,разходи!$M:$M,'ПП Август'!S2)</f>
        <v>0</v>
      </c>
      <c r="T75" s="74">
        <f>SUMIFS(разходи!$L:$L,разходи!$E:$E,'ПП Август'!$C$75,разходи!$M:$M,'ПП Август'!T2)</f>
        <v>0</v>
      </c>
      <c r="U75" s="76">
        <f>SUMIFS(разходи!$L:$L,разходи!$E:$E,'ПП Август'!$C$75,разходи!$M:$M,'ПП Август'!U2)</f>
        <v>0</v>
      </c>
      <c r="V75" s="76">
        <f>SUMIFS(разходи!$L:$L,разходи!$E:$E,'ПП Август'!$C$75,разходи!$M:$M,'ПП Август'!V2)</f>
        <v>0</v>
      </c>
      <c r="W75" s="74">
        <f>SUMIFS(разходи!$L:$L,разходи!$E:$E,'ПП Август'!$C$75,разходи!$M:$M,'ПП Август'!W2)</f>
        <v>0</v>
      </c>
      <c r="X75" s="74">
        <f>SUMIFS(разходи!$L:$L,разходи!$E:$E,'ПП Август'!$C$75,разходи!$M:$M,'ПП Август'!X2)</f>
        <v>0</v>
      </c>
      <c r="Y75" s="74">
        <f>SUMIFS(разходи!$L:$L,разходи!$E:$E,'ПП Август'!$C$75,разходи!$M:$M,'ПП Август'!Y2)</f>
        <v>0</v>
      </c>
      <c r="Z75" s="74">
        <f>SUMIFS(разходи!$L:$L,разходи!$E:$E,'ПП Август'!$C$75,разходи!$M:$M,'ПП Август'!Z2)</f>
        <v>0</v>
      </c>
      <c r="AA75" s="74">
        <f>SUMIFS(разходи!$L:$L,разходи!$E:$E,'ПП Август'!$C$75,разходи!$M:$M,'ПП Август'!AA2)</f>
        <v>0</v>
      </c>
      <c r="AB75" s="76">
        <f>SUMIFS(разходи!$L:$L,разходи!$E:$E,'ПП Август'!$C$75,разходи!$M:$M,'ПП Август'!AB2)</f>
        <v>0</v>
      </c>
      <c r="AC75" s="76">
        <f>SUMIFS(разходи!$L:$L,разходи!$E:$E,'ПП Август'!$C$75,разходи!$M:$M,'ПП Август'!AC2)</f>
        <v>0</v>
      </c>
      <c r="AD75" s="74">
        <f>SUMIFS(разходи!$L:$L,разходи!$E:$E,'ПП Август'!$C$75,разходи!$M:$M,'ПП Август'!AD2)</f>
        <v>0</v>
      </c>
      <c r="AE75" s="74">
        <f>SUMIFS(разходи!$L:$L,разходи!$E:$E,'ПП Август'!$C$75,разходи!$M:$M,'ПП Август'!AE2)</f>
        <v>0</v>
      </c>
      <c r="AF75" s="74">
        <f>SUMIFS(разходи!$L:$L,разходи!$E:$E,'ПП Август'!$C$75,разходи!$M:$M,'ПП Август'!AF2)</f>
        <v>0</v>
      </c>
      <c r="AG75" s="74">
        <f>SUMIFS(разходи!$L:$L,разходи!$E:$E,'ПП Август'!$C$75,разходи!$M:$M,'ПП Август'!AG2)</f>
        <v>0</v>
      </c>
      <c r="AH75" s="74">
        <f>SUMIFS(разходи!$L:$L,разходи!$E:$E,'ПП Август'!$C$75,разходи!$M:$M,'ПП Август'!AH2)</f>
        <v>0</v>
      </c>
      <c r="AI75" s="76">
        <f>SUMIFS(разходи!$L:$L,разходи!$E:$E,'ПП Август'!$C$75,разходи!$M:$M,'ПП Август'!AI2)</f>
        <v>0</v>
      </c>
      <c r="AJ75" s="61">
        <f t="shared" si="16"/>
        <v>0</v>
      </c>
      <c r="AK75" s="69">
        <f t="shared" si="3"/>
        <v>0</v>
      </c>
    </row>
    <row r="76" spans="1:37" s="39" customFormat="1" ht="20.100000000000001" customHeight="1" outlineLevel="2" x14ac:dyDescent="0.3">
      <c r="A76" s="37"/>
      <c r="B76" s="38"/>
      <c r="C76" s="49" t="s">
        <v>873</v>
      </c>
      <c r="D76" s="80"/>
      <c r="E76" s="74">
        <f>SUMIFS(разходи!$L:$L,разходи!$E:$E,'ПП Август'!$C$76,разходи!$M:$M,'ПП Август'!E2)</f>
        <v>0</v>
      </c>
      <c r="F76" s="74">
        <f>SUMIFS(разходи!$L:$L,разходи!$E:$E,'ПП Август'!$C$76,разходи!$M:$M,'ПП Август'!F2)</f>
        <v>0</v>
      </c>
      <c r="G76" s="76">
        <f>SUMIFS(разходи!$L:$L,разходи!$E:$E,'ПП Август'!$C$76,разходи!$M:$M,'ПП Август'!G2)</f>
        <v>0</v>
      </c>
      <c r="H76" s="76">
        <f>SUMIFS(разходи!$L:$L,разходи!$E:$E,'ПП Август'!$C$76,разходи!$M:$M,'ПП Август'!H2)</f>
        <v>0</v>
      </c>
      <c r="I76" s="74">
        <f>SUMIFS(разходи!$L:$L,разходи!$E:$E,'ПП Август'!$C$76,разходи!$M:$M,'ПП Август'!I2)</f>
        <v>0</v>
      </c>
      <c r="J76" s="74">
        <f>SUMIFS(разходи!$L:$L,разходи!$E:$E,'ПП Август'!$C$76,разходи!$M:$M,'ПП Август'!J2)</f>
        <v>0</v>
      </c>
      <c r="K76" s="74">
        <f>SUMIFS(разходи!$L:$L,разходи!$E:$E,'ПП Август'!$C$76,разходи!$M:$M,'ПП Август'!K2)</f>
        <v>0</v>
      </c>
      <c r="L76" s="74">
        <f>SUMIFS(разходи!$L:$L,разходи!$E:$E,'ПП Август'!$C$76,разходи!$M:$M,'ПП Август'!L2)</f>
        <v>0</v>
      </c>
      <c r="M76" s="74">
        <f>SUMIFS(разходи!$L:$L,разходи!$E:$E,'ПП Август'!$C$76,разходи!$M:$M,'ПП Август'!M2)</f>
        <v>0</v>
      </c>
      <c r="N76" s="76">
        <f>SUMIFS(разходи!$L:$L,разходи!$E:$E,'ПП Август'!$C$76,разходи!$M:$M,'ПП Август'!N2)</f>
        <v>0</v>
      </c>
      <c r="O76" s="76">
        <f>SUMIFS(разходи!$L:$L,разходи!$E:$E,'ПП Август'!$C$76,разходи!$M:$M,'ПП Август'!O2)</f>
        <v>0</v>
      </c>
      <c r="P76" s="74">
        <f>SUMIFS(разходи!$L:$L,разходи!$E:$E,'ПП Август'!$C$76,разходи!$M:$M,'ПП Август'!P2)</f>
        <v>0</v>
      </c>
      <c r="Q76" s="74">
        <f>SUMIFS(разходи!$L:$L,разходи!$E:$E,'ПП Август'!$C$76,разходи!$M:$M,'ПП Август'!Q2)</f>
        <v>0</v>
      </c>
      <c r="R76" s="74">
        <f>SUMIFS(разходи!$L:$L,разходи!$E:$E,'ПП Август'!$C$76,разходи!$M:$M,'ПП Август'!R2)</f>
        <v>0</v>
      </c>
      <c r="S76" s="74">
        <f>SUMIFS(разходи!$L:$L,разходи!$E:$E,'ПП Август'!$C$76,разходи!$M:$M,'ПП Август'!S2)</f>
        <v>0</v>
      </c>
      <c r="T76" s="74">
        <f>SUMIFS(разходи!$L:$L,разходи!$E:$E,'ПП Август'!$C$76,разходи!$M:$M,'ПП Август'!T2)</f>
        <v>0</v>
      </c>
      <c r="U76" s="76">
        <f>SUMIFS(разходи!$L:$L,разходи!$E:$E,'ПП Август'!$C$76,разходи!$M:$M,'ПП Август'!U2)</f>
        <v>0</v>
      </c>
      <c r="V76" s="76">
        <f>SUMIFS(разходи!$L:$L,разходи!$E:$E,'ПП Август'!$C$76,разходи!$M:$M,'ПП Август'!V2)</f>
        <v>0</v>
      </c>
      <c r="W76" s="74">
        <f>SUMIFS(разходи!$L:$L,разходи!$E:$E,'ПП Август'!$C$76,разходи!$M:$M,'ПП Август'!W2)</f>
        <v>0</v>
      </c>
      <c r="X76" s="74">
        <f>SUMIFS(разходи!$L:$L,разходи!$E:$E,'ПП Август'!$C$76,разходи!$M:$M,'ПП Август'!X2)</f>
        <v>0</v>
      </c>
      <c r="Y76" s="74">
        <f>SUMIFS(разходи!$L:$L,разходи!$E:$E,'ПП Август'!$C$76,разходи!$M:$M,'ПП Август'!Y2)</f>
        <v>0</v>
      </c>
      <c r="Z76" s="74">
        <f>SUMIFS(разходи!$L:$L,разходи!$E:$E,'ПП Август'!$C$76,разходи!$M:$M,'ПП Август'!Z2)</f>
        <v>0</v>
      </c>
      <c r="AA76" s="74">
        <f>SUMIFS(разходи!$L:$L,разходи!$E:$E,'ПП Август'!$C$76,разходи!$M:$M,'ПП Август'!AA2)</f>
        <v>0</v>
      </c>
      <c r="AB76" s="76">
        <f>SUMIFS(разходи!$L:$L,разходи!$E:$E,'ПП Август'!$C$76,разходи!$M:$M,'ПП Август'!AB2)</f>
        <v>0</v>
      </c>
      <c r="AC76" s="76">
        <f>SUMIFS(разходи!$L:$L,разходи!$E:$E,'ПП Август'!$C$76,разходи!$M:$M,'ПП Август'!AC2)</f>
        <v>0</v>
      </c>
      <c r="AD76" s="74">
        <f>SUMIFS(разходи!$L:$L,разходи!$E:$E,'ПП Август'!$C$76,разходи!$M:$M,'ПП Август'!AD2)</f>
        <v>0</v>
      </c>
      <c r="AE76" s="74">
        <f>SUMIFS(разходи!$L:$L,разходи!$E:$E,'ПП Август'!$C$76,разходи!$M:$M,'ПП Август'!AE2)</f>
        <v>0</v>
      </c>
      <c r="AF76" s="74">
        <f>SUMIFS(разходи!$L:$L,разходи!$E:$E,'ПП Август'!$C$76,разходи!$M:$M,'ПП Август'!AF2)</f>
        <v>0</v>
      </c>
      <c r="AG76" s="74">
        <f>SUMIFS(разходи!$L:$L,разходи!$E:$E,'ПП Август'!$C$76,разходи!$M:$M,'ПП Август'!AG2)</f>
        <v>0</v>
      </c>
      <c r="AH76" s="74">
        <f>SUMIFS(разходи!$L:$L,разходи!$E:$E,'ПП Август'!$C$76,разходи!$M:$M,'ПП Август'!AH2)</f>
        <v>0</v>
      </c>
      <c r="AI76" s="76">
        <f>SUMIFS(разходи!$L:$L,разходи!$E:$E,'ПП Август'!$C$76,разходи!$M:$M,'ПП Август'!AI2)</f>
        <v>0</v>
      </c>
      <c r="AJ76" s="61">
        <f t="shared" si="16"/>
        <v>0</v>
      </c>
      <c r="AK76" s="69">
        <f t="shared" si="3"/>
        <v>0</v>
      </c>
    </row>
    <row r="77" spans="1:37" s="39" customFormat="1" ht="20.100000000000001" customHeight="1" outlineLevel="2" x14ac:dyDescent="0.3">
      <c r="A77" s="37"/>
      <c r="B77" s="38"/>
      <c r="C77" s="49" t="s">
        <v>874</v>
      </c>
      <c r="D77" s="80"/>
      <c r="E77" s="74">
        <f>SUMIFS(разходи!$L:$L,разходи!$E:$E,'ПП Август'!$C$77,разходи!$M:$M,'ПП Август'!E2)</f>
        <v>0</v>
      </c>
      <c r="F77" s="74">
        <f>SUMIFS(разходи!$L:$L,разходи!$E:$E,'ПП Август'!$C$77,разходи!$M:$M,'ПП Август'!F2)</f>
        <v>0</v>
      </c>
      <c r="G77" s="76">
        <f>SUMIFS(разходи!$L:$L,разходи!$E:$E,'ПП Август'!$C$77,разходи!$M:$M,'ПП Август'!G2)</f>
        <v>0</v>
      </c>
      <c r="H77" s="76">
        <f>SUMIFS(разходи!$L:$L,разходи!$E:$E,'ПП Август'!$C$77,разходи!$M:$M,'ПП Август'!H2)</f>
        <v>0</v>
      </c>
      <c r="I77" s="74">
        <f>SUMIFS(разходи!$L:$L,разходи!$E:$E,'ПП Август'!$C$77,разходи!$M:$M,'ПП Август'!I2)</f>
        <v>0</v>
      </c>
      <c r="J77" s="74">
        <f>SUMIFS(разходи!$L:$L,разходи!$E:$E,'ПП Август'!$C$77,разходи!$M:$M,'ПП Август'!J2)</f>
        <v>0</v>
      </c>
      <c r="K77" s="74">
        <f>SUMIFS(разходи!$L:$L,разходи!$E:$E,'ПП Август'!$C$77,разходи!$M:$M,'ПП Август'!K2)</f>
        <v>0</v>
      </c>
      <c r="L77" s="74">
        <f>SUMIFS(разходи!$L:$L,разходи!$E:$E,'ПП Август'!$C$77,разходи!$M:$M,'ПП Август'!L2)</f>
        <v>0</v>
      </c>
      <c r="M77" s="74">
        <f>SUMIFS(разходи!$L:$L,разходи!$E:$E,'ПП Август'!$C$77,разходи!$M:$M,'ПП Август'!M2)</f>
        <v>0</v>
      </c>
      <c r="N77" s="76">
        <f>SUMIFS(разходи!$L:$L,разходи!$E:$E,'ПП Август'!$C$77,разходи!$M:$M,'ПП Август'!N2)</f>
        <v>0</v>
      </c>
      <c r="O77" s="76">
        <f>SUMIFS(разходи!$L:$L,разходи!$E:$E,'ПП Август'!$C$77,разходи!$M:$M,'ПП Август'!O2)</f>
        <v>0</v>
      </c>
      <c r="P77" s="74">
        <f>SUMIFS(разходи!$L:$L,разходи!$E:$E,'ПП Август'!$C$77,разходи!$M:$M,'ПП Август'!P2)</f>
        <v>0</v>
      </c>
      <c r="Q77" s="74">
        <f>SUMIFS(разходи!$L:$L,разходи!$E:$E,'ПП Август'!$C$77,разходи!$M:$M,'ПП Август'!Q2)</f>
        <v>0</v>
      </c>
      <c r="R77" s="74">
        <f>SUMIFS(разходи!$L:$L,разходи!$E:$E,'ПП Август'!$C$77,разходи!$M:$M,'ПП Август'!R2)</f>
        <v>0</v>
      </c>
      <c r="S77" s="74">
        <f>SUMIFS(разходи!$L:$L,разходи!$E:$E,'ПП Август'!$C$77,разходи!$M:$M,'ПП Август'!S2)</f>
        <v>0</v>
      </c>
      <c r="T77" s="74">
        <f>SUMIFS(разходи!$L:$L,разходи!$E:$E,'ПП Август'!$C$77,разходи!$M:$M,'ПП Август'!T2)</f>
        <v>0</v>
      </c>
      <c r="U77" s="76">
        <f>SUMIFS(разходи!$L:$L,разходи!$E:$E,'ПП Август'!$C$77,разходи!$M:$M,'ПП Август'!U2)</f>
        <v>0</v>
      </c>
      <c r="V77" s="76">
        <f>SUMIFS(разходи!$L:$L,разходи!$E:$E,'ПП Август'!$C$77,разходи!$M:$M,'ПП Август'!V2)</f>
        <v>0</v>
      </c>
      <c r="W77" s="74">
        <f>SUMIFS(разходи!$L:$L,разходи!$E:$E,'ПП Август'!$C$77,разходи!$M:$M,'ПП Август'!W2)</f>
        <v>0</v>
      </c>
      <c r="X77" s="74">
        <f>SUMIFS(разходи!$L:$L,разходи!$E:$E,'ПП Август'!$C$77,разходи!$M:$M,'ПП Август'!X2)</f>
        <v>0</v>
      </c>
      <c r="Y77" s="74">
        <f>SUMIFS(разходи!$L:$L,разходи!$E:$E,'ПП Август'!$C$77,разходи!$M:$M,'ПП Август'!Y2)</f>
        <v>0</v>
      </c>
      <c r="Z77" s="74">
        <f>SUMIFS(разходи!$L:$L,разходи!$E:$E,'ПП Август'!$C$77,разходи!$M:$M,'ПП Август'!Z2)</f>
        <v>0</v>
      </c>
      <c r="AA77" s="74">
        <f>SUMIFS(разходи!$L:$L,разходи!$E:$E,'ПП Август'!$C$77,разходи!$M:$M,'ПП Август'!AA2)</f>
        <v>0</v>
      </c>
      <c r="AB77" s="76">
        <f>SUMIFS(разходи!$L:$L,разходи!$E:$E,'ПП Август'!$C$77,разходи!$M:$M,'ПП Август'!AB2)</f>
        <v>0</v>
      </c>
      <c r="AC77" s="76">
        <f>SUMIFS(разходи!$L:$L,разходи!$E:$E,'ПП Август'!$C$77,разходи!$M:$M,'ПП Август'!AC2)</f>
        <v>0</v>
      </c>
      <c r="AD77" s="74">
        <f>SUMIFS(разходи!$L:$L,разходи!$E:$E,'ПП Август'!$C$77,разходи!$M:$M,'ПП Август'!AD2)</f>
        <v>0</v>
      </c>
      <c r="AE77" s="74">
        <f>SUMIFS(разходи!$L:$L,разходи!$E:$E,'ПП Август'!$C$77,разходи!$M:$M,'ПП Август'!AE2)</f>
        <v>0</v>
      </c>
      <c r="AF77" s="74">
        <f>SUMIFS(разходи!$L:$L,разходи!$E:$E,'ПП Август'!$C$77,разходи!$M:$M,'ПП Август'!AF2)</f>
        <v>0</v>
      </c>
      <c r="AG77" s="74">
        <f>SUMIFS(разходи!$L:$L,разходи!$E:$E,'ПП Август'!$C$77,разходи!$M:$M,'ПП Август'!AG2)</f>
        <v>0</v>
      </c>
      <c r="AH77" s="74">
        <f>SUMIFS(разходи!$L:$L,разходи!$E:$E,'ПП Август'!$C$77,разходи!$M:$M,'ПП Август'!AH2)</f>
        <v>0</v>
      </c>
      <c r="AI77" s="76">
        <f>SUMIFS(разходи!$L:$L,разходи!$E:$E,'ПП Август'!$C$77,разходи!$M:$M,'ПП Август'!AI2)</f>
        <v>0</v>
      </c>
      <c r="AJ77" s="61">
        <f t="shared" si="16"/>
        <v>0</v>
      </c>
      <c r="AK77" s="69">
        <f t="shared" si="3"/>
        <v>0</v>
      </c>
    </row>
    <row r="78" spans="1:37" s="39" customFormat="1" ht="20.100000000000001" customHeight="1" outlineLevel="1" x14ac:dyDescent="0.3">
      <c r="A78" s="37"/>
      <c r="B78" s="38"/>
      <c r="C78" s="32" t="s">
        <v>875</v>
      </c>
      <c r="D78" s="80">
        <v>43000</v>
      </c>
      <c r="E78" s="74">
        <f t="shared" ref="E78:AI78" si="22">SUM(E79:E81)</f>
        <v>0</v>
      </c>
      <c r="F78" s="74">
        <f t="shared" si="22"/>
        <v>0</v>
      </c>
      <c r="G78" s="76">
        <f t="shared" si="22"/>
        <v>0</v>
      </c>
      <c r="H78" s="76">
        <f t="shared" si="22"/>
        <v>0</v>
      </c>
      <c r="I78" s="74">
        <f t="shared" si="22"/>
        <v>0</v>
      </c>
      <c r="J78" s="74">
        <f t="shared" si="22"/>
        <v>0</v>
      </c>
      <c r="K78" s="74">
        <f t="shared" si="22"/>
        <v>0</v>
      </c>
      <c r="L78" s="74">
        <f t="shared" si="22"/>
        <v>0</v>
      </c>
      <c r="M78" s="74">
        <f t="shared" si="22"/>
        <v>0</v>
      </c>
      <c r="N78" s="76">
        <f t="shared" si="22"/>
        <v>0</v>
      </c>
      <c r="O78" s="76">
        <f t="shared" si="22"/>
        <v>0</v>
      </c>
      <c r="P78" s="74">
        <f t="shared" si="22"/>
        <v>8059.25</v>
      </c>
      <c r="Q78" s="74">
        <f t="shared" si="22"/>
        <v>0</v>
      </c>
      <c r="R78" s="74">
        <f t="shared" si="22"/>
        <v>0</v>
      </c>
      <c r="S78" s="74">
        <f t="shared" si="22"/>
        <v>0</v>
      </c>
      <c r="T78" s="74">
        <f t="shared" si="22"/>
        <v>0</v>
      </c>
      <c r="U78" s="76">
        <f t="shared" si="22"/>
        <v>0</v>
      </c>
      <c r="V78" s="76">
        <f t="shared" si="22"/>
        <v>0</v>
      </c>
      <c r="W78" s="74">
        <f t="shared" si="22"/>
        <v>0</v>
      </c>
      <c r="X78" s="74">
        <f t="shared" si="22"/>
        <v>5978.4699999999993</v>
      </c>
      <c r="Y78" s="74">
        <f t="shared" si="22"/>
        <v>0</v>
      </c>
      <c r="Z78" s="74">
        <f t="shared" si="22"/>
        <v>0</v>
      </c>
      <c r="AA78" s="74">
        <f t="shared" si="22"/>
        <v>0</v>
      </c>
      <c r="AB78" s="76">
        <f t="shared" si="22"/>
        <v>0</v>
      </c>
      <c r="AC78" s="76">
        <f t="shared" si="22"/>
        <v>0</v>
      </c>
      <c r="AD78" s="74">
        <f t="shared" si="22"/>
        <v>0</v>
      </c>
      <c r="AE78" s="74">
        <f t="shared" si="22"/>
        <v>0</v>
      </c>
      <c r="AF78" s="74">
        <f t="shared" si="22"/>
        <v>0</v>
      </c>
      <c r="AG78" s="74">
        <f t="shared" si="22"/>
        <v>0</v>
      </c>
      <c r="AH78" s="74">
        <f t="shared" si="22"/>
        <v>0</v>
      </c>
      <c r="AI78" s="76">
        <f t="shared" si="22"/>
        <v>0</v>
      </c>
      <c r="AJ78" s="61">
        <f t="shared" si="16"/>
        <v>14037.72</v>
      </c>
      <c r="AK78" s="69">
        <f t="shared" si="3"/>
        <v>28962.28</v>
      </c>
    </row>
    <row r="79" spans="1:37" s="39" customFormat="1" ht="20.100000000000001" customHeight="1" outlineLevel="2" x14ac:dyDescent="0.3">
      <c r="A79" s="37"/>
      <c r="B79" s="38"/>
      <c r="C79" s="50" t="s">
        <v>876</v>
      </c>
      <c r="D79" s="80"/>
      <c r="E79" s="74">
        <f>SUMIFS(разходи!$L:$L,разходи!$E:$E,'ПП Август'!$C$79,разходи!$M:$M,'ПП Август'!E2)</f>
        <v>0</v>
      </c>
      <c r="F79" s="74">
        <f>SUMIFS(разходи!$L:$L,разходи!$E:$E,'ПП Август'!$C$79,разходи!$M:$M,'ПП Август'!F2)</f>
        <v>0</v>
      </c>
      <c r="G79" s="76">
        <f>SUMIFS(разходи!$L:$L,разходи!$E:$E,'ПП Август'!$C$79,разходи!$M:$M,'ПП Август'!G2)</f>
        <v>0</v>
      </c>
      <c r="H79" s="76">
        <f>SUMIFS(разходи!$L:$L,разходи!$E:$E,'ПП Август'!$C$79,разходи!$M:$M,'ПП Август'!H2)</f>
        <v>0</v>
      </c>
      <c r="I79" s="74">
        <f>SUMIFS(разходи!$L:$L,разходи!$E:$E,'ПП Август'!$C$79,разходи!$M:$M,'ПП Август'!I2)</f>
        <v>0</v>
      </c>
      <c r="J79" s="74">
        <f>SUMIFS(разходи!$L:$L,разходи!$E:$E,'ПП Август'!$C$79,разходи!$M:$M,'ПП Август'!J2)</f>
        <v>0</v>
      </c>
      <c r="K79" s="74">
        <f>SUMIFS(разходи!$L:$L,разходи!$E:$E,'ПП Август'!$C$79,разходи!$M:$M,'ПП Август'!K2)</f>
        <v>0</v>
      </c>
      <c r="L79" s="74">
        <f>SUMIFS(разходи!$L:$L,разходи!$E:$E,'ПП Август'!$C$79,разходи!$M:$M,'ПП Август'!L2)</f>
        <v>0</v>
      </c>
      <c r="M79" s="74">
        <f>SUMIFS(разходи!$L:$L,разходи!$E:$E,'ПП Август'!$C$79,разходи!$M:$M,'ПП Август'!M2)</f>
        <v>0</v>
      </c>
      <c r="N79" s="76">
        <f>SUMIFS(разходи!$L:$L,разходи!$E:$E,'ПП Август'!$C$79,разходи!$M:$M,'ПП Август'!N2)</f>
        <v>0</v>
      </c>
      <c r="O79" s="76">
        <f>SUMIFS(разходи!$L:$L,разходи!$E:$E,'ПП Август'!$C$79,разходи!$M:$M,'ПП Август'!O2)</f>
        <v>0</v>
      </c>
      <c r="P79" s="74">
        <f>SUMIFS(разходи!$L:$L,разходи!$E:$E,'ПП Август'!$C$79,разходи!$M:$M,'ПП Август'!P2)</f>
        <v>0</v>
      </c>
      <c r="Q79" s="74">
        <f>SUMIFS(разходи!$L:$L,разходи!$E:$E,'ПП Август'!$C$79,разходи!$M:$M,'ПП Август'!Q2)</f>
        <v>0</v>
      </c>
      <c r="R79" s="74">
        <f>SUMIFS(разходи!$L:$L,разходи!$E:$E,'ПП Август'!$C$79,разходи!$M:$M,'ПП Август'!R2)</f>
        <v>0</v>
      </c>
      <c r="S79" s="74">
        <f>SUMIFS(разходи!$L:$L,разходи!$E:$E,'ПП Август'!$C$79,разходи!$M:$M,'ПП Август'!S2)</f>
        <v>0</v>
      </c>
      <c r="T79" s="74">
        <f>SUMIFS(разходи!$L:$L,разходи!$E:$E,'ПП Август'!$C$79,разходи!$M:$M,'ПП Август'!T2)</f>
        <v>0</v>
      </c>
      <c r="U79" s="76">
        <f>SUMIFS(разходи!$L:$L,разходи!$E:$E,'ПП Август'!$C$79,разходи!$M:$M,'ПП Август'!U2)</f>
        <v>0</v>
      </c>
      <c r="V79" s="76">
        <f>SUMIFS(разходи!$L:$L,разходи!$E:$E,'ПП Август'!$C$79,разходи!$M:$M,'ПП Август'!V2)</f>
        <v>0</v>
      </c>
      <c r="W79" s="74">
        <f>SUMIFS(разходи!$L:$L,разходи!$E:$E,'ПП Август'!$C$79,разходи!$M:$M,'ПП Август'!W2)</f>
        <v>0</v>
      </c>
      <c r="X79" s="74">
        <f>SUMIFS(разходи!$L:$L,разходи!$E:$E,'ПП Август'!$C$79,разходи!$M:$M,'ПП Август'!X2)</f>
        <v>0</v>
      </c>
      <c r="Y79" s="74">
        <f>SUMIFS(разходи!$L:$L,разходи!$E:$E,'ПП Август'!$C$79,разходи!$M:$M,'ПП Август'!Y2)</f>
        <v>0</v>
      </c>
      <c r="Z79" s="74">
        <f>SUMIFS(разходи!$L:$L,разходи!$E:$E,'ПП Август'!$C$79,разходи!$M:$M,'ПП Август'!Z2)</f>
        <v>0</v>
      </c>
      <c r="AA79" s="74">
        <f>SUMIFS(разходи!$L:$L,разходи!$E:$E,'ПП Август'!$C$79,разходи!$M:$M,'ПП Август'!AA2)</f>
        <v>0</v>
      </c>
      <c r="AB79" s="76">
        <f>SUMIFS(разходи!$L:$L,разходи!$E:$E,'ПП Август'!$C$79,разходи!$M:$M,'ПП Август'!AB2)</f>
        <v>0</v>
      </c>
      <c r="AC79" s="76">
        <f>SUMIFS(разходи!$L:$L,разходи!$E:$E,'ПП Август'!$C$79,разходи!$M:$M,'ПП Август'!AC2)</f>
        <v>0</v>
      </c>
      <c r="AD79" s="74">
        <f>SUMIFS(разходи!$L:$L,разходи!$E:$E,'ПП Август'!$C$79,разходи!$M:$M,'ПП Август'!AD2)</f>
        <v>0</v>
      </c>
      <c r="AE79" s="74">
        <f>SUMIFS(разходи!$L:$L,разходи!$E:$E,'ПП Август'!$C$79,разходи!$M:$M,'ПП Август'!AE2)</f>
        <v>0</v>
      </c>
      <c r="AF79" s="74">
        <f>SUMIFS(разходи!$L:$L,разходи!$E:$E,'ПП Август'!$C$79,разходи!$M:$M,'ПП Август'!AF2)</f>
        <v>0</v>
      </c>
      <c r="AG79" s="74">
        <f>SUMIFS(разходи!$L:$L,разходи!$E:$E,'ПП Август'!$C$79,разходи!$M:$M,'ПП Август'!AG2)</f>
        <v>0</v>
      </c>
      <c r="AH79" s="74">
        <f>SUMIFS(разходи!$L:$L,разходи!$E:$E,'ПП Август'!$C$79,разходи!$M:$M,'ПП Август'!AH2)</f>
        <v>0</v>
      </c>
      <c r="AI79" s="76">
        <f>SUMIFS(разходи!$L:$L,разходи!$E:$E,'ПП Август'!$C$79,разходи!$M:$M,'ПП Август'!AI2)</f>
        <v>0</v>
      </c>
      <c r="AJ79" s="61">
        <f t="shared" si="16"/>
        <v>0</v>
      </c>
      <c r="AK79" s="69">
        <f t="shared" si="3"/>
        <v>0</v>
      </c>
    </row>
    <row r="80" spans="1:37" s="39" customFormat="1" ht="20.100000000000001" customHeight="1" outlineLevel="2" x14ac:dyDescent="0.3">
      <c r="A80" s="37"/>
      <c r="B80" s="38"/>
      <c r="C80" s="50" t="s">
        <v>623</v>
      </c>
      <c r="D80" s="80"/>
      <c r="E80" s="74">
        <f>SUMIFS(разходи!$L:$L,разходи!$E:$E,'ПП Август'!$C$80,разходи!$M:$M,'ПП Август'!E2)</f>
        <v>0</v>
      </c>
      <c r="F80" s="74">
        <f>SUMIFS(разходи!$L:$L,разходи!$E:$E,'ПП Август'!$C$80,разходи!$M:$M,'ПП Август'!F2)</f>
        <v>0</v>
      </c>
      <c r="G80" s="76">
        <f>SUMIFS(разходи!$L:$L,разходи!$E:$E,'ПП Август'!$C$80,разходи!$M:$M,'ПП Август'!G2)</f>
        <v>0</v>
      </c>
      <c r="H80" s="76">
        <f>SUMIFS(разходи!$L:$L,разходи!$E:$E,'ПП Август'!$C$80,разходи!$M:$M,'ПП Август'!H2)</f>
        <v>0</v>
      </c>
      <c r="I80" s="74">
        <f>SUMIFS(разходи!$L:$L,разходи!$E:$E,'ПП Август'!$C$80,разходи!$M:$M,'ПП Август'!I2)</f>
        <v>0</v>
      </c>
      <c r="J80" s="74">
        <f>SUMIFS(разходи!$L:$L,разходи!$E:$E,'ПП Август'!$C$80,разходи!$M:$M,'ПП Август'!J2)</f>
        <v>0</v>
      </c>
      <c r="K80" s="74">
        <f>SUMIFS(разходи!$L:$L,разходи!$E:$E,'ПП Август'!$C$80,разходи!$M:$M,'ПП Август'!K2)</f>
        <v>0</v>
      </c>
      <c r="L80" s="74">
        <f>SUMIFS(разходи!$L:$L,разходи!$E:$E,'ПП Август'!$C$80,разходи!$M:$M,'ПП Август'!L2)</f>
        <v>0</v>
      </c>
      <c r="M80" s="74">
        <f>SUMIFS(разходи!$L:$L,разходи!$E:$E,'ПП Август'!$C$80,разходи!$M:$M,'ПП Август'!M2)</f>
        <v>0</v>
      </c>
      <c r="N80" s="76">
        <f>SUMIFS(разходи!$L:$L,разходи!$E:$E,'ПП Август'!$C$80,разходи!$M:$M,'ПП Август'!N2)</f>
        <v>0</v>
      </c>
      <c r="O80" s="76">
        <f>SUMIFS(разходи!$L:$L,разходи!$E:$E,'ПП Август'!$C$80,разходи!$M:$M,'ПП Август'!O2)</f>
        <v>0</v>
      </c>
      <c r="P80" s="74">
        <f>SUMIFS(разходи!$L:$L,разходи!$E:$E,'ПП Август'!$C$80,разходи!$M:$M,'ПП Август'!P2)</f>
        <v>8059.25</v>
      </c>
      <c r="Q80" s="74">
        <f>SUMIFS(разходи!$L:$L,разходи!$E:$E,'ПП Август'!$C$80,разходи!$M:$M,'ПП Август'!Q2)</f>
        <v>0</v>
      </c>
      <c r="R80" s="74">
        <f>SUMIFS(разходи!$L:$L,разходи!$E:$E,'ПП Август'!$C$80,разходи!$M:$M,'ПП Август'!R2)</f>
        <v>0</v>
      </c>
      <c r="S80" s="74">
        <f>SUMIFS(разходи!$L:$L,разходи!$E:$E,'ПП Август'!$C$80,разходи!$M:$M,'ПП Август'!S2)</f>
        <v>0</v>
      </c>
      <c r="T80" s="74">
        <f>SUMIFS(разходи!$L:$L,разходи!$E:$E,'ПП Август'!$C$80,разходи!$M:$M,'ПП Август'!T2)</f>
        <v>0</v>
      </c>
      <c r="U80" s="76">
        <f>SUMIFS(разходи!$L:$L,разходи!$E:$E,'ПП Август'!$C$80,разходи!$M:$M,'ПП Август'!U2)</f>
        <v>0</v>
      </c>
      <c r="V80" s="76">
        <f>SUMIFS(разходи!$L:$L,разходи!$E:$E,'ПП Август'!$C$80,разходи!$M:$M,'ПП Август'!V2)</f>
        <v>0</v>
      </c>
      <c r="W80" s="74">
        <f>SUMIFS(разходи!$L:$L,разходи!$E:$E,'ПП Август'!$C$80,разходи!$M:$M,'ПП Август'!W2)</f>
        <v>0</v>
      </c>
      <c r="X80" s="74">
        <f>SUMIFS(разходи!$L:$L,разходи!$E:$E,'ПП Август'!$C$80,разходи!$M:$M,'ПП Август'!X2)</f>
        <v>5978.4699999999993</v>
      </c>
      <c r="Y80" s="74">
        <f>SUMIFS(разходи!$L:$L,разходи!$E:$E,'ПП Август'!$C$80,разходи!$M:$M,'ПП Август'!Y2)</f>
        <v>0</v>
      </c>
      <c r="Z80" s="74">
        <f>SUMIFS(разходи!$L:$L,разходи!$E:$E,'ПП Август'!$C$80,разходи!$M:$M,'ПП Август'!Z2)</f>
        <v>0</v>
      </c>
      <c r="AA80" s="74">
        <f>SUMIFS(разходи!$L:$L,разходи!$E:$E,'ПП Август'!$C$80,разходи!$M:$M,'ПП Август'!AA2)</f>
        <v>0</v>
      </c>
      <c r="AB80" s="76">
        <f>SUMIFS(разходи!$L:$L,разходи!$E:$E,'ПП Август'!$C$80,разходи!$M:$M,'ПП Август'!AB2)</f>
        <v>0</v>
      </c>
      <c r="AC80" s="76">
        <f>SUMIFS(разходи!$L:$L,разходи!$E:$E,'ПП Август'!$C$80,разходи!$M:$M,'ПП Август'!AC2)</f>
        <v>0</v>
      </c>
      <c r="AD80" s="74">
        <f>SUMIFS(разходи!$L:$L,разходи!$E:$E,'ПП Август'!$C$80,разходи!$M:$M,'ПП Август'!AD2)</f>
        <v>0</v>
      </c>
      <c r="AE80" s="74">
        <f>SUMIFS(разходи!$L:$L,разходи!$E:$E,'ПП Август'!$C$80,разходи!$M:$M,'ПП Август'!AE2)</f>
        <v>0</v>
      </c>
      <c r="AF80" s="74">
        <f>SUMIFS(разходи!$L:$L,разходи!$E:$E,'ПП Август'!$C$80,разходи!$M:$M,'ПП Август'!AF2)</f>
        <v>0</v>
      </c>
      <c r="AG80" s="74">
        <f>SUMIFS(разходи!$L:$L,разходи!$E:$E,'ПП Август'!$C$80,разходи!$M:$M,'ПП Август'!AG2)</f>
        <v>0</v>
      </c>
      <c r="AH80" s="74">
        <f>SUMIFS(разходи!$L:$L,разходи!$E:$E,'ПП Август'!$C$80,разходи!$M:$M,'ПП Август'!AH2)</f>
        <v>0</v>
      </c>
      <c r="AI80" s="76">
        <f>SUMIFS(разходи!$L:$L,разходи!$E:$E,'ПП Август'!$C$80,разходи!$M:$M,'ПП Август'!AI2)</f>
        <v>0</v>
      </c>
      <c r="AJ80" s="61">
        <f t="shared" si="16"/>
        <v>14037.72</v>
      </c>
      <c r="AK80" s="69">
        <f t="shared" si="3"/>
        <v>-14037.72</v>
      </c>
    </row>
    <row r="81" spans="1:37" s="39" customFormat="1" ht="20.100000000000001" customHeight="1" outlineLevel="2" x14ac:dyDescent="0.3">
      <c r="A81" s="37"/>
      <c r="B81" s="38"/>
      <c r="C81" s="50" t="s">
        <v>877</v>
      </c>
      <c r="D81" s="80"/>
      <c r="E81" s="74">
        <f>SUMIFS(разходи!$L:$L,разходи!$E:$E,'ПП Август'!$C$81,разходи!$M:$M,'ПП Август'!E2)</f>
        <v>0</v>
      </c>
      <c r="F81" s="74">
        <f>SUMIFS(разходи!$L:$L,разходи!$E:$E,'ПП Август'!$C$81,разходи!$M:$M,'ПП Август'!F2)</f>
        <v>0</v>
      </c>
      <c r="G81" s="76">
        <f>SUMIFS(разходи!$L:$L,разходи!$E:$E,'ПП Август'!$C$81,разходи!$M:$M,'ПП Август'!G2)</f>
        <v>0</v>
      </c>
      <c r="H81" s="76">
        <f>SUMIFS(разходи!$L:$L,разходи!$E:$E,'ПП Август'!$C$81,разходи!$M:$M,'ПП Август'!H2)</f>
        <v>0</v>
      </c>
      <c r="I81" s="74">
        <f>SUMIFS(разходи!$L:$L,разходи!$E:$E,'ПП Август'!$C$81,разходи!$M:$M,'ПП Август'!I2)</f>
        <v>0</v>
      </c>
      <c r="J81" s="74">
        <f>SUMIFS(разходи!$L:$L,разходи!$E:$E,'ПП Август'!$C$81,разходи!$M:$M,'ПП Август'!J2)</f>
        <v>0</v>
      </c>
      <c r="K81" s="74">
        <f>SUMIFS(разходи!$L:$L,разходи!$E:$E,'ПП Август'!$C$81,разходи!$M:$M,'ПП Август'!K2)</f>
        <v>0</v>
      </c>
      <c r="L81" s="74">
        <f>SUMIFS(разходи!$L:$L,разходи!$E:$E,'ПП Август'!$C$81,разходи!$M:$M,'ПП Август'!L2)</f>
        <v>0</v>
      </c>
      <c r="M81" s="74">
        <f>SUMIFS(разходи!$L:$L,разходи!$E:$E,'ПП Август'!$C$81,разходи!$M:$M,'ПП Август'!M2)</f>
        <v>0</v>
      </c>
      <c r="N81" s="76">
        <f>SUMIFS(разходи!$L:$L,разходи!$E:$E,'ПП Август'!$C$81,разходи!$M:$M,'ПП Август'!N2)</f>
        <v>0</v>
      </c>
      <c r="O81" s="76">
        <f>SUMIFS(разходи!$L:$L,разходи!$E:$E,'ПП Август'!$C$81,разходи!$M:$M,'ПП Август'!O2)</f>
        <v>0</v>
      </c>
      <c r="P81" s="74">
        <f>SUMIFS(разходи!$L:$L,разходи!$E:$E,'ПП Август'!$C$81,разходи!$M:$M,'ПП Август'!P2)</f>
        <v>0</v>
      </c>
      <c r="Q81" s="74">
        <f>SUMIFS(разходи!$L:$L,разходи!$E:$E,'ПП Август'!$C$81,разходи!$M:$M,'ПП Август'!Q2)</f>
        <v>0</v>
      </c>
      <c r="R81" s="74">
        <f>SUMIFS(разходи!$L:$L,разходи!$E:$E,'ПП Август'!$C$81,разходи!$M:$M,'ПП Август'!R2)</f>
        <v>0</v>
      </c>
      <c r="S81" s="74">
        <f>SUMIFS(разходи!$L:$L,разходи!$E:$E,'ПП Август'!$C$81,разходи!$M:$M,'ПП Август'!S2)</f>
        <v>0</v>
      </c>
      <c r="T81" s="74">
        <f>SUMIFS(разходи!$L:$L,разходи!$E:$E,'ПП Август'!$C$81,разходи!$M:$M,'ПП Август'!T2)</f>
        <v>0</v>
      </c>
      <c r="U81" s="76">
        <f>SUMIFS(разходи!$L:$L,разходи!$E:$E,'ПП Август'!$C$81,разходи!$M:$M,'ПП Август'!U2)</f>
        <v>0</v>
      </c>
      <c r="V81" s="76">
        <f>SUMIFS(разходи!$L:$L,разходи!$E:$E,'ПП Август'!$C$81,разходи!$M:$M,'ПП Август'!V2)</f>
        <v>0</v>
      </c>
      <c r="W81" s="74">
        <f>SUMIFS(разходи!$L:$L,разходи!$E:$E,'ПП Август'!$C$81,разходи!$M:$M,'ПП Август'!W2)</f>
        <v>0</v>
      </c>
      <c r="X81" s="74">
        <f>SUMIFS(разходи!$L:$L,разходи!$E:$E,'ПП Август'!$C$81,разходи!$M:$M,'ПП Август'!X2)</f>
        <v>0</v>
      </c>
      <c r="Y81" s="74">
        <f>SUMIFS(разходи!$L:$L,разходи!$E:$E,'ПП Август'!$C$81,разходи!$M:$M,'ПП Август'!Y2)</f>
        <v>0</v>
      </c>
      <c r="Z81" s="74">
        <f>SUMIFS(разходи!$L:$L,разходи!$E:$E,'ПП Август'!$C$81,разходи!$M:$M,'ПП Август'!Z2)</f>
        <v>0</v>
      </c>
      <c r="AA81" s="74">
        <f>SUMIFS(разходи!$L:$L,разходи!$E:$E,'ПП Август'!$C$81,разходи!$M:$M,'ПП Август'!AA2)</f>
        <v>0</v>
      </c>
      <c r="AB81" s="76">
        <f>SUMIFS(разходи!$L:$L,разходи!$E:$E,'ПП Август'!$C$81,разходи!$M:$M,'ПП Август'!AB2)</f>
        <v>0</v>
      </c>
      <c r="AC81" s="76">
        <f>SUMIFS(разходи!$L:$L,разходи!$E:$E,'ПП Август'!$C$81,разходи!$M:$M,'ПП Август'!AC2)</f>
        <v>0</v>
      </c>
      <c r="AD81" s="74">
        <f>SUMIFS(разходи!$L:$L,разходи!$E:$E,'ПП Август'!$C$81,разходи!$M:$M,'ПП Август'!AD2)</f>
        <v>0</v>
      </c>
      <c r="AE81" s="74">
        <f>SUMIFS(разходи!$L:$L,разходи!$E:$E,'ПП Август'!$C$81,разходи!$M:$M,'ПП Август'!AE2)</f>
        <v>0</v>
      </c>
      <c r="AF81" s="74">
        <f>SUMIFS(разходи!$L:$L,разходи!$E:$E,'ПП Август'!$C$81,разходи!$M:$M,'ПП Август'!AF2)</f>
        <v>0</v>
      </c>
      <c r="AG81" s="74">
        <f>SUMIFS(разходи!$L:$L,разходи!$E:$E,'ПП Август'!$C$81,разходи!$M:$M,'ПП Август'!AG2)</f>
        <v>0</v>
      </c>
      <c r="AH81" s="74">
        <f>SUMIFS(разходи!$L:$L,разходи!$E:$E,'ПП Август'!$C$81,разходи!$M:$M,'ПП Август'!AH2)</f>
        <v>0</v>
      </c>
      <c r="AI81" s="76">
        <f>SUMIFS(разходи!$L:$L,разходи!$E:$E,'ПП Август'!$C$81,разходи!$M:$M,'ПП Август'!AI2)</f>
        <v>0</v>
      </c>
      <c r="AJ81" s="61">
        <f t="shared" si="16"/>
        <v>0</v>
      </c>
      <c r="AK81" s="69">
        <f t="shared" si="3"/>
        <v>0</v>
      </c>
    </row>
    <row r="82" spans="1:37" s="47" customFormat="1" ht="20.100000000000001" customHeight="1" x14ac:dyDescent="0.25">
      <c r="A82" s="44"/>
      <c r="B82" s="45" t="s">
        <v>878</v>
      </c>
      <c r="C82" s="46" t="s">
        <v>879</v>
      </c>
      <c r="D82" s="54">
        <f t="shared" ref="D82:AI82" si="23">D3-D39</f>
        <v>2309507.548083039</v>
      </c>
      <c r="E82" s="54">
        <f t="shared" si="23"/>
        <v>-834369.65566552908</v>
      </c>
      <c r="F82" s="54">
        <f t="shared" si="23"/>
        <v>-125593.94</v>
      </c>
      <c r="G82" s="54">
        <f t="shared" si="23"/>
        <v>2356.9560000000001</v>
      </c>
      <c r="H82" s="54">
        <f t="shared" si="23"/>
        <v>0</v>
      </c>
      <c r="I82" s="54">
        <f t="shared" si="23"/>
        <v>-79872.739999999991</v>
      </c>
      <c r="J82" s="54">
        <f t="shared" si="23"/>
        <v>-84908.081999999995</v>
      </c>
      <c r="K82" s="54">
        <f t="shared" si="23"/>
        <v>0</v>
      </c>
      <c r="L82" s="54">
        <f t="shared" si="23"/>
        <v>-453099.38800000004</v>
      </c>
      <c r="M82" s="54">
        <f t="shared" si="23"/>
        <v>-260904.06256000002</v>
      </c>
      <c r="N82" s="54">
        <f t="shared" si="23"/>
        <v>0</v>
      </c>
      <c r="O82" s="54">
        <f t="shared" si="23"/>
        <v>0</v>
      </c>
      <c r="P82" s="54">
        <f t="shared" si="23"/>
        <v>-46990.75</v>
      </c>
      <c r="Q82" s="54">
        <f t="shared" si="23"/>
        <v>-696275.67210016004</v>
      </c>
      <c r="R82" s="54">
        <f t="shared" si="23"/>
        <v>-1084477.8360000001</v>
      </c>
      <c r="S82" s="54">
        <f t="shared" si="23"/>
        <v>-615686.74</v>
      </c>
      <c r="T82" s="54">
        <f t="shared" si="23"/>
        <v>0</v>
      </c>
      <c r="U82" s="54">
        <f t="shared" si="23"/>
        <v>0</v>
      </c>
      <c r="V82" s="54">
        <f t="shared" si="23"/>
        <v>0</v>
      </c>
      <c r="W82" s="54">
        <f t="shared" si="23"/>
        <v>0</v>
      </c>
      <c r="X82" s="54">
        <f t="shared" si="23"/>
        <v>-5978.4699999999993</v>
      </c>
      <c r="Y82" s="54">
        <f t="shared" si="23"/>
        <v>0</v>
      </c>
      <c r="Z82" s="54">
        <f t="shared" si="23"/>
        <v>-2123401.3359999997</v>
      </c>
      <c r="AA82" s="54">
        <f t="shared" si="23"/>
        <v>-1047206.5200000001</v>
      </c>
      <c r="AB82" s="54">
        <f t="shared" si="23"/>
        <v>0</v>
      </c>
      <c r="AC82" s="54">
        <f t="shared" si="23"/>
        <v>0</v>
      </c>
      <c r="AD82" s="54">
        <f t="shared" si="23"/>
        <v>0</v>
      </c>
      <c r="AE82" s="54">
        <f t="shared" si="23"/>
        <v>0</v>
      </c>
      <c r="AF82" s="54">
        <f t="shared" si="23"/>
        <v>0</v>
      </c>
      <c r="AG82" s="54">
        <f t="shared" si="23"/>
        <v>0</v>
      </c>
      <c r="AH82" s="54">
        <f t="shared" si="23"/>
        <v>3093.3</v>
      </c>
      <c r="AI82" s="54">
        <f t="shared" si="23"/>
        <v>0</v>
      </c>
      <c r="AJ82" s="54">
        <f t="shared" si="16"/>
        <v>-7453314.9363256898</v>
      </c>
      <c r="AK82" s="54">
        <f t="shared" si="3"/>
        <v>9762822.4844087288</v>
      </c>
    </row>
    <row r="83" spans="1:37" x14ac:dyDescent="0.25"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42"/>
      <c r="R83" s="42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8" spans="1:37" s="225" customFormat="1" x14ac:dyDescent="0.25">
      <c r="C88" s="276" t="s">
        <v>1191</v>
      </c>
      <c r="D88" s="277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9"/>
      <c r="R88" s="279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80"/>
      <c r="AK88" s="278"/>
    </row>
    <row r="89" spans="1:37" s="225" customFormat="1" x14ac:dyDescent="0.25">
      <c r="A89" s="226"/>
      <c r="B89" s="227"/>
      <c r="C89" s="228" t="s">
        <v>842</v>
      </c>
      <c r="D89" s="228" t="s">
        <v>843</v>
      </c>
      <c r="E89" s="230">
        <v>45505</v>
      </c>
      <c r="F89" s="230">
        <f t="shared" ref="F89:AI89" si="24">+E89+1</f>
        <v>45506</v>
      </c>
      <c r="G89" s="229">
        <f t="shared" si="24"/>
        <v>45507</v>
      </c>
      <c r="H89" s="229">
        <f t="shared" si="24"/>
        <v>45508</v>
      </c>
      <c r="I89" s="230">
        <f t="shared" si="24"/>
        <v>45509</v>
      </c>
      <c r="J89" s="230">
        <f t="shared" si="24"/>
        <v>45510</v>
      </c>
      <c r="K89" s="230">
        <f t="shared" si="24"/>
        <v>45511</v>
      </c>
      <c r="L89" s="230">
        <f t="shared" si="24"/>
        <v>45512</v>
      </c>
      <c r="M89" s="230">
        <f t="shared" si="24"/>
        <v>45513</v>
      </c>
      <c r="N89" s="229">
        <f t="shared" si="24"/>
        <v>45514</v>
      </c>
      <c r="O89" s="229">
        <f t="shared" si="24"/>
        <v>45515</v>
      </c>
      <c r="P89" s="230">
        <f t="shared" si="24"/>
        <v>45516</v>
      </c>
      <c r="Q89" s="231">
        <f t="shared" si="24"/>
        <v>45517</v>
      </c>
      <c r="R89" s="231">
        <f t="shared" si="24"/>
        <v>45518</v>
      </c>
      <c r="S89" s="230">
        <f t="shared" si="24"/>
        <v>45519</v>
      </c>
      <c r="T89" s="230">
        <f t="shared" si="24"/>
        <v>45520</v>
      </c>
      <c r="U89" s="229">
        <f t="shared" si="24"/>
        <v>45521</v>
      </c>
      <c r="V89" s="229">
        <f t="shared" si="24"/>
        <v>45522</v>
      </c>
      <c r="W89" s="230">
        <f t="shared" si="24"/>
        <v>45523</v>
      </c>
      <c r="X89" s="230">
        <f t="shared" si="24"/>
        <v>45524</v>
      </c>
      <c r="Y89" s="230">
        <f t="shared" si="24"/>
        <v>45525</v>
      </c>
      <c r="Z89" s="230">
        <f t="shared" si="24"/>
        <v>45526</v>
      </c>
      <c r="AA89" s="230">
        <f t="shared" si="24"/>
        <v>45527</v>
      </c>
      <c r="AB89" s="229">
        <f t="shared" si="24"/>
        <v>45528</v>
      </c>
      <c r="AC89" s="229">
        <f t="shared" si="24"/>
        <v>45529</v>
      </c>
      <c r="AD89" s="230">
        <f t="shared" si="24"/>
        <v>45530</v>
      </c>
      <c r="AE89" s="230">
        <f t="shared" si="24"/>
        <v>45531</v>
      </c>
      <c r="AF89" s="230">
        <f t="shared" si="24"/>
        <v>45532</v>
      </c>
      <c r="AG89" s="230">
        <f t="shared" si="24"/>
        <v>45533</v>
      </c>
      <c r="AH89" s="230">
        <f t="shared" si="24"/>
        <v>45534</v>
      </c>
      <c r="AI89" s="229">
        <f t="shared" si="24"/>
        <v>45535</v>
      </c>
      <c r="AJ89" s="232" t="s">
        <v>844</v>
      </c>
      <c r="AK89" s="233" t="s">
        <v>845</v>
      </c>
    </row>
    <row r="90" spans="1:37" s="238" customFormat="1" ht="18.75" x14ac:dyDescent="0.3">
      <c r="A90" s="234"/>
      <c r="B90" s="235" t="s">
        <v>846</v>
      </c>
      <c r="C90" s="236" t="s">
        <v>847</v>
      </c>
      <c r="D90" s="237">
        <f t="shared" ref="D90:AI90" si="25">SUM(D91,D98)</f>
        <v>0</v>
      </c>
      <c r="E90" s="237">
        <f t="shared" si="25"/>
        <v>0</v>
      </c>
      <c r="F90" s="237">
        <f t="shared" si="25"/>
        <v>0</v>
      </c>
      <c r="G90" s="237">
        <f t="shared" si="25"/>
        <v>0</v>
      </c>
      <c r="H90" s="237">
        <f t="shared" si="25"/>
        <v>0</v>
      </c>
      <c r="I90" s="237">
        <f t="shared" si="25"/>
        <v>0</v>
      </c>
      <c r="J90" s="237">
        <f t="shared" si="25"/>
        <v>0</v>
      </c>
      <c r="K90" s="237">
        <f t="shared" si="25"/>
        <v>0</v>
      </c>
      <c r="L90" s="237">
        <f t="shared" si="25"/>
        <v>0</v>
      </c>
      <c r="M90" s="237">
        <f t="shared" si="25"/>
        <v>0</v>
      </c>
      <c r="N90" s="237">
        <f t="shared" si="25"/>
        <v>0</v>
      </c>
      <c r="O90" s="237">
        <f t="shared" si="25"/>
        <v>0</v>
      </c>
      <c r="P90" s="237">
        <f t="shared" si="25"/>
        <v>0</v>
      </c>
      <c r="Q90" s="237">
        <f t="shared" si="25"/>
        <v>0</v>
      </c>
      <c r="R90" s="237">
        <f t="shared" si="25"/>
        <v>0</v>
      </c>
      <c r="S90" s="237">
        <f t="shared" si="25"/>
        <v>0</v>
      </c>
      <c r="T90" s="237">
        <f t="shared" si="25"/>
        <v>0</v>
      </c>
      <c r="U90" s="237">
        <f t="shared" si="25"/>
        <v>0</v>
      </c>
      <c r="V90" s="237">
        <f t="shared" si="25"/>
        <v>0</v>
      </c>
      <c r="W90" s="237">
        <f t="shared" si="25"/>
        <v>0</v>
      </c>
      <c r="X90" s="237">
        <f t="shared" si="25"/>
        <v>0</v>
      </c>
      <c r="Y90" s="237">
        <f t="shared" si="25"/>
        <v>0</v>
      </c>
      <c r="Z90" s="237">
        <f t="shared" si="25"/>
        <v>0</v>
      </c>
      <c r="AA90" s="237">
        <f t="shared" si="25"/>
        <v>0</v>
      </c>
      <c r="AB90" s="237">
        <f t="shared" si="25"/>
        <v>0</v>
      </c>
      <c r="AC90" s="237">
        <f t="shared" si="25"/>
        <v>0</v>
      </c>
      <c r="AD90" s="237">
        <f t="shared" si="25"/>
        <v>0</v>
      </c>
      <c r="AE90" s="237">
        <f t="shared" si="25"/>
        <v>0</v>
      </c>
      <c r="AF90" s="237">
        <f t="shared" si="25"/>
        <v>0</v>
      </c>
      <c r="AG90" s="237">
        <f t="shared" si="25"/>
        <v>0</v>
      </c>
      <c r="AH90" s="237">
        <f t="shared" si="25"/>
        <v>0</v>
      </c>
      <c r="AI90" s="237">
        <f t="shared" si="25"/>
        <v>0</v>
      </c>
      <c r="AJ90" s="237">
        <f t="shared" ref="AJ90:AJ121" si="26">SUM(E90:AI90)</f>
        <v>0</v>
      </c>
      <c r="AK90" s="237">
        <f t="shared" ref="AK90:AK121" si="27">+D90-AJ90</f>
        <v>0</v>
      </c>
    </row>
    <row r="91" spans="1:37" s="238" customFormat="1" ht="18.75" x14ac:dyDescent="0.3">
      <c r="B91" s="239" t="s">
        <v>848</v>
      </c>
      <c r="C91" s="240" t="s">
        <v>849</v>
      </c>
      <c r="D91" s="241">
        <f t="shared" ref="D91:AI91" si="28">SUM(D92,D96,D97)</f>
        <v>0</v>
      </c>
      <c r="E91" s="241">
        <f t="shared" si="28"/>
        <v>0</v>
      </c>
      <c r="F91" s="241">
        <f t="shared" si="28"/>
        <v>0</v>
      </c>
      <c r="G91" s="242">
        <f t="shared" si="28"/>
        <v>0</v>
      </c>
      <c r="H91" s="242">
        <f t="shared" si="28"/>
        <v>0</v>
      </c>
      <c r="I91" s="241">
        <f t="shared" si="28"/>
        <v>0</v>
      </c>
      <c r="J91" s="241">
        <f t="shared" si="28"/>
        <v>0</v>
      </c>
      <c r="K91" s="241">
        <f t="shared" si="28"/>
        <v>0</v>
      </c>
      <c r="L91" s="241">
        <f t="shared" si="28"/>
        <v>0</v>
      </c>
      <c r="M91" s="241">
        <f t="shared" si="28"/>
        <v>0</v>
      </c>
      <c r="N91" s="242">
        <f t="shared" si="28"/>
        <v>0</v>
      </c>
      <c r="O91" s="242">
        <f t="shared" si="28"/>
        <v>0</v>
      </c>
      <c r="P91" s="241">
        <f t="shared" si="28"/>
        <v>0</v>
      </c>
      <c r="Q91" s="241">
        <f t="shared" si="28"/>
        <v>0</v>
      </c>
      <c r="R91" s="241">
        <f t="shared" si="28"/>
        <v>0</v>
      </c>
      <c r="S91" s="241">
        <f t="shared" si="28"/>
        <v>0</v>
      </c>
      <c r="T91" s="241">
        <f t="shared" si="28"/>
        <v>0</v>
      </c>
      <c r="U91" s="242">
        <f t="shared" si="28"/>
        <v>0</v>
      </c>
      <c r="V91" s="242">
        <f t="shared" si="28"/>
        <v>0</v>
      </c>
      <c r="W91" s="241">
        <f t="shared" si="28"/>
        <v>0</v>
      </c>
      <c r="X91" s="241">
        <f t="shared" si="28"/>
        <v>0</v>
      </c>
      <c r="Y91" s="241">
        <f t="shared" si="28"/>
        <v>0</v>
      </c>
      <c r="Z91" s="241">
        <f t="shared" si="28"/>
        <v>0</v>
      </c>
      <c r="AA91" s="241">
        <f t="shared" si="28"/>
        <v>0</v>
      </c>
      <c r="AB91" s="242">
        <f t="shared" si="28"/>
        <v>0</v>
      </c>
      <c r="AC91" s="242">
        <f t="shared" si="28"/>
        <v>0</v>
      </c>
      <c r="AD91" s="241">
        <f t="shared" si="28"/>
        <v>0</v>
      </c>
      <c r="AE91" s="241">
        <f t="shared" si="28"/>
        <v>0</v>
      </c>
      <c r="AF91" s="241">
        <f t="shared" si="28"/>
        <v>0</v>
      </c>
      <c r="AG91" s="241">
        <f t="shared" si="28"/>
        <v>0</v>
      </c>
      <c r="AH91" s="241">
        <f t="shared" si="28"/>
        <v>0</v>
      </c>
      <c r="AI91" s="242">
        <f t="shared" si="28"/>
        <v>0</v>
      </c>
      <c r="AJ91" s="243">
        <f t="shared" si="26"/>
        <v>0</v>
      </c>
      <c r="AK91" s="244">
        <f t="shared" si="27"/>
        <v>0</v>
      </c>
    </row>
    <row r="92" spans="1:37" s="238" customFormat="1" ht="18.75" x14ac:dyDescent="0.3">
      <c r="B92" s="245">
        <v>1</v>
      </c>
      <c r="C92" s="246" t="s">
        <v>850</v>
      </c>
      <c r="D92" s="247">
        <f t="shared" ref="D92:AI92" si="29">SUM(D93:D95)</f>
        <v>0</v>
      </c>
      <c r="E92" s="247">
        <f t="shared" si="29"/>
        <v>0</v>
      </c>
      <c r="F92" s="247">
        <f t="shared" si="29"/>
        <v>0</v>
      </c>
      <c r="G92" s="248">
        <f t="shared" si="29"/>
        <v>0</v>
      </c>
      <c r="H92" s="248">
        <f t="shared" si="29"/>
        <v>0</v>
      </c>
      <c r="I92" s="247">
        <f t="shared" si="29"/>
        <v>0</v>
      </c>
      <c r="J92" s="247">
        <f t="shared" si="29"/>
        <v>0</v>
      </c>
      <c r="K92" s="247">
        <f t="shared" si="29"/>
        <v>0</v>
      </c>
      <c r="L92" s="247">
        <f t="shared" si="29"/>
        <v>0</v>
      </c>
      <c r="M92" s="247">
        <f t="shared" si="29"/>
        <v>0</v>
      </c>
      <c r="N92" s="248">
        <f t="shared" si="29"/>
        <v>0</v>
      </c>
      <c r="O92" s="248">
        <f t="shared" si="29"/>
        <v>0</v>
      </c>
      <c r="P92" s="247">
        <f t="shared" si="29"/>
        <v>0</v>
      </c>
      <c r="Q92" s="247">
        <f t="shared" si="29"/>
        <v>0</v>
      </c>
      <c r="R92" s="247">
        <f t="shared" si="29"/>
        <v>0</v>
      </c>
      <c r="S92" s="247">
        <f t="shared" si="29"/>
        <v>0</v>
      </c>
      <c r="T92" s="247">
        <f t="shared" si="29"/>
        <v>0</v>
      </c>
      <c r="U92" s="248">
        <f t="shared" si="29"/>
        <v>0</v>
      </c>
      <c r="V92" s="248">
        <f t="shared" si="29"/>
        <v>0</v>
      </c>
      <c r="W92" s="247">
        <f t="shared" si="29"/>
        <v>0</v>
      </c>
      <c r="X92" s="247">
        <f t="shared" si="29"/>
        <v>0</v>
      </c>
      <c r="Y92" s="247">
        <f t="shared" si="29"/>
        <v>0</v>
      </c>
      <c r="Z92" s="247">
        <f t="shared" si="29"/>
        <v>0</v>
      </c>
      <c r="AA92" s="247">
        <f t="shared" si="29"/>
        <v>0</v>
      </c>
      <c r="AB92" s="248">
        <f t="shared" si="29"/>
        <v>0</v>
      </c>
      <c r="AC92" s="248">
        <f t="shared" si="29"/>
        <v>0</v>
      </c>
      <c r="AD92" s="247">
        <f t="shared" si="29"/>
        <v>0</v>
      </c>
      <c r="AE92" s="247">
        <f t="shared" si="29"/>
        <v>0</v>
      </c>
      <c r="AF92" s="247">
        <f t="shared" si="29"/>
        <v>0</v>
      </c>
      <c r="AG92" s="247">
        <f t="shared" si="29"/>
        <v>0</v>
      </c>
      <c r="AH92" s="247">
        <f t="shared" si="29"/>
        <v>0</v>
      </c>
      <c r="AI92" s="248">
        <f t="shared" si="29"/>
        <v>0</v>
      </c>
      <c r="AJ92" s="249">
        <f t="shared" si="26"/>
        <v>0</v>
      </c>
      <c r="AK92" s="250">
        <f t="shared" si="27"/>
        <v>0</v>
      </c>
    </row>
    <row r="93" spans="1:37" s="251" customFormat="1" ht="19.5" outlineLevel="1" x14ac:dyDescent="0.3">
      <c r="B93" s="252"/>
      <c r="C93" s="246" t="s">
        <v>851</v>
      </c>
      <c r="D93" s="253"/>
      <c r="E93" s="247"/>
      <c r="F93" s="247"/>
      <c r="G93" s="248"/>
      <c r="H93" s="248"/>
      <c r="I93" s="247"/>
      <c r="J93" s="247"/>
      <c r="K93" s="247"/>
      <c r="L93" s="247"/>
      <c r="M93" s="247"/>
      <c r="N93" s="248"/>
      <c r="O93" s="248"/>
      <c r="P93" s="247"/>
      <c r="Q93" s="247"/>
      <c r="R93" s="247"/>
      <c r="S93" s="247"/>
      <c r="T93" s="247"/>
      <c r="U93" s="248"/>
      <c r="V93" s="248"/>
      <c r="W93" s="247"/>
      <c r="X93" s="247"/>
      <c r="Y93" s="247"/>
      <c r="Z93" s="247"/>
      <c r="AA93" s="247"/>
      <c r="AB93" s="248"/>
      <c r="AC93" s="248"/>
      <c r="AD93" s="247"/>
      <c r="AE93" s="247"/>
      <c r="AF93" s="247"/>
      <c r="AG93" s="247"/>
      <c r="AH93" s="247"/>
      <c r="AI93" s="248"/>
      <c r="AJ93" s="249">
        <f t="shared" si="26"/>
        <v>0</v>
      </c>
      <c r="AK93" s="254">
        <f t="shared" si="27"/>
        <v>0</v>
      </c>
    </row>
    <row r="94" spans="1:37" s="251" customFormat="1" ht="19.5" outlineLevel="1" x14ac:dyDescent="0.3">
      <c r="B94" s="252"/>
      <c r="C94" s="246" t="s">
        <v>53</v>
      </c>
      <c r="D94" s="253"/>
      <c r="E94" s="247"/>
      <c r="F94" s="247"/>
      <c r="G94" s="248"/>
      <c r="H94" s="248"/>
      <c r="I94" s="247"/>
      <c r="J94" s="247"/>
      <c r="K94" s="247"/>
      <c r="L94" s="247"/>
      <c r="M94" s="247"/>
      <c r="N94" s="248"/>
      <c r="O94" s="248"/>
      <c r="P94" s="247"/>
      <c r="Q94" s="247"/>
      <c r="R94" s="247"/>
      <c r="S94" s="247"/>
      <c r="T94" s="247"/>
      <c r="U94" s="248"/>
      <c r="V94" s="248"/>
      <c r="W94" s="247"/>
      <c r="X94" s="247"/>
      <c r="Y94" s="247"/>
      <c r="Z94" s="247"/>
      <c r="AA94" s="247"/>
      <c r="AB94" s="248"/>
      <c r="AC94" s="248"/>
      <c r="AD94" s="247"/>
      <c r="AE94" s="247"/>
      <c r="AF94" s="247"/>
      <c r="AG94" s="247"/>
      <c r="AH94" s="247"/>
      <c r="AI94" s="248"/>
      <c r="AJ94" s="249">
        <f t="shared" si="26"/>
        <v>0</v>
      </c>
      <c r="AK94" s="254">
        <f t="shared" si="27"/>
        <v>0</v>
      </c>
    </row>
    <row r="95" spans="1:37" s="251" customFormat="1" ht="19.5" outlineLevel="1" x14ac:dyDescent="0.3">
      <c r="B95" s="252"/>
      <c r="C95" s="246" t="s">
        <v>33</v>
      </c>
      <c r="D95" s="253"/>
      <c r="E95" s="247"/>
      <c r="F95" s="247"/>
      <c r="G95" s="248"/>
      <c r="H95" s="248"/>
      <c r="I95" s="247"/>
      <c r="J95" s="247"/>
      <c r="K95" s="247"/>
      <c r="L95" s="247"/>
      <c r="M95" s="247"/>
      <c r="N95" s="248"/>
      <c r="O95" s="248"/>
      <c r="P95" s="247"/>
      <c r="Q95" s="247"/>
      <c r="R95" s="247"/>
      <c r="S95" s="247"/>
      <c r="T95" s="247"/>
      <c r="U95" s="248"/>
      <c r="V95" s="248"/>
      <c r="W95" s="247"/>
      <c r="X95" s="247"/>
      <c r="Y95" s="247"/>
      <c r="Z95" s="247"/>
      <c r="AA95" s="247"/>
      <c r="AB95" s="248"/>
      <c r="AC95" s="248"/>
      <c r="AD95" s="247"/>
      <c r="AE95" s="247"/>
      <c r="AF95" s="247"/>
      <c r="AG95" s="247"/>
      <c r="AH95" s="247"/>
      <c r="AI95" s="248"/>
      <c r="AJ95" s="249">
        <f t="shared" si="26"/>
        <v>0</v>
      </c>
      <c r="AK95" s="254">
        <f t="shared" si="27"/>
        <v>0</v>
      </c>
    </row>
    <row r="96" spans="1:37" s="238" customFormat="1" ht="18.75" x14ac:dyDescent="0.3">
      <c r="B96" s="245">
        <v>2</v>
      </c>
      <c r="C96" s="246" t="s">
        <v>36</v>
      </c>
      <c r="D96" s="253"/>
      <c r="E96" s="247"/>
      <c r="F96" s="247"/>
      <c r="G96" s="248"/>
      <c r="H96" s="248"/>
      <c r="I96" s="247"/>
      <c r="J96" s="247"/>
      <c r="K96" s="247"/>
      <c r="L96" s="247"/>
      <c r="M96" s="247"/>
      <c r="N96" s="248"/>
      <c r="O96" s="248"/>
      <c r="P96" s="247"/>
      <c r="Q96" s="247"/>
      <c r="R96" s="247"/>
      <c r="S96" s="247"/>
      <c r="T96" s="247"/>
      <c r="U96" s="248"/>
      <c r="V96" s="248"/>
      <c r="W96" s="247"/>
      <c r="X96" s="247"/>
      <c r="Y96" s="247"/>
      <c r="Z96" s="247"/>
      <c r="AA96" s="247"/>
      <c r="AB96" s="248"/>
      <c r="AC96" s="248"/>
      <c r="AD96" s="247"/>
      <c r="AE96" s="247"/>
      <c r="AF96" s="247"/>
      <c r="AG96" s="247"/>
      <c r="AH96" s="247"/>
      <c r="AI96" s="248"/>
      <c r="AJ96" s="249">
        <f t="shared" si="26"/>
        <v>0</v>
      </c>
      <c r="AK96" s="254">
        <f t="shared" si="27"/>
        <v>0</v>
      </c>
    </row>
    <row r="97" spans="1:37" s="238" customFormat="1" ht="18.75" x14ac:dyDescent="0.3">
      <c r="B97" s="245">
        <v>3</v>
      </c>
      <c r="C97" s="246" t="s">
        <v>119</v>
      </c>
      <c r="D97" s="253"/>
      <c r="E97" s="247"/>
      <c r="F97" s="247"/>
      <c r="G97" s="248"/>
      <c r="H97" s="248"/>
      <c r="I97" s="247"/>
      <c r="J97" s="247"/>
      <c r="K97" s="247"/>
      <c r="L97" s="247"/>
      <c r="M97" s="247"/>
      <c r="N97" s="248"/>
      <c r="O97" s="248"/>
      <c r="P97" s="247"/>
      <c r="Q97" s="247"/>
      <c r="R97" s="247"/>
      <c r="S97" s="247"/>
      <c r="T97" s="247"/>
      <c r="U97" s="248"/>
      <c r="V97" s="248"/>
      <c r="W97" s="247"/>
      <c r="X97" s="247"/>
      <c r="Y97" s="247"/>
      <c r="Z97" s="247"/>
      <c r="AA97" s="247"/>
      <c r="AB97" s="248"/>
      <c r="AC97" s="248"/>
      <c r="AD97" s="247"/>
      <c r="AE97" s="247"/>
      <c r="AF97" s="247"/>
      <c r="AG97" s="247"/>
      <c r="AH97" s="247"/>
      <c r="AI97" s="248"/>
      <c r="AJ97" s="249">
        <f t="shared" si="26"/>
        <v>0</v>
      </c>
      <c r="AK97" s="254">
        <f t="shared" si="27"/>
        <v>0</v>
      </c>
    </row>
    <row r="98" spans="1:37" s="238" customFormat="1" ht="18.75" x14ac:dyDescent="0.3">
      <c r="B98" s="239" t="s">
        <v>852</v>
      </c>
      <c r="C98" s="240" t="s">
        <v>853</v>
      </c>
      <c r="D98" s="241">
        <f t="shared" ref="D98:AI98" si="30">SUM(D99:D100,D107,D108,D109)</f>
        <v>0</v>
      </c>
      <c r="E98" s="241">
        <f t="shared" si="30"/>
        <v>0</v>
      </c>
      <c r="F98" s="241">
        <f t="shared" si="30"/>
        <v>0</v>
      </c>
      <c r="G98" s="242">
        <f t="shared" si="30"/>
        <v>0</v>
      </c>
      <c r="H98" s="242">
        <f t="shared" si="30"/>
        <v>0</v>
      </c>
      <c r="I98" s="241">
        <f t="shared" si="30"/>
        <v>0</v>
      </c>
      <c r="J98" s="241">
        <f t="shared" si="30"/>
        <v>0</v>
      </c>
      <c r="K98" s="241">
        <f t="shared" si="30"/>
        <v>0</v>
      </c>
      <c r="L98" s="241">
        <f t="shared" si="30"/>
        <v>0</v>
      </c>
      <c r="M98" s="241">
        <f t="shared" si="30"/>
        <v>0</v>
      </c>
      <c r="N98" s="242">
        <f t="shared" si="30"/>
        <v>0</v>
      </c>
      <c r="O98" s="242">
        <f t="shared" si="30"/>
        <v>0</v>
      </c>
      <c r="P98" s="241">
        <f t="shared" si="30"/>
        <v>0</v>
      </c>
      <c r="Q98" s="241">
        <f t="shared" si="30"/>
        <v>0</v>
      </c>
      <c r="R98" s="241">
        <f t="shared" si="30"/>
        <v>0</v>
      </c>
      <c r="S98" s="241">
        <f t="shared" si="30"/>
        <v>0</v>
      </c>
      <c r="T98" s="241">
        <f t="shared" si="30"/>
        <v>0</v>
      </c>
      <c r="U98" s="242">
        <f t="shared" si="30"/>
        <v>0</v>
      </c>
      <c r="V98" s="242">
        <f t="shared" si="30"/>
        <v>0</v>
      </c>
      <c r="W98" s="241">
        <f t="shared" si="30"/>
        <v>0</v>
      </c>
      <c r="X98" s="241">
        <f t="shared" si="30"/>
        <v>0</v>
      </c>
      <c r="Y98" s="241">
        <f t="shared" si="30"/>
        <v>0</v>
      </c>
      <c r="Z98" s="241">
        <f t="shared" si="30"/>
        <v>0</v>
      </c>
      <c r="AA98" s="241">
        <f t="shared" si="30"/>
        <v>0</v>
      </c>
      <c r="AB98" s="242">
        <f t="shared" si="30"/>
        <v>0</v>
      </c>
      <c r="AC98" s="242">
        <f t="shared" si="30"/>
        <v>0</v>
      </c>
      <c r="AD98" s="241">
        <f t="shared" si="30"/>
        <v>0</v>
      </c>
      <c r="AE98" s="241">
        <f t="shared" si="30"/>
        <v>0</v>
      </c>
      <c r="AF98" s="241">
        <f t="shared" si="30"/>
        <v>0</v>
      </c>
      <c r="AG98" s="241">
        <f t="shared" si="30"/>
        <v>0</v>
      </c>
      <c r="AH98" s="241">
        <f t="shared" si="30"/>
        <v>0</v>
      </c>
      <c r="AI98" s="242">
        <f t="shared" si="30"/>
        <v>0</v>
      </c>
      <c r="AJ98" s="243">
        <f t="shared" si="26"/>
        <v>0</v>
      </c>
      <c r="AK98" s="244">
        <f t="shared" si="27"/>
        <v>0</v>
      </c>
    </row>
    <row r="99" spans="1:37" s="238" customFormat="1" ht="18.75" x14ac:dyDescent="0.3">
      <c r="B99" s="245">
        <v>1</v>
      </c>
      <c r="C99" s="246" t="s">
        <v>58</v>
      </c>
      <c r="D99" s="253"/>
      <c r="E99" s="247"/>
      <c r="F99" s="247"/>
      <c r="G99" s="248"/>
      <c r="H99" s="248"/>
      <c r="I99" s="247"/>
      <c r="J99" s="247"/>
      <c r="K99" s="247"/>
      <c r="L99" s="247"/>
      <c r="M99" s="247"/>
      <c r="N99" s="248"/>
      <c r="O99" s="248"/>
      <c r="P99" s="247"/>
      <c r="Q99" s="247"/>
      <c r="R99" s="247"/>
      <c r="S99" s="247"/>
      <c r="T99" s="247"/>
      <c r="U99" s="248"/>
      <c r="V99" s="248"/>
      <c r="W99" s="247"/>
      <c r="X99" s="247"/>
      <c r="Y99" s="247"/>
      <c r="Z99" s="247"/>
      <c r="AA99" s="247"/>
      <c r="AB99" s="248"/>
      <c r="AC99" s="248"/>
      <c r="AD99" s="247"/>
      <c r="AE99" s="247"/>
      <c r="AF99" s="247"/>
      <c r="AG99" s="247"/>
      <c r="AH99" s="247"/>
      <c r="AI99" s="248"/>
      <c r="AJ99" s="249">
        <f t="shared" si="26"/>
        <v>0</v>
      </c>
      <c r="AK99" s="254">
        <f t="shared" si="27"/>
        <v>0</v>
      </c>
    </row>
    <row r="100" spans="1:37" s="238" customFormat="1" ht="18.75" x14ac:dyDescent="0.3">
      <c r="B100" s="245">
        <v>2</v>
      </c>
      <c r="C100" s="246" t="s">
        <v>854</v>
      </c>
      <c r="D100" s="247">
        <f>SUM(D101:D105)</f>
        <v>0</v>
      </c>
      <c r="E100" s="247">
        <f t="shared" ref="E100:AI100" si="31">SUM(E101:E106)</f>
        <v>0</v>
      </c>
      <c r="F100" s="247">
        <f t="shared" si="31"/>
        <v>0</v>
      </c>
      <c r="G100" s="248">
        <f t="shared" si="31"/>
        <v>0</v>
      </c>
      <c r="H100" s="248">
        <f t="shared" si="31"/>
        <v>0</v>
      </c>
      <c r="I100" s="247">
        <f t="shared" si="31"/>
        <v>0</v>
      </c>
      <c r="J100" s="247">
        <f t="shared" si="31"/>
        <v>0</v>
      </c>
      <c r="K100" s="247">
        <f t="shared" si="31"/>
        <v>0</v>
      </c>
      <c r="L100" s="247">
        <f t="shared" si="31"/>
        <v>0</v>
      </c>
      <c r="M100" s="247">
        <f t="shared" si="31"/>
        <v>0</v>
      </c>
      <c r="N100" s="248">
        <f t="shared" si="31"/>
        <v>0</v>
      </c>
      <c r="O100" s="248">
        <f t="shared" si="31"/>
        <v>0</v>
      </c>
      <c r="P100" s="247">
        <f t="shared" si="31"/>
        <v>0</v>
      </c>
      <c r="Q100" s="247">
        <f t="shared" si="31"/>
        <v>0</v>
      </c>
      <c r="R100" s="247">
        <f t="shared" si="31"/>
        <v>0</v>
      </c>
      <c r="S100" s="247">
        <f t="shared" si="31"/>
        <v>0</v>
      </c>
      <c r="T100" s="247">
        <f t="shared" si="31"/>
        <v>0</v>
      </c>
      <c r="U100" s="248">
        <f t="shared" si="31"/>
        <v>0</v>
      </c>
      <c r="V100" s="248">
        <f t="shared" si="31"/>
        <v>0</v>
      </c>
      <c r="W100" s="247">
        <f t="shared" si="31"/>
        <v>0</v>
      </c>
      <c r="X100" s="247">
        <f t="shared" si="31"/>
        <v>0</v>
      </c>
      <c r="Y100" s="247">
        <f t="shared" si="31"/>
        <v>0</v>
      </c>
      <c r="Z100" s="247">
        <f t="shared" si="31"/>
        <v>0</v>
      </c>
      <c r="AA100" s="247">
        <f t="shared" si="31"/>
        <v>0</v>
      </c>
      <c r="AB100" s="248">
        <f t="shared" si="31"/>
        <v>0</v>
      </c>
      <c r="AC100" s="248">
        <f t="shared" si="31"/>
        <v>0</v>
      </c>
      <c r="AD100" s="247">
        <f t="shared" si="31"/>
        <v>0</v>
      </c>
      <c r="AE100" s="247">
        <f t="shared" si="31"/>
        <v>0</v>
      </c>
      <c r="AF100" s="247">
        <f t="shared" si="31"/>
        <v>0</v>
      </c>
      <c r="AG100" s="247">
        <f t="shared" si="31"/>
        <v>0</v>
      </c>
      <c r="AH100" s="247">
        <f t="shared" si="31"/>
        <v>0</v>
      </c>
      <c r="AI100" s="248">
        <f t="shared" si="31"/>
        <v>0</v>
      </c>
      <c r="AJ100" s="249">
        <f t="shared" si="26"/>
        <v>0</v>
      </c>
      <c r="AK100" s="250">
        <f t="shared" si="27"/>
        <v>0</v>
      </c>
    </row>
    <row r="101" spans="1:37" s="251" customFormat="1" ht="19.5" outlineLevel="1" x14ac:dyDescent="0.3">
      <c r="B101" s="252"/>
      <c r="C101" s="246" t="s">
        <v>76</v>
      </c>
      <c r="D101" s="253"/>
      <c r="E101" s="247"/>
      <c r="F101" s="247"/>
      <c r="G101" s="248"/>
      <c r="H101" s="248"/>
      <c r="I101" s="247"/>
      <c r="J101" s="247"/>
      <c r="K101" s="247"/>
      <c r="L101" s="247"/>
      <c r="M101" s="247"/>
      <c r="N101" s="248"/>
      <c r="O101" s="248"/>
      <c r="P101" s="247"/>
      <c r="Q101" s="247"/>
      <c r="R101" s="247"/>
      <c r="S101" s="247"/>
      <c r="T101" s="247"/>
      <c r="U101" s="248"/>
      <c r="V101" s="248"/>
      <c r="W101" s="247"/>
      <c r="X101" s="247"/>
      <c r="Y101" s="247"/>
      <c r="Z101" s="247"/>
      <c r="AA101" s="247"/>
      <c r="AB101" s="248"/>
      <c r="AC101" s="248"/>
      <c r="AD101" s="247"/>
      <c r="AE101" s="247"/>
      <c r="AF101" s="247"/>
      <c r="AG101" s="247"/>
      <c r="AH101" s="247"/>
      <c r="AI101" s="248"/>
      <c r="AJ101" s="249">
        <f t="shared" si="26"/>
        <v>0</v>
      </c>
      <c r="AK101" s="254">
        <f t="shared" si="27"/>
        <v>0</v>
      </c>
    </row>
    <row r="102" spans="1:37" s="251" customFormat="1" ht="19.5" outlineLevel="1" x14ac:dyDescent="0.3">
      <c r="B102" s="252"/>
      <c r="C102" s="246" t="s">
        <v>71</v>
      </c>
      <c r="D102" s="253"/>
      <c r="E102" s="247"/>
      <c r="F102" s="247"/>
      <c r="G102" s="248"/>
      <c r="H102" s="248"/>
      <c r="I102" s="247"/>
      <c r="J102" s="247"/>
      <c r="K102" s="247"/>
      <c r="L102" s="247"/>
      <c r="M102" s="247"/>
      <c r="N102" s="248"/>
      <c r="O102" s="248"/>
      <c r="P102" s="247"/>
      <c r="Q102" s="247"/>
      <c r="R102" s="247"/>
      <c r="S102" s="247"/>
      <c r="T102" s="247"/>
      <c r="U102" s="248"/>
      <c r="V102" s="248"/>
      <c r="W102" s="247"/>
      <c r="X102" s="247"/>
      <c r="Y102" s="247"/>
      <c r="Z102" s="247"/>
      <c r="AA102" s="247"/>
      <c r="AB102" s="248"/>
      <c r="AC102" s="248"/>
      <c r="AD102" s="247"/>
      <c r="AE102" s="247"/>
      <c r="AF102" s="247"/>
      <c r="AG102" s="247"/>
      <c r="AH102" s="247"/>
      <c r="AI102" s="248"/>
      <c r="AJ102" s="249">
        <f t="shared" si="26"/>
        <v>0</v>
      </c>
      <c r="AK102" s="254">
        <f t="shared" si="27"/>
        <v>0</v>
      </c>
    </row>
    <row r="103" spans="1:37" s="251" customFormat="1" ht="19.5" outlineLevel="1" x14ac:dyDescent="0.3">
      <c r="B103" s="252"/>
      <c r="C103" s="246" t="s">
        <v>63</v>
      </c>
      <c r="D103" s="253"/>
      <c r="E103" s="247"/>
      <c r="F103" s="247"/>
      <c r="G103" s="248"/>
      <c r="H103" s="248"/>
      <c r="I103" s="247"/>
      <c r="J103" s="247"/>
      <c r="K103" s="247"/>
      <c r="L103" s="247"/>
      <c r="M103" s="247"/>
      <c r="N103" s="248"/>
      <c r="O103" s="248"/>
      <c r="P103" s="247"/>
      <c r="Q103" s="247"/>
      <c r="R103" s="247"/>
      <c r="S103" s="247"/>
      <c r="T103" s="247"/>
      <c r="U103" s="248"/>
      <c r="V103" s="248"/>
      <c r="W103" s="247"/>
      <c r="X103" s="247"/>
      <c r="Y103" s="247"/>
      <c r="Z103" s="247"/>
      <c r="AA103" s="247"/>
      <c r="AB103" s="248"/>
      <c r="AC103" s="248"/>
      <c r="AD103" s="247"/>
      <c r="AE103" s="247"/>
      <c r="AF103" s="247"/>
      <c r="AG103" s="247"/>
      <c r="AH103" s="247"/>
      <c r="AI103" s="248"/>
      <c r="AJ103" s="249">
        <f t="shared" si="26"/>
        <v>0</v>
      </c>
      <c r="AK103" s="254">
        <f t="shared" si="27"/>
        <v>0</v>
      </c>
    </row>
    <row r="104" spans="1:37" s="251" customFormat="1" ht="19.5" outlineLevel="1" x14ac:dyDescent="0.3">
      <c r="B104" s="252"/>
      <c r="C104" s="246" t="s">
        <v>57</v>
      </c>
      <c r="D104" s="253"/>
      <c r="E104" s="247"/>
      <c r="F104" s="247"/>
      <c r="G104" s="248"/>
      <c r="H104" s="248"/>
      <c r="I104" s="247"/>
      <c r="J104" s="247"/>
      <c r="K104" s="247"/>
      <c r="L104" s="247"/>
      <c r="M104" s="247"/>
      <c r="N104" s="248"/>
      <c r="O104" s="248"/>
      <c r="P104" s="247"/>
      <c r="Q104" s="247"/>
      <c r="R104" s="247"/>
      <c r="S104" s="247"/>
      <c r="T104" s="247"/>
      <c r="U104" s="248"/>
      <c r="V104" s="248"/>
      <c r="W104" s="247"/>
      <c r="X104" s="247"/>
      <c r="Y104" s="247"/>
      <c r="Z104" s="247"/>
      <c r="AA104" s="247"/>
      <c r="AB104" s="248"/>
      <c r="AC104" s="248"/>
      <c r="AD104" s="247"/>
      <c r="AE104" s="247"/>
      <c r="AF104" s="247"/>
      <c r="AG104" s="247"/>
      <c r="AH104" s="247"/>
      <c r="AI104" s="248"/>
      <c r="AJ104" s="249">
        <f t="shared" si="26"/>
        <v>0</v>
      </c>
      <c r="AK104" s="254">
        <f t="shared" si="27"/>
        <v>0</v>
      </c>
    </row>
    <row r="105" spans="1:37" s="251" customFormat="1" ht="19.5" outlineLevel="1" x14ac:dyDescent="0.3">
      <c r="B105" s="252"/>
      <c r="C105" s="246" t="s">
        <v>120</v>
      </c>
      <c r="D105" s="253"/>
      <c r="E105" s="247"/>
      <c r="F105" s="247"/>
      <c r="G105" s="248"/>
      <c r="H105" s="248"/>
      <c r="I105" s="247"/>
      <c r="J105" s="247"/>
      <c r="K105" s="247"/>
      <c r="L105" s="247"/>
      <c r="M105" s="247"/>
      <c r="N105" s="248"/>
      <c r="O105" s="248"/>
      <c r="P105" s="247"/>
      <c r="Q105" s="247"/>
      <c r="R105" s="247"/>
      <c r="S105" s="247"/>
      <c r="T105" s="247"/>
      <c r="U105" s="248"/>
      <c r="V105" s="248"/>
      <c r="W105" s="247"/>
      <c r="X105" s="247"/>
      <c r="Y105" s="247"/>
      <c r="Z105" s="247"/>
      <c r="AA105" s="247"/>
      <c r="AB105" s="248"/>
      <c r="AC105" s="248"/>
      <c r="AD105" s="247"/>
      <c r="AE105" s="247"/>
      <c r="AF105" s="247"/>
      <c r="AG105" s="247"/>
      <c r="AH105" s="247"/>
      <c r="AI105" s="248"/>
      <c r="AJ105" s="249">
        <f t="shared" si="26"/>
        <v>0</v>
      </c>
      <c r="AK105" s="254">
        <f t="shared" si="27"/>
        <v>0</v>
      </c>
    </row>
    <row r="106" spans="1:37" s="251" customFormat="1" ht="19.5" outlineLevel="1" x14ac:dyDescent="0.3">
      <c r="A106" s="255"/>
      <c r="B106" s="252"/>
      <c r="C106" s="246" t="s">
        <v>56</v>
      </c>
      <c r="D106" s="253"/>
      <c r="E106" s="247"/>
      <c r="F106" s="247"/>
      <c r="G106" s="248"/>
      <c r="H106" s="248"/>
      <c r="I106" s="247"/>
      <c r="J106" s="247"/>
      <c r="K106" s="247"/>
      <c r="L106" s="247"/>
      <c r="M106" s="247"/>
      <c r="N106" s="248"/>
      <c r="O106" s="248"/>
      <c r="P106" s="247"/>
      <c r="Q106" s="247"/>
      <c r="R106" s="247"/>
      <c r="S106" s="247"/>
      <c r="T106" s="247"/>
      <c r="U106" s="248"/>
      <c r="V106" s="248"/>
      <c r="W106" s="247"/>
      <c r="X106" s="247"/>
      <c r="Y106" s="247"/>
      <c r="Z106" s="247"/>
      <c r="AA106" s="247"/>
      <c r="AB106" s="248"/>
      <c r="AC106" s="248"/>
      <c r="AD106" s="247"/>
      <c r="AE106" s="247"/>
      <c r="AF106" s="247"/>
      <c r="AG106" s="247"/>
      <c r="AH106" s="247"/>
      <c r="AI106" s="248"/>
      <c r="AJ106" s="249">
        <f t="shared" si="26"/>
        <v>0</v>
      </c>
      <c r="AK106" s="254">
        <f t="shared" si="27"/>
        <v>0</v>
      </c>
    </row>
    <row r="107" spans="1:37" s="238" customFormat="1" ht="18.75" x14ac:dyDescent="0.3">
      <c r="B107" s="245">
        <v>3</v>
      </c>
      <c r="C107" s="246" t="s">
        <v>54</v>
      </c>
      <c r="D107" s="253"/>
      <c r="E107" s="247"/>
      <c r="F107" s="247"/>
      <c r="G107" s="248"/>
      <c r="H107" s="248"/>
      <c r="I107" s="247"/>
      <c r="J107" s="247"/>
      <c r="K107" s="247"/>
      <c r="L107" s="247"/>
      <c r="M107" s="247"/>
      <c r="N107" s="248"/>
      <c r="O107" s="248"/>
      <c r="P107" s="247"/>
      <c r="Q107" s="247"/>
      <c r="R107" s="247"/>
      <c r="S107" s="247"/>
      <c r="T107" s="247"/>
      <c r="U107" s="248"/>
      <c r="V107" s="248"/>
      <c r="W107" s="247"/>
      <c r="X107" s="247"/>
      <c r="Y107" s="247"/>
      <c r="Z107" s="247"/>
      <c r="AA107" s="247"/>
      <c r="AB107" s="248"/>
      <c r="AC107" s="248"/>
      <c r="AD107" s="247"/>
      <c r="AE107" s="247"/>
      <c r="AF107" s="247"/>
      <c r="AG107" s="247"/>
      <c r="AH107" s="247"/>
      <c r="AI107" s="248"/>
      <c r="AJ107" s="249">
        <f t="shared" si="26"/>
        <v>0</v>
      </c>
      <c r="AK107" s="254">
        <f t="shared" si="27"/>
        <v>0</v>
      </c>
    </row>
    <row r="108" spans="1:37" s="238" customFormat="1" ht="18.75" x14ac:dyDescent="0.3">
      <c r="B108" s="245">
        <v>4</v>
      </c>
      <c r="C108" s="246" t="s">
        <v>855</v>
      </c>
      <c r="D108" s="253"/>
      <c r="E108" s="247"/>
      <c r="F108" s="247"/>
      <c r="G108" s="248"/>
      <c r="H108" s="248"/>
      <c r="I108" s="247"/>
      <c r="J108" s="247"/>
      <c r="K108" s="247"/>
      <c r="L108" s="247"/>
      <c r="M108" s="247"/>
      <c r="N108" s="248"/>
      <c r="O108" s="248"/>
      <c r="P108" s="247"/>
      <c r="Q108" s="247"/>
      <c r="R108" s="247"/>
      <c r="S108" s="247"/>
      <c r="T108" s="247"/>
      <c r="U108" s="248"/>
      <c r="V108" s="248"/>
      <c r="W108" s="247"/>
      <c r="X108" s="247"/>
      <c r="Y108" s="247"/>
      <c r="Z108" s="247"/>
      <c r="AA108" s="247"/>
      <c r="AB108" s="248"/>
      <c r="AC108" s="248"/>
      <c r="AD108" s="247"/>
      <c r="AE108" s="247"/>
      <c r="AF108" s="247"/>
      <c r="AG108" s="247"/>
      <c r="AH108" s="247"/>
      <c r="AI108" s="248"/>
      <c r="AJ108" s="249">
        <f t="shared" si="26"/>
        <v>0</v>
      </c>
      <c r="AK108" s="254">
        <f t="shared" si="27"/>
        <v>0</v>
      </c>
    </row>
    <row r="109" spans="1:37" s="238" customFormat="1" ht="18.75" x14ac:dyDescent="0.3">
      <c r="B109" s="245">
        <v>5</v>
      </c>
      <c r="C109" s="246" t="s">
        <v>108</v>
      </c>
      <c r="D109" s="253"/>
      <c r="E109" s="247"/>
      <c r="F109" s="247"/>
      <c r="G109" s="248"/>
      <c r="H109" s="248"/>
      <c r="I109" s="247"/>
      <c r="J109" s="247"/>
      <c r="K109" s="247"/>
      <c r="L109" s="247"/>
      <c r="M109" s="247"/>
      <c r="N109" s="248"/>
      <c r="O109" s="248"/>
      <c r="P109" s="247"/>
      <c r="Q109" s="247"/>
      <c r="R109" s="247"/>
      <c r="S109" s="247"/>
      <c r="T109" s="247"/>
      <c r="U109" s="248"/>
      <c r="V109" s="248"/>
      <c r="W109" s="247"/>
      <c r="X109" s="247"/>
      <c r="Y109" s="247"/>
      <c r="Z109" s="247"/>
      <c r="AA109" s="247"/>
      <c r="AB109" s="248"/>
      <c r="AC109" s="248"/>
      <c r="AD109" s="247"/>
      <c r="AE109" s="247"/>
      <c r="AF109" s="247"/>
      <c r="AG109" s="247"/>
      <c r="AH109" s="247"/>
      <c r="AI109" s="248"/>
      <c r="AJ109" s="249">
        <f t="shared" si="26"/>
        <v>0</v>
      </c>
      <c r="AK109" s="254">
        <f t="shared" si="27"/>
        <v>0</v>
      </c>
    </row>
    <row r="110" spans="1:37" s="238" customFormat="1" ht="18.75" x14ac:dyDescent="0.3">
      <c r="B110" s="235" t="s">
        <v>856</v>
      </c>
      <c r="C110" s="236" t="s">
        <v>857</v>
      </c>
      <c r="D110" s="237">
        <f t="shared" ref="D110:AI110" si="32">SUM(D111,D116,D123,D128,D129)</f>
        <v>8965196.9335049614</v>
      </c>
      <c r="E110" s="237">
        <f t="shared" si="32"/>
        <v>61549</v>
      </c>
      <c r="F110" s="237">
        <f t="shared" si="32"/>
        <v>61549</v>
      </c>
      <c r="G110" s="237">
        <f t="shared" si="32"/>
        <v>0</v>
      </c>
      <c r="H110" s="237">
        <f t="shared" si="32"/>
        <v>0</v>
      </c>
      <c r="I110" s="237">
        <f t="shared" si="32"/>
        <v>61549</v>
      </c>
      <c r="J110" s="237">
        <f t="shared" si="32"/>
        <v>61549</v>
      </c>
      <c r="K110" s="237">
        <f t="shared" si="32"/>
        <v>61549</v>
      </c>
      <c r="L110" s="237">
        <f t="shared" si="32"/>
        <v>61549</v>
      </c>
      <c r="M110" s="237">
        <f t="shared" si="32"/>
        <v>640375.03350496013</v>
      </c>
      <c r="N110" s="237">
        <f t="shared" si="32"/>
        <v>0</v>
      </c>
      <c r="O110" s="237">
        <f t="shared" si="32"/>
        <v>0</v>
      </c>
      <c r="P110" s="237">
        <f t="shared" si="32"/>
        <v>61549</v>
      </c>
      <c r="Q110" s="237">
        <f t="shared" si="32"/>
        <v>732141</v>
      </c>
      <c r="R110" s="237">
        <f t="shared" si="32"/>
        <v>1146287</v>
      </c>
      <c r="S110" s="237">
        <f t="shared" si="32"/>
        <v>61549</v>
      </c>
      <c r="T110" s="237">
        <f t="shared" si="32"/>
        <v>1254155</v>
      </c>
      <c r="U110" s="237">
        <f t="shared" si="32"/>
        <v>0</v>
      </c>
      <c r="V110" s="237">
        <f t="shared" si="32"/>
        <v>0</v>
      </c>
      <c r="W110" s="237">
        <f t="shared" si="32"/>
        <v>110749</v>
      </c>
      <c r="X110" s="237">
        <f t="shared" si="32"/>
        <v>61549</v>
      </c>
      <c r="Y110" s="237">
        <f t="shared" si="32"/>
        <v>61549</v>
      </c>
      <c r="Z110" s="237">
        <f t="shared" si="32"/>
        <v>61549</v>
      </c>
      <c r="AA110" s="237">
        <f t="shared" si="32"/>
        <v>61549</v>
      </c>
      <c r="AB110" s="237">
        <f t="shared" si="32"/>
        <v>0</v>
      </c>
      <c r="AC110" s="237">
        <f t="shared" si="32"/>
        <v>0</v>
      </c>
      <c r="AD110" s="237">
        <f t="shared" si="32"/>
        <v>4084347</v>
      </c>
      <c r="AE110" s="237">
        <f t="shared" si="32"/>
        <v>73907.902432000003</v>
      </c>
      <c r="AF110" s="237">
        <f t="shared" si="32"/>
        <v>61549</v>
      </c>
      <c r="AG110" s="237">
        <f t="shared" si="32"/>
        <v>61549</v>
      </c>
      <c r="AH110" s="237">
        <f t="shared" si="32"/>
        <v>61549</v>
      </c>
      <c r="AI110" s="237">
        <f t="shared" si="32"/>
        <v>0</v>
      </c>
      <c r="AJ110" s="237">
        <f t="shared" si="26"/>
        <v>8965196.9359369595</v>
      </c>
      <c r="AK110" s="237">
        <f t="shared" si="27"/>
        <v>-2.4319980293512344E-3</v>
      </c>
    </row>
    <row r="111" spans="1:37" s="238" customFormat="1" ht="18.75" x14ac:dyDescent="0.3">
      <c r="B111" s="245">
        <v>1</v>
      </c>
      <c r="C111" s="246" t="s">
        <v>858</v>
      </c>
      <c r="D111" s="241">
        <f t="shared" ref="D111:AI111" si="33">SUM(D112:D115)</f>
        <v>8324812</v>
      </c>
      <c r="E111" s="241">
        <f t="shared" si="33"/>
        <v>61549</v>
      </c>
      <c r="F111" s="241">
        <f t="shared" si="33"/>
        <v>61549</v>
      </c>
      <c r="G111" s="242">
        <f t="shared" si="33"/>
        <v>0</v>
      </c>
      <c r="H111" s="242">
        <f t="shared" si="33"/>
        <v>0</v>
      </c>
      <c r="I111" s="241">
        <f t="shared" si="33"/>
        <v>61549</v>
      </c>
      <c r="J111" s="241">
        <f t="shared" si="33"/>
        <v>61549</v>
      </c>
      <c r="K111" s="241">
        <f t="shared" si="33"/>
        <v>61549</v>
      </c>
      <c r="L111" s="241">
        <f t="shared" si="33"/>
        <v>61549</v>
      </c>
      <c r="M111" s="241">
        <f t="shared" si="33"/>
        <v>61549</v>
      </c>
      <c r="N111" s="242">
        <f t="shared" si="33"/>
        <v>0</v>
      </c>
      <c r="O111" s="242">
        <f t="shared" si="33"/>
        <v>0</v>
      </c>
      <c r="P111" s="241">
        <f t="shared" si="33"/>
        <v>61549</v>
      </c>
      <c r="Q111" s="241">
        <f t="shared" si="33"/>
        <v>732141</v>
      </c>
      <c r="R111" s="241">
        <f t="shared" si="33"/>
        <v>1146287</v>
      </c>
      <c r="S111" s="241">
        <f t="shared" si="33"/>
        <v>61549</v>
      </c>
      <c r="T111" s="241">
        <f t="shared" si="33"/>
        <v>1254155</v>
      </c>
      <c r="U111" s="242">
        <f t="shared" si="33"/>
        <v>0</v>
      </c>
      <c r="V111" s="242">
        <f t="shared" si="33"/>
        <v>0</v>
      </c>
      <c r="W111" s="241">
        <f t="shared" si="33"/>
        <v>61549</v>
      </c>
      <c r="X111" s="241">
        <f t="shared" si="33"/>
        <v>61549</v>
      </c>
      <c r="Y111" s="241">
        <f t="shared" si="33"/>
        <v>61549</v>
      </c>
      <c r="Z111" s="241">
        <f t="shared" si="33"/>
        <v>61549</v>
      </c>
      <c r="AA111" s="241">
        <f t="shared" si="33"/>
        <v>61549</v>
      </c>
      <c r="AB111" s="242">
        <f t="shared" si="33"/>
        <v>0</v>
      </c>
      <c r="AC111" s="242">
        <f t="shared" si="33"/>
        <v>0</v>
      </c>
      <c r="AD111" s="241">
        <f t="shared" si="33"/>
        <v>4084347</v>
      </c>
      <c r="AE111" s="241">
        <f t="shared" si="33"/>
        <v>61549</v>
      </c>
      <c r="AF111" s="241">
        <f t="shared" si="33"/>
        <v>61549</v>
      </c>
      <c r="AG111" s="241">
        <f t="shared" si="33"/>
        <v>61549</v>
      </c>
      <c r="AH111" s="241">
        <f t="shared" si="33"/>
        <v>61549</v>
      </c>
      <c r="AI111" s="242">
        <f t="shared" si="33"/>
        <v>0</v>
      </c>
      <c r="AJ111" s="249">
        <f t="shared" si="26"/>
        <v>8324812</v>
      </c>
      <c r="AK111" s="244">
        <f t="shared" si="27"/>
        <v>0</v>
      </c>
    </row>
    <row r="112" spans="1:37" s="259" customFormat="1" ht="19.5" outlineLevel="1" x14ac:dyDescent="0.3">
      <c r="A112" s="256"/>
      <c r="B112" s="257"/>
      <c r="C112" s="258" t="s">
        <v>859</v>
      </c>
      <c r="D112" s="253"/>
      <c r="E112" s="247"/>
      <c r="F112" s="247"/>
      <c r="G112" s="248"/>
      <c r="H112" s="248"/>
      <c r="I112" s="247"/>
      <c r="J112" s="247"/>
      <c r="K112" s="247"/>
      <c r="L112" s="247"/>
      <c r="M112" s="247"/>
      <c r="N112" s="248"/>
      <c r="O112" s="248"/>
      <c r="P112" s="247"/>
      <c r="Q112" s="247"/>
      <c r="R112" s="247"/>
      <c r="S112" s="247"/>
      <c r="T112" s="247"/>
      <c r="U112" s="248"/>
      <c r="V112" s="248"/>
      <c r="W112" s="247"/>
      <c r="X112" s="247"/>
      <c r="Y112" s="247"/>
      <c r="Z112" s="247"/>
      <c r="AA112" s="247"/>
      <c r="AB112" s="248"/>
      <c r="AC112" s="248"/>
      <c r="AD112" s="247"/>
      <c r="AE112" s="247"/>
      <c r="AF112" s="247"/>
      <c r="AG112" s="247"/>
      <c r="AH112" s="247"/>
      <c r="AI112" s="248"/>
      <c r="AJ112" s="249">
        <f t="shared" si="26"/>
        <v>0</v>
      </c>
      <c r="AK112" s="254">
        <f t="shared" si="27"/>
        <v>0</v>
      </c>
    </row>
    <row r="113" spans="1:37" s="251" customFormat="1" ht="19.5" outlineLevel="1" x14ac:dyDescent="0.3">
      <c r="A113" s="260"/>
      <c r="B113" s="252"/>
      <c r="C113" s="246" t="s">
        <v>263</v>
      </c>
      <c r="D113" s="253">
        <v>6903534</v>
      </c>
      <c r="E113" s="247"/>
      <c r="F113" s="247"/>
      <c r="G113" s="248"/>
      <c r="H113" s="248"/>
      <c r="I113" s="247"/>
      <c r="J113" s="247"/>
      <c r="K113" s="247"/>
      <c r="L113" s="247"/>
      <c r="M113" s="247"/>
      <c r="N113" s="248"/>
      <c r="O113" s="248"/>
      <c r="P113" s="247"/>
      <c r="Q113" s="247">
        <v>670592</v>
      </c>
      <c r="R113" s="247">
        <v>1084738</v>
      </c>
      <c r="S113" s="247"/>
      <c r="T113" s="247">
        <v>1192606</v>
      </c>
      <c r="U113" s="248"/>
      <c r="V113" s="248"/>
      <c r="W113" s="247"/>
      <c r="X113" s="247"/>
      <c r="Y113" s="247"/>
      <c r="Z113" s="247"/>
      <c r="AA113" s="247"/>
      <c r="AB113" s="248"/>
      <c r="AC113" s="248"/>
      <c r="AD113" s="247">
        <v>3955598</v>
      </c>
      <c r="AE113" s="247"/>
      <c r="AF113" s="247"/>
      <c r="AG113" s="247"/>
      <c r="AH113" s="247"/>
      <c r="AI113" s="248"/>
      <c r="AJ113" s="249">
        <f t="shared" si="26"/>
        <v>6903534</v>
      </c>
      <c r="AK113" s="254">
        <f t="shared" si="27"/>
        <v>0</v>
      </c>
    </row>
    <row r="114" spans="1:37" s="251" customFormat="1" ht="19.5" outlineLevel="1" x14ac:dyDescent="0.3">
      <c r="A114" s="260"/>
      <c r="B114" s="252"/>
      <c r="C114" s="246" t="s">
        <v>131</v>
      </c>
      <c r="D114" s="253">
        <v>1354078</v>
      </c>
      <c r="E114" s="247">
        <v>61549</v>
      </c>
      <c r="F114" s="247">
        <v>61549</v>
      </c>
      <c r="G114" s="248"/>
      <c r="H114" s="248"/>
      <c r="I114" s="247">
        <v>61549</v>
      </c>
      <c r="J114" s="247">
        <v>61549</v>
      </c>
      <c r="K114" s="247">
        <v>61549</v>
      </c>
      <c r="L114" s="247">
        <v>61549</v>
      </c>
      <c r="M114" s="247">
        <v>61549</v>
      </c>
      <c r="N114" s="248"/>
      <c r="O114" s="248"/>
      <c r="P114" s="247">
        <v>61549</v>
      </c>
      <c r="Q114" s="247">
        <v>61549</v>
      </c>
      <c r="R114" s="247">
        <v>61549</v>
      </c>
      <c r="S114" s="247">
        <v>61549</v>
      </c>
      <c r="T114" s="247">
        <v>61549</v>
      </c>
      <c r="U114" s="248"/>
      <c r="V114" s="248"/>
      <c r="W114" s="247">
        <v>61549</v>
      </c>
      <c r="X114" s="247">
        <v>61549</v>
      </c>
      <c r="Y114" s="247">
        <v>61549</v>
      </c>
      <c r="Z114" s="247">
        <v>61549</v>
      </c>
      <c r="AA114" s="247">
        <v>61549</v>
      </c>
      <c r="AB114" s="248"/>
      <c r="AC114" s="248"/>
      <c r="AD114" s="247">
        <v>61549</v>
      </c>
      <c r="AE114" s="247">
        <v>61549</v>
      </c>
      <c r="AF114" s="247">
        <v>61549</v>
      </c>
      <c r="AG114" s="247">
        <v>61549</v>
      </c>
      <c r="AH114" s="247">
        <v>61549</v>
      </c>
      <c r="AI114" s="248"/>
      <c r="AJ114" s="249">
        <f t="shared" si="26"/>
        <v>1354078</v>
      </c>
      <c r="AK114" s="254">
        <f t="shared" si="27"/>
        <v>0</v>
      </c>
    </row>
    <row r="115" spans="1:37" s="251" customFormat="1" ht="19.5" outlineLevel="1" x14ac:dyDescent="0.3">
      <c r="A115" s="260"/>
      <c r="B115" s="252"/>
      <c r="C115" s="246" t="s">
        <v>328</v>
      </c>
      <c r="D115" s="253">
        <v>67200</v>
      </c>
      <c r="E115" s="247"/>
      <c r="F115" s="247"/>
      <c r="G115" s="248"/>
      <c r="H115" s="248"/>
      <c r="I115" s="247"/>
      <c r="J115" s="247"/>
      <c r="K115" s="247"/>
      <c r="L115" s="247"/>
      <c r="M115" s="247"/>
      <c r="N115" s="248"/>
      <c r="O115" s="248"/>
      <c r="P115" s="247"/>
      <c r="Q115" s="247"/>
      <c r="R115" s="247"/>
      <c r="S115" s="247"/>
      <c r="T115" s="247"/>
      <c r="U115" s="248"/>
      <c r="V115" s="248"/>
      <c r="W115" s="247"/>
      <c r="X115" s="247"/>
      <c r="Y115" s="247"/>
      <c r="Z115" s="247"/>
      <c r="AA115" s="247"/>
      <c r="AB115" s="248"/>
      <c r="AC115" s="248"/>
      <c r="AD115" s="247">
        <v>67200</v>
      </c>
      <c r="AE115" s="247"/>
      <c r="AF115" s="247"/>
      <c r="AG115" s="247"/>
      <c r="AH115" s="247"/>
      <c r="AI115" s="248"/>
      <c r="AJ115" s="249">
        <f t="shared" si="26"/>
        <v>67200</v>
      </c>
      <c r="AK115" s="254">
        <f t="shared" si="27"/>
        <v>0</v>
      </c>
    </row>
    <row r="116" spans="1:37" s="238" customFormat="1" ht="18.75" x14ac:dyDescent="0.3">
      <c r="A116" s="261"/>
      <c r="B116" s="245">
        <v>2</v>
      </c>
      <c r="C116" s="246" t="s">
        <v>860</v>
      </c>
      <c r="D116" s="247">
        <f t="shared" ref="D116:AI116" si="34">SUM(D117:D122)</f>
        <v>228871.85179680004</v>
      </c>
      <c r="E116" s="247">
        <f t="shared" si="34"/>
        <v>0</v>
      </c>
      <c r="F116" s="247">
        <f t="shared" si="34"/>
        <v>0</v>
      </c>
      <c r="G116" s="248">
        <f t="shared" si="34"/>
        <v>0</v>
      </c>
      <c r="H116" s="248">
        <f t="shared" si="34"/>
        <v>0</v>
      </c>
      <c r="I116" s="247">
        <f t="shared" si="34"/>
        <v>0</v>
      </c>
      <c r="J116" s="247">
        <f t="shared" si="34"/>
        <v>0</v>
      </c>
      <c r="K116" s="247">
        <f t="shared" si="34"/>
        <v>0</v>
      </c>
      <c r="L116" s="247">
        <f t="shared" si="34"/>
        <v>0</v>
      </c>
      <c r="M116" s="247">
        <f t="shared" si="34"/>
        <v>228871.85179680004</v>
      </c>
      <c r="N116" s="248">
        <f t="shared" si="34"/>
        <v>0</v>
      </c>
      <c r="O116" s="248">
        <f t="shared" si="34"/>
        <v>0</v>
      </c>
      <c r="P116" s="247">
        <f t="shared" si="34"/>
        <v>0</v>
      </c>
      <c r="Q116" s="247">
        <f t="shared" si="34"/>
        <v>0</v>
      </c>
      <c r="R116" s="247">
        <f t="shared" si="34"/>
        <v>0</v>
      </c>
      <c r="S116" s="247">
        <f t="shared" si="34"/>
        <v>0</v>
      </c>
      <c r="T116" s="247">
        <f t="shared" si="34"/>
        <v>0</v>
      </c>
      <c r="U116" s="248">
        <f t="shared" si="34"/>
        <v>0</v>
      </c>
      <c r="V116" s="248">
        <f t="shared" si="34"/>
        <v>0</v>
      </c>
      <c r="W116" s="247">
        <f t="shared" si="34"/>
        <v>0</v>
      </c>
      <c r="X116" s="247">
        <f t="shared" si="34"/>
        <v>0</v>
      </c>
      <c r="Y116" s="247">
        <f t="shared" si="34"/>
        <v>0</v>
      </c>
      <c r="Z116" s="247">
        <f t="shared" si="34"/>
        <v>0</v>
      </c>
      <c r="AA116" s="247">
        <f t="shared" si="34"/>
        <v>0</v>
      </c>
      <c r="AB116" s="248">
        <f t="shared" si="34"/>
        <v>0</v>
      </c>
      <c r="AC116" s="248">
        <f t="shared" si="34"/>
        <v>0</v>
      </c>
      <c r="AD116" s="247">
        <f t="shared" si="34"/>
        <v>0</v>
      </c>
      <c r="AE116" s="247">
        <f t="shared" si="34"/>
        <v>0</v>
      </c>
      <c r="AF116" s="247">
        <f t="shared" si="34"/>
        <v>0</v>
      </c>
      <c r="AG116" s="247">
        <f t="shared" si="34"/>
        <v>0</v>
      </c>
      <c r="AH116" s="247">
        <f t="shared" si="34"/>
        <v>0</v>
      </c>
      <c r="AI116" s="248">
        <f t="shared" si="34"/>
        <v>0</v>
      </c>
      <c r="AJ116" s="249">
        <f t="shared" si="26"/>
        <v>228871.85179680004</v>
      </c>
      <c r="AK116" s="250">
        <f t="shared" si="27"/>
        <v>0</v>
      </c>
    </row>
    <row r="117" spans="1:37" s="251" customFormat="1" ht="19.5" outlineLevel="1" x14ac:dyDescent="0.3">
      <c r="A117" s="260"/>
      <c r="B117" s="252"/>
      <c r="C117" s="246" t="s">
        <v>458</v>
      </c>
      <c r="D117" s="253">
        <v>209732.27656800003</v>
      </c>
      <c r="E117" s="247"/>
      <c r="F117" s="247"/>
      <c r="G117" s="248"/>
      <c r="H117" s="248"/>
      <c r="I117" s="247"/>
      <c r="J117" s="247"/>
      <c r="K117" s="247"/>
      <c r="L117" s="247"/>
      <c r="M117" s="247">
        <v>209732.27656800003</v>
      </c>
      <c r="N117" s="248"/>
      <c r="O117" s="248"/>
      <c r="P117" s="247"/>
      <c r="Q117" s="247"/>
      <c r="R117" s="247"/>
      <c r="S117" s="247"/>
      <c r="T117" s="247"/>
      <c r="U117" s="248"/>
      <c r="V117" s="248"/>
      <c r="W117" s="247"/>
      <c r="X117" s="247"/>
      <c r="Y117" s="247"/>
      <c r="Z117" s="247"/>
      <c r="AA117" s="247"/>
      <c r="AB117" s="248"/>
      <c r="AC117" s="248"/>
      <c r="AD117" s="247"/>
      <c r="AE117" s="247"/>
      <c r="AF117" s="247"/>
      <c r="AG117" s="247"/>
      <c r="AH117" s="247"/>
      <c r="AI117" s="248"/>
      <c r="AJ117" s="249">
        <f t="shared" si="26"/>
        <v>209732.27656800003</v>
      </c>
      <c r="AK117" s="254">
        <f t="shared" si="27"/>
        <v>0</v>
      </c>
    </row>
    <row r="118" spans="1:37" s="251" customFormat="1" ht="19.5" outlineLevel="1" x14ac:dyDescent="0.3">
      <c r="A118" s="260"/>
      <c r="B118" s="252"/>
      <c r="C118" s="246" t="s">
        <v>459</v>
      </c>
      <c r="D118" s="253"/>
      <c r="E118" s="247"/>
      <c r="F118" s="247"/>
      <c r="G118" s="248"/>
      <c r="H118" s="248"/>
      <c r="I118" s="247"/>
      <c r="J118" s="247"/>
      <c r="K118" s="247"/>
      <c r="L118" s="247"/>
      <c r="M118" s="247"/>
      <c r="N118" s="248"/>
      <c r="O118" s="248"/>
      <c r="P118" s="247"/>
      <c r="Q118" s="247"/>
      <c r="R118" s="247"/>
      <c r="S118" s="247"/>
      <c r="T118" s="247"/>
      <c r="U118" s="248"/>
      <c r="V118" s="248"/>
      <c r="W118" s="247"/>
      <c r="X118" s="247"/>
      <c r="Y118" s="247"/>
      <c r="Z118" s="247"/>
      <c r="AA118" s="247"/>
      <c r="AB118" s="248"/>
      <c r="AC118" s="248"/>
      <c r="AD118" s="247"/>
      <c r="AE118" s="247"/>
      <c r="AF118" s="247"/>
      <c r="AG118" s="247"/>
      <c r="AH118" s="247"/>
      <c r="AI118" s="248"/>
      <c r="AJ118" s="249">
        <f t="shared" si="26"/>
        <v>0</v>
      </c>
      <c r="AK118" s="254">
        <f t="shared" si="27"/>
        <v>0</v>
      </c>
    </row>
    <row r="119" spans="1:37" s="251" customFormat="1" ht="19.5" outlineLevel="1" x14ac:dyDescent="0.3">
      <c r="A119" s="260"/>
      <c r="B119" s="252"/>
      <c r="C119" s="246" t="s">
        <v>460</v>
      </c>
      <c r="D119" s="253">
        <v>13679.575228800002</v>
      </c>
      <c r="E119" s="247"/>
      <c r="F119" s="247"/>
      <c r="G119" s="248"/>
      <c r="H119" s="248"/>
      <c r="I119" s="247"/>
      <c r="J119" s="247"/>
      <c r="K119" s="247"/>
      <c r="L119" s="247"/>
      <c r="M119" s="247">
        <v>13679.575228800002</v>
      </c>
      <c r="N119" s="248"/>
      <c r="O119" s="248"/>
      <c r="P119" s="247"/>
      <c r="Q119" s="247"/>
      <c r="R119" s="247"/>
      <c r="S119" s="247"/>
      <c r="T119" s="247"/>
      <c r="U119" s="248"/>
      <c r="V119" s="248"/>
      <c r="W119" s="247"/>
      <c r="X119" s="247"/>
      <c r="Y119" s="247"/>
      <c r="Z119" s="247"/>
      <c r="AA119" s="247"/>
      <c r="AB119" s="248"/>
      <c r="AC119" s="248"/>
      <c r="AD119" s="247"/>
      <c r="AE119" s="247"/>
      <c r="AF119" s="247"/>
      <c r="AG119" s="247"/>
      <c r="AH119" s="247"/>
      <c r="AI119" s="248"/>
      <c r="AJ119" s="249">
        <f t="shared" si="26"/>
        <v>13679.575228800002</v>
      </c>
      <c r="AK119" s="254">
        <f t="shared" si="27"/>
        <v>0</v>
      </c>
    </row>
    <row r="120" spans="1:37" s="251" customFormat="1" ht="19.5" outlineLevel="1" x14ac:dyDescent="0.3">
      <c r="A120" s="260"/>
      <c r="B120" s="252"/>
      <c r="C120" s="246" t="s">
        <v>121</v>
      </c>
      <c r="D120" s="253">
        <v>5460</v>
      </c>
      <c r="E120" s="247"/>
      <c r="F120" s="247"/>
      <c r="G120" s="248"/>
      <c r="H120" s="248"/>
      <c r="I120" s="247"/>
      <c r="J120" s="247"/>
      <c r="K120" s="247"/>
      <c r="L120" s="247"/>
      <c r="M120" s="247">
        <v>5460</v>
      </c>
      <c r="N120" s="248"/>
      <c r="O120" s="248"/>
      <c r="P120" s="247"/>
      <c r="Q120" s="247"/>
      <c r="R120" s="247"/>
      <c r="S120" s="247"/>
      <c r="T120" s="247"/>
      <c r="U120" s="248"/>
      <c r="V120" s="248"/>
      <c r="W120" s="247"/>
      <c r="X120" s="247"/>
      <c r="Y120" s="247"/>
      <c r="Z120" s="247"/>
      <c r="AA120" s="247"/>
      <c r="AB120" s="248"/>
      <c r="AC120" s="248"/>
      <c r="AD120" s="247"/>
      <c r="AE120" s="247"/>
      <c r="AF120" s="247"/>
      <c r="AG120" s="247"/>
      <c r="AH120" s="247"/>
      <c r="AI120" s="248"/>
      <c r="AJ120" s="249">
        <f t="shared" si="26"/>
        <v>5460</v>
      </c>
      <c r="AK120" s="254">
        <f t="shared" si="27"/>
        <v>0</v>
      </c>
    </row>
    <row r="121" spans="1:37" s="251" customFormat="1" ht="19.5" outlineLevel="1" x14ac:dyDescent="0.3">
      <c r="A121" s="260"/>
      <c r="B121" s="252"/>
      <c r="C121" s="246" t="s">
        <v>461</v>
      </c>
      <c r="D121" s="253"/>
      <c r="E121" s="247"/>
      <c r="F121" s="247"/>
      <c r="G121" s="248"/>
      <c r="H121" s="248"/>
      <c r="I121" s="247"/>
      <c r="J121" s="247"/>
      <c r="K121" s="247"/>
      <c r="L121" s="247"/>
      <c r="M121" s="247"/>
      <c r="N121" s="248"/>
      <c r="O121" s="248"/>
      <c r="P121" s="247"/>
      <c r="Q121" s="247"/>
      <c r="R121" s="247"/>
      <c r="S121" s="247"/>
      <c r="T121" s="247"/>
      <c r="U121" s="248"/>
      <c r="V121" s="248"/>
      <c r="W121" s="247"/>
      <c r="X121" s="247"/>
      <c r="Y121" s="247"/>
      <c r="Z121" s="247"/>
      <c r="AA121" s="247"/>
      <c r="AB121" s="248"/>
      <c r="AC121" s="248"/>
      <c r="AD121" s="247"/>
      <c r="AE121" s="247"/>
      <c r="AF121" s="247"/>
      <c r="AG121" s="247"/>
      <c r="AH121" s="247"/>
      <c r="AI121" s="248"/>
      <c r="AJ121" s="249">
        <f t="shared" si="26"/>
        <v>0</v>
      </c>
      <c r="AK121" s="254">
        <f t="shared" si="27"/>
        <v>0</v>
      </c>
    </row>
    <row r="122" spans="1:37" s="251" customFormat="1" ht="19.5" outlineLevel="1" x14ac:dyDescent="0.3">
      <c r="A122" s="260"/>
      <c r="B122" s="252"/>
      <c r="C122" s="246" t="s">
        <v>466</v>
      </c>
      <c r="D122" s="253"/>
      <c r="E122" s="247"/>
      <c r="F122" s="247"/>
      <c r="G122" s="248"/>
      <c r="H122" s="248"/>
      <c r="I122" s="247"/>
      <c r="J122" s="247"/>
      <c r="K122" s="247"/>
      <c r="L122" s="247"/>
      <c r="M122" s="247"/>
      <c r="N122" s="248"/>
      <c r="O122" s="248"/>
      <c r="P122" s="247"/>
      <c r="Q122" s="247"/>
      <c r="R122" s="247"/>
      <c r="S122" s="247"/>
      <c r="T122" s="247"/>
      <c r="U122" s="248"/>
      <c r="V122" s="248"/>
      <c r="W122" s="247"/>
      <c r="X122" s="247"/>
      <c r="Y122" s="247"/>
      <c r="Z122" s="247"/>
      <c r="AA122" s="247"/>
      <c r="AB122" s="248"/>
      <c r="AC122" s="248"/>
      <c r="AD122" s="247"/>
      <c r="AE122" s="247"/>
      <c r="AF122" s="247"/>
      <c r="AG122" s="247"/>
      <c r="AH122" s="247"/>
      <c r="AI122" s="248"/>
      <c r="AJ122" s="249">
        <f t="shared" ref="AJ122:AJ153" si="35">SUM(E122:AI122)</f>
        <v>0</v>
      </c>
      <c r="AK122" s="254">
        <f t="shared" ref="AK122:AK153" si="36">+D122-AJ122</f>
        <v>0</v>
      </c>
    </row>
    <row r="123" spans="1:37" s="238" customFormat="1" ht="18.75" x14ac:dyDescent="0.3">
      <c r="A123" s="261"/>
      <c r="B123" s="245">
        <v>3</v>
      </c>
      <c r="C123" s="262" t="s">
        <v>861</v>
      </c>
      <c r="D123" s="247">
        <v>25562.243266560003</v>
      </c>
      <c r="E123" s="247">
        <f t="shared" ref="E123:AI123" si="37">SUM(E124:E127)</f>
        <v>0</v>
      </c>
      <c r="F123" s="247">
        <f t="shared" si="37"/>
        <v>0</v>
      </c>
      <c r="G123" s="248">
        <f t="shared" si="37"/>
        <v>0</v>
      </c>
      <c r="H123" s="248">
        <f t="shared" si="37"/>
        <v>0</v>
      </c>
      <c r="I123" s="247">
        <f t="shared" si="37"/>
        <v>0</v>
      </c>
      <c r="J123" s="247">
        <f t="shared" si="37"/>
        <v>0</v>
      </c>
      <c r="K123" s="247">
        <f t="shared" si="37"/>
        <v>0</v>
      </c>
      <c r="L123" s="247">
        <f t="shared" si="37"/>
        <v>0</v>
      </c>
      <c r="M123" s="247">
        <f t="shared" si="37"/>
        <v>25562.243266560003</v>
      </c>
      <c r="N123" s="248">
        <f t="shared" si="37"/>
        <v>0</v>
      </c>
      <c r="O123" s="248">
        <f t="shared" si="37"/>
        <v>0</v>
      </c>
      <c r="P123" s="247">
        <f t="shared" si="37"/>
        <v>0</v>
      </c>
      <c r="Q123" s="247">
        <f t="shared" si="37"/>
        <v>0</v>
      </c>
      <c r="R123" s="247">
        <f t="shared" si="37"/>
        <v>0</v>
      </c>
      <c r="S123" s="247">
        <f t="shared" si="37"/>
        <v>0</v>
      </c>
      <c r="T123" s="247">
        <f t="shared" si="37"/>
        <v>0</v>
      </c>
      <c r="U123" s="248">
        <f t="shared" si="37"/>
        <v>0</v>
      </c>
      <c r="V123" s="248">
        <f t="shared" si="37"/>
        <v>0</v>
      </c>
      <c r="W123" s="247">
        <f t="shared" si="37"/>
        <v>0</v>
      </c>
      <c r="X123" s="247">
        <f t="shared" si="37"/>
        <v>0</v>
      </c>
      <c r="Y123" s="247">
        <f t="shared" si="37"/>
        <v>0</v>
      </c>
      <c r="Z123" s="247">
        <f t="shared" si="37"/>
        <v>0</v>
      </c>
      <c r="AA123" s="247">
        <f t="shared" si="37"/>
        <v>0</v>
      </c>
      <c r="AB123" s="248">
        <f t="shared" si="37"/>
        <v>0</v>
      </c>
      <c r="AC123" s="248">
        <f t="shared" si="37"/>
        <v>0</v>
      </c>
      <c r="AD123" s="247">
        <f t="shared" si="37"/>
        <v>0</v>
      </c>
      <c r="AE123" s="247">
        <f t="shared" si="37"/>
        <v>0</v>
      </c>
      <c r="AF123" s="247">
        <f t="shared" si="37"/>
        <v>0</v>
      </c>
      <c r="AG123" s="247">
        <f t="shared" si="37"/>
        <v>0</v>
      </c>
      <c r="AH123" s="247">
        <f t="shared" si="37"/>
        <v>0</v>
      </c>
      <c r="AI123" s="248">
        <f t="shared" si="37"/>
        <v>0</v>
      </c>
      <c r="AJ123" s="249">
        <f t="shared" si="35"/>
        <v>25562.243266560003</v>
      </c>
      <c r="AK123" s="250">
        <f t="shared" si="36"/>
        <v>0</v>
      </c>
    </row>
    <row r="124" spans="1:37" s="251" customFormat="1" ht="19.5" outlineLevel="1" x14ac:dyDescent="0.3">
      <c r="A124" s="260"/>
      <c r="B124" s="252"/>
      <c r="C124" s="246" t="s">
        <v>462</v>
      </c>
      <c r="D124" s="253">
        <f>+D123</f>
        <v>25562.243266560003</v>
      </c>
      <c r="E124" s="247"/>
      <c r="F124" s="247"/>
      <c r="G124" s="248"/>
      <c r="H124" s="248"/>
      <c r="I124" s="247"/>
      <c r="J124" s="247"/>
      <c r="K124" s="247"/>
      <c r="L124" s="247"/>
      <c r="M124" s="247">
        <v>25562.243266560003</v>
      </c>
      <c r="N124" s="248"/>
      <c r="O124" s="248"/>
      <c r="P124" s="247"/>
      <c r="Q124" s="247"/>
      <c r="R124" s="247"/>
      <c r="S124" s="247"/>
      <c r="T124" s="247"/>
      <c r="U124" s="248"/>
      <c r="V124" s="248"/>
      <c r="W124" s="247"/>
      <c r="X124" s="247"/>
      <c r="Y124" s="247"/>
      <c r="Z124" s="247"/>
      <c r="AA124" s="247"/>
      <c r="AB124" s="248"/>
      <c r="AC124" s="248"/>
      <c r="AD124" s="247"/>
      <c r="AE124" s="247"/>
      <c r="AF124" s="247"/>
      <c r="AG124" s="247"/>
      <c r="AH124" s="247"/>
      <c r="AI124" s="248"/>
      <c r="AJ124" s="249">
        <f t="shared" si="35"/>
        <v>25562.243266560003</v>
      </c>
      <c r="AK124" s="254">
        <f t="shared" si="36"/>
        <v>0</v>
      </c>
    </row>
    <row r="125" spans="1:37" s="251" customFormat="1" ht="19.5" outlineLevel="1" x14ac:dyDescent="0.3">
      <c r="A125" s="260"/>
      <c r="B125" s="252"/>
      <c r="C125" s="246" t="s">
        <v>463</v>
      </c>
      <c r="D125" s="253"/>
      <c r="E125" s="247"/>
      <c r="F125" s="247"/>
      <c r="G125" s="248"/>
      <c r="H125" s="248"/>
      <c r="I125" s="247"/>
      <c r="J125" s="247"/>
      <c r="K125" s="247"/>
      <c r="L125" s="247"/>
      <c r="M125" s="247"/>
      <c r="N125" s="248"/>
      <c r="O125" s="248"/>
      <c r="P125" s="247"/>
      <c r="Q125" s="247"/>
      <c r="R125" s="247"/>
      <c r="S125" s="247"/>
      <c r="T125" s="247"/>
      <c r="U125" s="248"/>
      <c r="V125" s="248"/>
      <c r="W125" s="247"/>
      <c r="X125" s="247"/>
      <c r="Y125" s="247"/>
      <c r="Z125" s="247"/>
      <c r="AA125" s="247"/>
      <c r="AB125" s="248"/>
      <c r="AC125" s="248"/>
      <c r="AD125" s="247"/>
      <c r="AE125" s="247"/>
      <c r="AF125" s="247"/>
      <c r="AG125" s="247"/>
      <c r="AH125" s="247"/>
      <c r="AI125" s="248"/>
      <c r="AJ125" s="249">
        <f t="shared" si="35"/>
        <v>0</v>
      </c>
      <c r="AK125" s="254">
        <f t="shared" si="36"/>
        <v>0</v>
      </c>
    </row>
    <row r="126" spans="1:37" s="251" customFormat="1" ht="19.5" outlineLevel="1" x14ac:dyDescent="0.3">
      <c r="A126" s="260"/>
      <c r="B126" s="252"/>
      <c r="C126" s="246" t="s">
        <v>464</v>
      </c>
      <c r="D126" s="253"/>
      <c r="E126" s="247"/>
      <c r="F126" s="247"/>
      <c r="G126" s="248"/>
      <c r="H126" s="248"/>
      <c r="I126" s="247"/>
      <c r="J126" s="247"/>
      <c r="K126" s="247"/>
      <c r="L126" s="247"/>
      <c r="M126" s="247"/>
      <c r="N126" s="248"/>
      <c r="O126" s="248"/>
      <c r="P126" s="247"/>
      <c r="Q126" s="247"/>
      <c r="R126" s="247"/>
      <c r="S126" s="247"/>
      <c r="T126" s="247"/>
      <c r="U126" s="248"/>
      <c r="V126" s="248"/>
      <c r="W126" s="247"/>
      <c r="X126" s="247"/>
      <c r="Y126" s="247"/>
      <c r="Z126" s="247"/>
      <c r="AA126" s="247"/>
      <c r="AB126" s="248"/>
      <c r="AC126" s="248"/>
      <c r="AD126" s="247"/>
      <c r="AE126" s="247"/>
      <c r="AF126" s="247"/>
      <c r="AG126" s="247"/>
      <c r="AH126" s="247"/>
      <c r="AI126" s="248"/>
      <c r="AJ126" s="249">
        <f t="shared" si="35"/>
        <v>0</v>
      </c>
      <c r="AK126" s="254">
        <f t="shared" si="36"/>
        <v>0</v>
      </c>
    </row>
    <row r="127" spans="1:37" s="251" customFormat="1" ht="19.5" outlineLevel="1" x14ac:dyDescent="0.3">
      <c r="A127" s="260"/>
      <c r="B127" s="252"/>
      <c r="C127" s="246" t="s">
        <v>465</v>
      </c>
      <c r="D127" s="253"/>
      <c r="E127" s="247"/>
      <c r="F127" s="247"/>
      <c r="G127" s="248"/>
      <c r="H127" s="248"/>
      <c r="I127" s="247"/>
      <c r="J127" s="247"/>
      <c r="K127" s="247"/>
      <c r="L127" s="247"/>
      <c r="M127" s="247"/>
      <c r="N127" s="248"/>
      <c r="O127" s="248"/>
      <c r="P127" s="247"/>
      <c r="Q127" s="247"/>
      <c r="R127" s="247"/>
      <c r="S127" s="247"/>
      <c r="T127" s="247"/>
      <c r="U127" s="248"/>
      <c r="V127" s="248"/>
      <c r="W127" s="247"/>
      <c r="X127" s="247"/>
      <c r="Y127" s="247"/>
      <c r="Z127" s="247"/>
      <c r="AA127" s="247"/>
      <c r="AB127" s="248"/>
      <c r="AC127" s="248"/>
      <c r="AD127" s="247"/>
      <c r="AE127" s="247"/>
      <c r="AF127" s="247"/>
      <c r="AG127" s="247"/>
      <c r="AH127" s="247"/>
      <c r="AI127" s="248"/>
      <c r="AJ127" s="249">
        <f t="shared" si="35"/>
        <v>0</v>
      </c>
      <c r="AK127" s="254">
        <f t="shared" si="36"/>
        <v>0</v>
      </c>
    </row>
    <row r="128" spans="1:37" s="238" customFormat="1" ht="18.75" x14ac:dyDescent="0.3">
      <c r="A128" s="261"/>
      <c r="B128" s="245">
        <v>4</v>
      </c>
      <c r="C128" s="246" t="s">
        <v>54</v>
      </c>
      <c r="D128" s="253">
        <v>324391.93844160001</v>
      </c>
      <c r="E128" s="247"/>
      <c r="F128" s="247"/>
      <c r="G128" s="248"/>
      <c r="H128" s="248"/>
      <c r="I128" s="247"/>
      <c r="J128" s="247"/>
      <c r="K128" s="247"/>
      <c r="L128" s="247"/>
      <c r="M128" s="247">
        <v>324391.93844160001</v>
      </c>
      <c r="N128" s="248"/>
      <c r="O128" s="248"/>
      <c r="P128" s="247"/>
      <c r="Q128" s="247"/>
      <c r="R128" s="247"/>
      <c r="S128" s="247"/>
      <c r="T128" s="247"/>
      <c r="U128" s="248"/>
      <c r="V128" s="248"/>
      <c r="W128" s="247"/>
      <c r="X128" s="247"/>
      <c r="Y128" s="247"/>
      <c r="Z128" s="247"/>
      <c r="AA128" s="247"/>
      <c r="AB128" s="248"/>
      <c r="AC128" s="248"/>
      <c r="AD128" s="247"/>
      <c r="AE128" s="247"/>
      <c r="AF128" s="247"/>
      <c r="AG128" s="247"/>
      <c r="AH128" s="247"/>
      <c r="AI128" s="248"/>
      <c r="AJ128" s="249">
        <f t="shared" si="35"/>
        <v>324391.93844160001</v>
      </c>
      <c r="AK128" s="254">
        <f t="shared" si="36"/>
        <v>0</v>
      </c>
    </row>
    <row r="129" spans="1:37" s="238" customFormat="1" ht="18.75" x14ac:dyDescent="0.3">
      <c r="A129" s="261"/>
      <c r="B129" s="245">
        <v>5</v>
      </c>
      <c r="C129" s="246" t="s">
        <v>862</v>
      </c>
      <c r="D129" s="247">
        <f>+D130+D135+D140+D143+D149</f>
        <v>61558.9</v>
      </c>
      <c r="E129" s="247">
        <f t="shared" ref="E129:AI129" si="38">+E130+E135+E140+E143+E149</f>
        <v>0</v>
      </c>
      <c r="F129" s="247">
        <f t="shared" si="38"/>
        <v>0</v>
      </c>
      <c r="G129" s="248">
        <f t="shared" si="38"/>
        <v>0</v>
      </c>
      <c r="H129" s="248">
        <f t="shared" si="38"/>
        <v>0</v>
      </c>
      <c r="I129" s="247">
        <f t="shared" si="38"/>
        <v>0</v>
      </c>
      <c r="J129" s="247">
        <f t="shared" si="38"/>
        <v>0</v>
      </c>
      <c r="K129" s="247">
        <f t="shared" si="38"/>
        <v>0</v>
      </c>
      <c r="L129" s="247">
        <f t="shared" si="38"/>
        <v>0</v>
      </c>
      <c r="M129" s="247">
        <f t="shared" si="38"/>
        <v>0</v>
      </c>
      <c r="N129" s="248">
        <f t="shared" si="38"/>
        <v>0</v>
      </c>
      <c r="O129" s="248">
        <f t="shared" si="38"/>
        <v>0</v>
      </c>
      <c r="P129" s="247">
        <f t="shared" si="38"/>
        <v>0</v>
      </c>
      <c r="Q129" s="247">
        <f t="shared" si="38"/>
        <v>0</v>
      </c>
      <c r="R129" s="247">
        <f t="shared" si="38"/>
        <v>0</v>
      </c>
      <c r="S129" s="247">
        <f t="shared" si="38"/>
        <v>0</v>
      </c>
      <c r="T129" s="247">
        <f t="shared" si="38"/>
        <v>0</v>
      </c>
      <c r="U129" s="248">
        <f t="shared" si="38"/>
        <v>0</v>
      </c>
      <c r="V129" s="248">
        <f t="shared" si="38"/>
        <v>0</v>
      </c>
      <c r="W129" s="247">
        <f t="shared" si="38"/>
        <v>49200</v>
      </c>
      <c r="X129" s="247">
        <f t="shared" si="38"/>
        <v>0</v>
      </c>
      <c r="Y129" s="247">
        <f t="shared" si="38"/>
        <v>0</v>
      </c>
      <c r="Z129" s="247">
        <f t="shared" si="38"/>
        <v>0</v>
      </c>
      <c r="AA129" s="247">
        <f t="shared" si="38"/>
        <v>0</v>
      </c>
      <c r="AB129" s="248">
        <f t="shared" si="38"/>
        <v>0</v>
      </c>
      <c r="AC129" s="248">
        <f t="shared" si="38"/>
        <v>0</v>
      </c>
      <c r="AD129" s="247">
        <f t="shared" si="38"/>
        <v>0</v>
      </c>
      <c r="AE129" s="247">
        <f t="shared" si="38"/>
        <v>12358.902432000001</v>
      </c>
      <c r="AF129" s="247">
        <f t="shared" si="38"/>
        <v>0</v>
      </c>
      <c r="AG129" s="247">
        <f t="shared" si="38"/>
        <v>0</v>
      </c>
      <c r="AH129" s="247">
        <f t="shared" si="38"/>
        <v>0</v>
      </c>
      <c r="AI129" s="248">
        <f t="shared" si="38"/>
        <v>0</v>
      </c>
      <c r="AJ129" s="249">
        <f t="shared" si="35"/>
        <v>61558.902432000003</v>
      </c>
      <c r="AK129" s="250">
        <f t="shared" si="36"/>
        <v>-2.4320000011357479E-3</v>
      </c>
    </row>
    <row r="130" spans="1:37" s="251" customFormat="1" ht="19.5" outlineLevel="1" x14ac:dyDescent="0.3">
      <c r="A130" s="260"/>
      <c r="B130" s="252"/>
      <c r="C130" s="246" t="s">
        <v>863</v>
      </c>
      <c r="D130" s="247"/>
      <c r="E130" s="247">
        <f t="shared" ref="E130:AI130" si="39">SUM(E131:E134)</f>
        <v>0</v>
      </c>
      <c r="F130" s="247">
        <f t="shared" si="39"/>
        <v>0</v>
      </c>
      <c r="G130" s="248">
        <f t="shared" si="39"/>
        <v>0</v>
      </c>
      <c r="H130" s="248">
        <f t="shared" si="39"/>
        <v>0</v>
      </c>
      <c r="I130" s="247">
        <f t="shared" si="39"/>
        <v>0</v>
      </c>
      <c r="J130" s="247">
        <f t="shared" si="39"/>
        <v>0</v>
      </c>
      <c r="K130" s="247">
        <f t="shared" si="39"/>
        <v>0</v>
      </c>
      <c r="L130" s="247">
        <f t="shared" si="39"/>
        <v>0</v>
      </c>
      <c r="M130" s="247">
        <f t="shared" si="39"/>
        <v>0</v>
      </c>
      <c r="N130" s="248">
        <f t="shared" si="39"/>
        <v>0</v>
      </c>
      <c r="O130" s="248">
        <f t="shared" si="39"/>
        <v>0</v>
      </c>
      <c r="P130" s="247">
        <f t="shared" si="39"/>
        <v>0</v>
      </c>
      <c r="Q130" s="247">
        <f t="shared" si="39"/>
        <v>0</v>
      </c>
      <c r="R130" s="247">
        <f t="shared" si="39"/>
        <v>0</v>
      </c>
      <c r="S130" s="247">
        <f t="shared" si="39"/>
        <v>0</v>
      </c>
      <c r="T130" s="247">
        <f t="shared" si="39"/>
        <v>0</v>
      </c>
      <c r="U130" s="248">
        <f t="shared" si="39"/>
        <v>0</v>
      </c>
      <c r="V130" s="248">
        <f t="shared" si="39"/>
        <v>0</v>
      </c>
      <c r="W130" s="247">
        <f t="shared" si="39"/>
        <v>0</v>
      </c>
      <c r="X130" s="247">
        <f t="shared" si="39"/>
        <v>0</v>
      </c>
      <c r="Y130" s="247">
        <f t="shared" si="39"/>
        <v>0</v>
      </c>
      <c r="Z130" s="247">
        <f t="shared" si="39"/>
        <v>0</v>
      </c>
      <c r="AA130" s="247">
        <f t="shared" si="39"/>
        <v>0</v>
      </c>
      <c r="AB130" s="248">
        <f t="shared" si="39"/>
        <v>0</v>
      </c>
      <c r="AC130" s="248">
        <f t="shared" si="39"/>
        <v>0</v>
      </c>
      <c r="AD130" s="247">
        <f t="shared" si="39"/>
        <v>0</v>
      </c>
      <c r="AE130" s="247">
        <f t="shared" si="39"/>
        <v>0</v>
      </c>
      <c r="AF130" s="247">
        <f t="shared" si="39"/>
        <v>0</v>
      </c>
      <c r="AG130" s="247">
        <f t="shared" si="39"/>
        <v>0</v>
      </c>
      <c r="AH130" s="247">
        <f t="shared" si="39"/>
        <v>0</v>
      </c>
      <c r="AI130" s="248">
        <f t="shared" si="39"/>
        <v>0</v>
      </c>
      <c r="AJ130" s="249">
        <f t="shared" si="35"/>
        <v>0</v>
      </c>
      <c r="AK130" s="254">
        <f t="shared" si="36"/>
        <v>0</v>
      </c>
    </row>
    <row r="131" spans="1:37" s="251" customFormat="1" ht="19.5" outlineLevel="2" x14ac:dyDescent="0.3">
      <c r="A131" s="260"/>
      <c r="B131" s="252"/>
      <c r="C131" s="263" t="s">
        <v>422</v>
      </c>
      <c r="D131" s="253"/>
      <c r="E131" s="247"/>
      <c r="F131" s="247"/>
      <c r="G131" s="248"/>
      <c r="H131" s="248"/>
      <c r="I131" s="247"/>
      <c r="J131" s="247"/>
      <c r="K131" s="247"/>
      <c r="L131" s="247"/>
      <c r="M131" s="247"/>
      <c r="N131" s="248"/>
      <c r="O131" s="248"/>
      <c r="P131" s="247"/>
      <c r="Q131" s="247"/>
      <c r="R131" s="247"/>
      <c r="S131" s="247"/>
      <c r="T131" s="247"/>
      <c r="U131" s="248"/>
      <c r="V131" s="248"/>
      <c r="W131" s="247"/>
      <c r="X131" s="247"/>
      <c r="Y131" s="247"/>
      <c r="Z131" s="247"/>
      <c r="AA131" s="247"/>
      <c r="AB131" s="248"/>
      <c r="AC131" s="248"/>
      <c r="AD131" s="247"/>
      <c r="AE131" s="247"/>
      <c r="AF131" s="247"/>
      <c r="AG131" s="247"/>
      <c r="AH131" s="247"/>
      <c r="AI131" s="248"/>
      <c r="AJ131" s="249">
        <f t="shared" si="35"/>
        <v>0</v>
      </c>
      <c r="AK131" s="254">
        <f t="shared" si="36"/>
        <v>0</v>
      </c>
    </row>
    <row r="132" spans="1:37" s="251" customFormat="1" ht="19.5" outlineLevel="2" x14ac:dyDescent="0.3">
      <c r="A132" s="260"/>
      <c r="B132" s="252"/>
      <c r="C132" s="263" t="s">
        <v>622</v>
      </c>
      <c r="D132" s="253"/>
      <c r="E132" s="247"/>
      <c r="F132" s="247"/>
      <c r="G132" s="248"/>
      <c r="H132" s="248"/>
      <c r="I132" s="247"/>
      <c r="J132" s="247"/>
      <c r="K132" s="247"/>
      <c r="L132" s="247"/>
      <c r="M132" s="247"/>
      <c r="N132" s="248"/>
      <c r="O132" s="248"/>
      <c r="P132" s="247"/>
      <c r="Q132" s="247"/>
      <c r="R132" s="247"/>
      <c r="S132" s="247"/>
      <c r="T132" s="247"/>
      <c r="U132" s="248"/>
      <c r="V132" s="248"/>
      <c r="W132" s="247"/>
      <c r="X132" s="247"/>
      <c r="Y132" s="247"/>
      <c r="Z132" s="247"/>
      <c r="AA132" s="247"/>
      <c r="AB132" s="248"/>
      <c r="AC132" s="248"/>
      <c r="AD132" s="247"/>
      <c r="AE132" s="247"/>
      <c r="AF132" s="247"/>
      <c r="AG132" s="247"/>
      <c r="AH132" s="247"/>
      <c r="AI132" s="248"/>
      <c r="AJ132" s="249">
        <f t="shared" si="35"/>
        <v>0</v>
      </c>
      <c r="AK132" s="254">
        <f t="shared" si="36"/>
        <v>0</v>
      </c>
    </row>
    <row r="133" spans="1:37" s="251" customFormat="1" ht="19.5" outlineLevel="2" x14ac:dyDescent="0.3">
      <c r="A133" s="260"/>
      <c r="B133" s="252"/>
      <c r="C133" s="263" t="s">
        <v>864</v>
      </c>
      <c r="D133" s="253"/>
      <c r="E133" s="247"/>
      <c r="F133" s="247"/>
      <c r="G133" s="248"/>
      <c r="H133" s="248"/>
      <c r="I133" s="247"/>
      <c r="J133" s="247"/>
      <c r="K133" s="247"/>
      <c r="L133" s="247"/>
      <c r="M133" s="247"/>
      <c r="N133" s="248"/>
      <c r="O133" s="248"/>
      <c r="P133" s="247"/>
      <c r="Q133" s="247"/>
      <c r="R133" s="247"/>
      <c r="S133" s="247"/>
      <c r="T133" s="247"/>
      <c r="U133" s="248"/>
      <c r="V133" s="248"/>
      <c r="W133" s="247"/>
      <c r="X133" s="247"/>
      <c r="Y133" s="247"/>
      <c r="Z133" s="247"/>
      <c r="AA133" s="247"/>
      <c r="AB133" s="248"/>
      <c r="AC133" s="248"/>
      <c r="AD133" s="247"/>
      <c r="AE133" s="247"/>
      <c r="AF133" s="247"/>
      <c r="AG133" s="247"/>
      <c r="AH133" s="247"/>
      <c r="AI133" s="248"/>
      <c r="AJ133" s="249">
        <f t="shared" si="35"/>
        <v>0</v>
      </c>
      <c r="AK133" s="254">
        <f t="shared" si="36"/>
        <v>0</v>
      </c>
    </row>
    <row r="134" spans="1:37" s="251" customFormat="1" ht="19.5" outlineLevel="2" x14ac:dyDescent="0.3">
      <c r="A134" s="260"/>
      <c r="B134" s="252"/>
      <c r="C134" s="263" t="s">
        <v>865</v>
      </c>
      <c r="D134" s="264"/>
      <c r="E134" s="247"/>
      <c r="F134" s="247"/>
      <c r="G134" s="248"/>
      <c r="H134" s="248"/>
      <c r="I134" s="247"/>
      <c r="J134" s="247"/>
      <c r="K134" s="247"/>
      <c r="L134" s="247"/>
      <c r="M134" s="247"/>
      <c r="N134" s="248"/>
      <c r="O134" s="248"/>
      <c r="P134" s="247"/>
      <c r="Q134" s="247"/>
      <c r="R134" s="247"/>
      <c r="S134" s="247"/>
      <c r="T134" s="247"/>
      <c r="U134" s="248"/>
      <c r="V134" s="248"/>
      <c r="W134" s="247"/>
      <c r="X134" s="247"/>
      <c r="Y134" s="247"/>
      <c r="Z134" s="247"/>
      <c r="AA134" s="247"/>
      <c r="AB134" s="248"/>
      <c r="AC134" s="248"/>
      <c r="AD134" s="247"/>
      <c r="AE134" s="247"/>
      <c r="AF134" s="247"/>
      <c r="AG134" s="247"/>
      <c r="AH134" s="247"/>
      <c r="AI134" s="248"/>
      <c r="AJ134" s="249">
        <f t="shared" si="35"/>
        <v>0</v>
      </c>
      <c r="AK134" s="254">
        <f t="shared" si="36"/>
        <v>0</v>
      </c>
    </row>
    <row r="135" spans="1:37" s="251" customFormat="1" ht="19.5" outlineLevel="1" x14ac:dyDescent="0.3">
      <c r="A135" s="260"/>
      <c r="B135" s="252"/>
      <c r="C135" s="246" t="s">
        <v>866</v>
      </c>
      <c r="D135" s="253">
        <v>12358.9</v>
      </c>
      <c r="E135" s="247">
        <f t="shared" ref="E135:AI135" si="40">SUM(E136:E139)</f>
        <v>0</v>
      </c>
      <c r="F135" s="247">
        <f t="shared" si="40"/>
        <v>0</v>
      </c>
      <c r="G135" s="248">
        <f t="shared" si="40"/>
        <v>0</v>
      </c>
      <c r="H135" s="248">
        <f t="shared" si="40"/>
        <v>0</v>
      </c>
      <c r="I135" s="247">
        <f t="shared" si="40"/>
        <v>0</v>
      </c>
      <c r="J135" s="247">
        <f t="shared" si="40"/>
        <v>0</v>
      </c>
      <c r="K135" s="247">
        <f t="shared" si="40"/>
        <v>0</v>
      </c>
      <c r="L135" s="247">
        <f t="shared" si="40"/>
        <v>0</v>
      </c>
      <c r="M135" s="247">
        <f t="shared" si="40"/>
        <v>0</v>
      </c>
      <c r="N135" s="248">
        <f t="shared" si="40"/>
        <v>0</v>
      </c>
      <c r="O135" s="248">
        <f t="shared" si="40"/>
        <v>0</v>
      </c>
      <c r="P135" s="247">
        <f t="shared" si="40"/>
        <v>0</v>
      </c>
      <c r="Q135" s="247">
        <f t="shared" si="40"/>
        <v>0</v>
      </c>
      <c r="R135" s="247">
        <f t="shared" si="40"/>
        <v>0</v>
      </c>
      <c r="S135" s="247">
        <f t="shared" si="40"/>
        <v>0</v>
      </c>
      <c r="T135" s="247">
        <f t="shared" si="40"/>
        <v>0</v>
      </c>
      <c r="U135" s="248">
        <f t="shared" si="40"/>
        <v>0</v>
      </c>
      <c r="V135" s="248">
        <f t="shared" si="40"/>
        <v>0</v>
      </c>
      <c r="W135" s="247">
        <f t="shared" si="40"/>
        <v>0</v>
      </c>
      <c r="X135" s="247">
        <f t="shared" si="40"/>
        <v>0</v>
      </c>
      <c r="Y135" s="247">
        <f t="shared" si="40"/>
        <v>0</v>
      </c>
      <c r="Z135" s="247">
        <f t="shared" si="40"/>
        <v>0</v>
      </c>
      <c r="AA135" s="247">
        <f t="shared" si="40"/>
        <v>0</v>
      </c>
      <c r="AB135" s="248">
        <f t="shared" si="40"/>
        <v>0</v>
      </c>
      <c r="AC135" s="248">
        <f t="shared" si="40"/>
        <v>0</v>
      </c>
      <c r="AD135" s="247">
        <f t="shared" si="40"/>
        <v>0</v>
      </c>
      <c r="AE135" s="247">
        <v>12358.902432000001</v>
      </c>
      <c r="AF135" s="247">
        <f t="shared" si="40"/>
        <v>0</v>
      </c>
      <c r="AG135" s="247">
        <f t="shared" si="40"/>
        <v>0</v>
      </c>
      <c r="AH135" s="247">
        <f t="shared" si="40"/>
        <v>0</v>
      </c>
      <c r="AI135" s="248">
        <f t="shared" si="40"/>
        <v>0</v>
      </c>
      <c r="AJ135" s="249">
        <f t="shared" si="35"/>
        <v>12358.902432000001</v>
      </c>
      <c r="AK135" s="254">
        <f t="shared" si="36"/>
        <v>-2.4320000011357479E-3</v>
      </c>
    </row>
    <row r="136" spans="1:37" s="251" customFormat="1" ht="19.5" outlineLevel="2" x14ac:dyDescent="0.3">
      <c r="A136" s="260"/>
      <c r="B136" s="252"/>
      <c r="C136" s="263" t="s">
        <v>343</v>
      </c>
      <c r="D136" s="253"/>
      <c r="E136" s="247"/>
      <c r="F136" s="247"/>
      <c r="G136" s="248"/>
      <c r="H136" s="248"/>
      <c r="I136" s="247"/>
      <c r="J136" s="247"/>
      <c r="K136" s="247"/>
      <c r="L136" s="247"/>
      <c r="M136" s="247"/>
      <c r="N136" s="248"/>
      <c r="O136" s="248"/>
      <c r="P136" s="247"/>
      <c r="Q136" s="247"/>
      <c r="R136" s="247"/>
      <c r="S136" s="247"/>
      <c r="T136" s="247"/>
      <c r="U136" s="248"/>
      <c r="V136" s="248"/>
      <c r="W136" s="247"/>
      <c r="X136" s="247"/>
      <c r="Y136" s="247"/>
      <c r="Z136" s="247"/>
      <c r="AA136" s="247"/>
      <c r="AB136" s="248"/>
      <c r="AC136" s="248"/>
      <c r="AD136" s="247"/>
      <c r="AE136" s="247"/>
      <c r="AF136" s="247"/>
      <c r="AG136" s="247"/>
      <c r="AH136" s="247"/>
      <c r="AI136" s="248"/>
      <c r="AJ136" s="249">
        <f t="shared" si="35"/>
        <v>0</v>
      </c>
      <c r="AK136" s="254">
        <f t="shared" si="36"/>
        <v>0</v>
      </c>
    </row>
    <row r="137" spans="1:37" s="251" customFormat="1" ht="19.5" outlineLevel="2" x14ac:dyDescent="0.3">
      <c r="A137" s="260"/>
      <c r="B137" s="252"/>
      <c r="C137" s="263" t="s">
        <v>609</v>
      </c>
      <c r="D137" s="253"/>
      <c r="E137" s="247"/>
      <c r="F137" s="247"/>
      <c r="G137" s="248"/>
      <c r="H137" s="248"/>
      <c r="I137" s="247"/>
      <c r="J137" s="247"/>
      <c r="K137" s="247"/>
      <c r="L137" s="247"/>
      <c r="M137" s="247"/>
      <c r="N137" s="248"/>
      <c r="O137" s="248"/>
      <c r="P137" s="247"/>
      <c r="Q137" s="247"/>
      <c r="R137" s="247"/>
      <c r="S137" s="247"/>
      <c r="T137" s="247"/>
      <c r="U137" s="248"/>
      <c r="V137" s="248"/>
      <c r="W137" s="247"/>
      <c r="X137" s="247"/>
      <c r="Y137" s="247"/>
      <c r="Z137" s="247"/>
      <c r="AA137" s="247"/>
      <c r="AB137" s="248"/>
      <c r="AC137" s="248"/>
      <c r="AD137" s="247"/>
      <c r="AE137" s="247"/>
      <c r="AF137" s="247"/>
      <c r="AG137" s="247"/>
      <c r="AH137" s="247"/>
      <c r="AI137" s="248"/>
      <c r="AJ137" s="249">
        <f t="shared" si="35"/>
        <v>0</v>
      </c>
      <c r="AK137" s="254">
        <f t="shared" si="36"/>
        <v>0</v>
      </c>
    </row>
    <row r="138" spans="1:37" s="251" customFormat="1" ht="19.5" outlineLevel="2" x14ac:dyDescent="0.3">
      <c r="A138" s="260"/>
      <c r="B138" s="252"/>
      <c r="C138" s="263" t="s">
        <v>450</v>
      </c>
      <c r="D138" s="253"/>
      <c r="E138" s="247"/>
      <c r="F138" s="247"/>
      <c r="G138" s="248"/>
      <c r="H138" s="248"/>
      <c r="I138" s="247"/>
      <c r="J138" s="247"/>
      <c r="K138" s="247"/>
      <c r="L138" s="247"/>
      <c r="M138" s="247"/>
      <c r="N138" s="248"/>
      <c r="O138" s="248"/>
      <c r="P138" s="247"/>
      <c r="Q138" s="247"/>
      <c r="R138" s="247"/>
      <c r="S138" s="247"/>
      <c r="T138" s="247"/>
      <c r="U138" s="248"/>
      <c r="V138" s="248"/>
      <c r="W138" s="247"/>
      <c r="X138" s="247"/>
      <c r="Y138" s="247"/>
      <c r="Z138" s="247"/>
      <c r="AA138" s="247"/>
      <c r="AB138" s="248"/>
      <c r="AC138" s="248"/>
      <c r="AD138" s="247"/>
      <c r="AE138" s="247"/>
      <c r="AF138" s="247"/>
      <c r="AG138" s="247"/>
      <c r="AH138" s="247"/>
      <c r="AI138" s="248"/>
      <c r="AJ138" s="249">
        <f t="shared" si="35"/>
        <v>0</v>
      </c>
      <c r="AK138" s="254">
        <f t="shared" si="36"/>
        <v>0</v>
      </c>
    </row>
    <row r="139" spans="1:37" s="251" customFormat="1" ht="19.5" outlineLevel="2" x14ac:dyDescent="0.3">
      <c r="A139" s="260"/>
      <c r="B139" s="252"/>
      <c r="C139" s="263" t="s">
        <v>1315</v>
      </c>
      <c r="D139" s="253"/>
      <c r="E139" s="247"/>
      <c r="F139" s="247"/>
      <c r="G139" s="248"/>
      <c r="H139" s="248"/>
      <c r="I139" s="247"/>
      <c r="J139" s="247"/>
      <c r="K139" s="247"/>
      <c r="L139" s="247"/>
      <c r="M139" s="247"/>
      <c r="N139" s="248"/>
      <c r="O139" s="248"/>
      <c r="P139" s="247"/>
      <c r="Q139" s="247"/>
      <c r="R139" s="247"/>
      <c r="S139" s="247"/>
      <c r="T139" s="247"/>
      <c r="U139" s="248"/>
      <c r="V139" s="248"/>
      <c r="W139" s="247"/>
      <c r="X139" s="247"/>
      <c r="Y139" s="247"/>
      <c r="Z139" s="247"/>
      <c r="AA139" s="247"/>
      <c r="AB139" s="248"/>
      <c r="AC139" s="248"/>
      <c r="AD139" s="247"/>
      <c r="AE139" s="247"/>
      <c r="AF139" s="247"/>
      <c r="AG139" s="247"/>
      <c r="AH139" s="247"/>
      <c r="AI139" s="248"/>
      <c r="AJ139" s="249">
        <f t="shared" si="35"/>
        <v>0</v>
      </c>
      <c r="AK139" s="254">
        <f t="shared" si="36"/>
        <v>0</v>
      </c>
    </row>
    <row r="140" spans="1:37" s="251" customFormat="1" ht="19.5" outlineLevel="1" x14ac:dyDescent="0.3">
      <c r="A140" s="260"/>
      <c r="B140" s="252"/>
      <c r="C140" s="246" t="s">
        <v>868</v>
      </c>
      <c r="D140" s="253">
        <f>SUM(D141:D142)</f>
        <v>3000</v>
      </c>
      <c r="E140" s="247">
        <f t="shared" ref="E140:AI140" si="41">SUM(E141:E142)</f>
        <v>0</v>
      </c>
      <c r="F140" s="247">
        <f t="shared" si="41"/>
        <v>0</v>
      </c>
      <c r="G140" s="248">
        <f t="shared" si="41"/>
        <v>0</v>
      </c>
      <c r="H140" s="248">
        <f t="shared" si="41"/>
        <v>0</v>
      </c>
      <c r="I140" s="247">
        <f t="shared" si="41"/>
        <v>0</v>
      </c>
      <c r="J140" s="247">
        <f t="shared" si="41"/>
        <v>0</v>
      </c>
      <c r="K140" s="247">
        <f t="shared" si="41"/>
        <v>0</v>
      </c>
      <c r="L140" s="247">
        <f t="shared" si="41"/>
        <v>0</v>
      </c>
      <c r="M140" s="247">
        <f t="shared" si="41"/>
        <v>0</v>
      </c>
      <c r="N140" s="248">
        <f t="shared" si="41"/>
        <v>0</v>
      </c>
      <c r="O140" s="248">
        <f t="shared" si="41"/>
        <v>0</v>
      </c>
      <c r="P140" s="247">
        <f t="shared" si="41"/>
        <v>0</v>
      </c>
      <c r="Q140" s="247">
        <f t="shared" si="41"/>
        <v>0</v>
      </c>
      <c r="R140" s="247">
        <f t="shared" si="41"/>
        <v>0</v>
      </c>
      <c r="S140" s="247">
        <f t="shared" si="41"/>
        <v>0</v>
      </c>
      <c r="T140" s="247">
        <f t="shared" si="41"/>
        <v>0</v>
      </c>
      <c r="U140" s="248">
        <f t="shared" si="41"/>
        <v>0</v>
      </c>
      <c r="V140" s="248">
        <f t="shared" si="41"/>
        <v>0</v>
      </c>
      <c r="W140" s="247">
        <f t="shared" si="41"/>
        <v>3000</v>
      </c>
      <c r="X140" s="247">
        <f t="shared" si="41"/>
        <v>0</v>
      </c>
      <c r="Y140" s="247">
        <f t="shared" si="41"/>
        <v>0</v>
      </c>
      <c r="Z140" s="247">
        <f t="shared" si="41"/>
        <v>0</v>
      </c>
      <c r="AA140" s="247">
        <f t="shared" si="41"/>
        <v>0</v>
      </c>
      <c r="AB140" s="248">
        <f t="shared" si="41"/>
        <v>0</v>
      </c>
      <c r="AC140" s="248">
        <f t="shared" si="41"/>
        <v>0</v>
      </c>
      <c r="AD140" s="247">
        <f t="shared" si="41"/>
        <v>0</v>
      </c>
      <c r="AE140" s="247">
        <f t="shared" si="41"/>
        <v>0</v>
      </c>
      <c r="AF140" s="247">
        <f t="shared" si="41"/>
        <v>0</v>
      </c>
      <c r="AG140" s="247">
        <f t="shared" si="41"/>
        <v>0</v>
      </c>
      <c r="AH140" s="247">
        <f t="shared" si="41"/>
        <v>0</v>
      </c>
      <c r="AI140" s="248">
        <f t="shared" si="41"/>
        <v>0</v>
      </c>
      <c r="AJ140" s="249">
        <f t="shared" si="35"/>
        <v>3000</v>
      </c>
      <c r="AK140" s="254">
        <f t="shared" si="36"/>
        <v>0</v>
      </c>
    </row>
    <row r="141" spans="1:37" s="251" customFormat="1" ht="19.5" outlineLevel="2" x14ac:dyDescent="0.3">
      <c r="A141" s="260"/>
      <c r="B141" s="252"/>
      <c r="C141" s="263" t="s">
        <v>869</v>
      </c>
      <c r="D141" s="253"/>
      <c r="E141" s="247"/>
      <c r="F141" s="247"/>
      <c r="G141" s="248"/>
      <c r="H141" s="248"/>
      <c r="I141" s="247"/>
      <c r="J141" s="247"/>
      <c r="K141" s="247"/>
      <c r="L141" s="247"/>
      <c r="M141" s="247"/>
      <c r="N141" s="248"/>
      <c r="O141" s="248"/>
      <c r="P141" s="247"/>
      <c r="Q141" s="247"/>
      <c r="R141" s="247"/>
      <c r="S141" s="247"/>
      <c r="T141" s="247"/>
      <c r="U141" s="248"/>
      <c r="V141" s="248"/>
      <c r="W141" s="247"/>
      <c r="X141" s="247"/>
      <c r="Y141" s="247"/>
      <c r="Z141" s="247"/>
      <c r="AA141" s="247"/>
      <c r="AB141" s="248"/>
      <c r="AC141" s="248"/>
      <c r="AD141" s="247"/>
      <c r="AE141" s="247"/>
      <c r="AF141" s="247"/>
      <c r="AG141" s="247"/>
      <c r="AH141" s="247"/>
      <c r="AI141" s="248"/>
      <c r="AJ141" s="249">
        <f t="shared" si="35"/>
        <v>0</v>
      </c>
      <c r="AK141" s="254">
        <f t="shared" si="36"/>
        <v>0</v>
      </c>
    </row>
    <row r="142" spans="1:37" s="251" customFormat="1" ht="19.5" outlineLevel="2" x14ac:dyDescent="0.3">
      <c r="A142" s="260"/>
      <c r="B142" s="252"/>
      <c r="C142" s="263" t="s">
        <v>415</v>
      </c>
      <c r="D142" s="253">
        <v>3000</v>
      </c>
      <c r="E142" s="247"/>
      <c r="F142" s="247"/>
      <c r="G142" s="248"/>
      <c r="H142" s="248"/>
      <c r="I142" s="247"/>
      <c r="J142" s="247"/>
      <c r="K142" s="247"/>
      <c r="L142" s="247"/>
      <c r="M142" s="247"/>
      <c r="N142" s="248"/>
      <c r="O142" s="248"/>
      <c r="P142" s="247"/>
      <c r="Q142" s="247"/>
      <c r="R142" s="247"/>
      <c r="S142" s="247"/>
      <c r="T142" s="247"/>
      <c r="U142" s="248"/>
      <c r="V142" s="248"/>
      <c r="W142" s="247">
        <v>3000</v>
      </c>
      <c r="X142" s="247"/>
      <c r="Y142" s="247"/>
      <c r="Z142" s="247"/>
      <c r="AA142" s="247"/>
      <c r="AB142" s="248"/>
      <c r="AC142" s="248"/>
      <c r="AD142" s="247"/>
      <c r="AE142" s="247"/>
      <c r="AF142" s="247"/>
      <c r="AG142" s="247"/>
      <c r="AH142" s="247"/>
      <c r="AI142" s="248"/>
      <c r="AJ142" s="249">
        <f t="shared" si="35"/>
        <v>3000</v>
      </c>
      <c r="AK142" s="254">
        <f t="shared" si="36"/>
        <v>0</v>
      </c>
    </row>
    <row r="143" spans="1:37" s="259" customFormat="1" ht="19.5" outlineLevel="1" x14ac:dyDescent="0.3">
      <c r="A143" s="256"/>
      <c r="B143" s="257"/>
      <c r="C143" s="246" t="s">
        <v>870</v>
      </c>
      <c r="D143" s="247">
        <v>3200</v>
      </c>
      <c r="E143" s="247">
        <f t="shared" ref="E143:AI143" si="42">SUM(E144:E148)</f>
        <v>0</v>
      </c>
      <c r="F143" s="247">
        <f t="shared" si="42"/>
        <v>0</v>
      </c>
      <c r="G143" s="248">
        <f t="shared" si="42"/>
        <v>0</v>
      </c>
      <c r="H143" s="248">
        <f t="shared" si="42"/>
        <v>0</v>
      </c>
      <c r="I143" s="247">
        <f t="shared" si="42"/>
        <v>0</v>
      </c>
      <c r="J143" s="247">
        <f t="shared" si="42"/>
        <v>0</v>
      </c>
      <c r="K143" s="247">
        <f t="shared" si="42"/>
        <v>0</v>
      </c>
      <c r="L143" s="247">
        <f t="shared" si="42"/>
        <v>0</v>
      </c>
      <c r="M143" s="247">
        <f t="shared" si="42"/>
        <v>0</v>
      </c>
      <c r="N143" s="248">
        <f t="shared" si="42"/>
        <v>0</v>
      </c>
      <c r="O143" s="248">
        <f t="shared" si="42"/>
        <v>0</v>
      </c>
      <c r="P143" s="247">
        <f t="shared" si="42"/>
        <v>0</v>
      </c>
      <c r="Q143" s="247">
        <f t="shared" si="42"/>
        <v>0</v>
      </c>
      <c r="R143" s="247">
        <f t="shared" si="42"/>
        <v>0</v>
      </c>
      <c r="S143" s="247">
        <f t="shared" si="42"/>
        <v>0</v>
      </c>
      <c r="T143" s="247">
        <f t="shared" si="42"/>
        <v>0</v>
      </c>
      <c r="U143" s="248">
        <f t="shared" si="42"/>
        <v>0</v>
      </c>
      <c r="V143" s="248">
        <f t="shared" si="42"/>
        <v>0</v>
      </c>
      <c r="W143" s="247">
        <f t="shared" si="42"/>
        <v>3200</v>
      </c>
      <c r="X143" s="247">
        <f t="shared" si="42"/>
        <v>0</v>
      </c>
      <c r="Y143" s="247">
        <f t="shared" si="42"/>
        <v>0</v>
      </c>
      <c r="Z143" s="247">
        <f t="shared" si="42"/>
        <v>0</v>
      </c>
      <c r="AA143" s="247">
        <f t="shared" si="42"/>
        <v>0</v>
      </c>
      <c r="AB143" s="248">
        <f t="shared" si="42"/>
        <v>0</v>
      </c>
      <c r="AC143" s="248">
        <f t="shared" si="42"/>
        <v>0</v>
      </c>
      <c r="AD143" s="247">
        <f t="shared" si="42"/>
        <v>0</v>
      </c>
      <c r="AE143" s="247">
        <f t="shared" si="42"/>
        <v>0</v>
      </c>
      <c r="AF143" s="247">
        <f t="shared" si="42"/>
        <v>0</v>
      </c>
      <c r="AG143" s="247">
        <f t="shared" si="42"/>
        <v>0</v>
      </c>
      <c r="AH143" s="247">
        <f t="shared" si="42"/>
        <v>0</v>
      </c>
      <c r="AI143" s="248">
        <f t="shared" si="42"/>
        <v>0</v>
      </c>
      <c r="AJ143" s="249">
        <f t="shared" si="35"/>
        <v>3200</v>
      </c>
      <c r="AK143" s="254">
        <f t="shared" si="36"/>
        <v>0</v>
      </c>
    </row>
    <row r="144" spans="1:37" s="259" customFormat="1" ht="19.5" outlineLevel="2" x14ac:dyDescent="0.3">
      <c r="A144" s="256"/>
      <c r="B144" s="257"/>
      <c r="C144" s="263" t="s">
        <v>871</v>
      </c>
      <c r="D144" s="253"/>
      <c r="E144" s="247"/>
      <c r="F144" s="247"/>
      <c r="G144" s="248"/>
      <c r="H144" s="248"/>
      <c r="I144" s="247"/>
      <c r="J144" s="247"/>
      <c r="K144" s="247"/>
      <c r="L144" s="247"/>
      <c r="M144" s="247"/>
      <c r="N144" s="248"/>
      <c r="O144" s="248"/>
      <c r="P144" s="247"/>
      <c r="Q144" s="247"/>
      <c r="R144" s="247"/>
      <c r="S144" s="247"/>
      <c r="T144" s="247"/>
      <c r="U144" s="248"/>
      <c r="V144" s="248"/>
      <c r="W144" s="247"/>
      <c r="X144" s="247"/>
      <c r="Y144" s="247"/>
      <c r="Z144" s="247"/>
      <c r="AA144" s="247"/>
      <c r="AB144" s="248"/>
      <c r="AC144" s="248"/>
      <c r="AD144" s="247"/>
      <c r="AE144" s="247"/>
      <c r="AF144" s="247"/>
      <c r="AG144" s="247"/>
      <c r="AH144" s="247"/>
      <c r="AI144" s="248"/>
      <c r="AJ144" s="249">
        <f t="shared" si="35"/>
        <v>0</v>
      </c>
      <c r="AK144" s="254">
        <f t="shared" si="36"/>
        <v>0</v>
      </c>
    </row>
    <row r="145" spans="1:37" s="259" customFormat="1" ht="19.5" outlineLevel="2" x14ac:dyDescent="0.3">
      <c r="A145" s="256"/>
      <c r="B145" s="257"/>
      <c r="C145" s="263" t="s">
        <v>872</v>
      </c>
      <c r="D145" s="253">
        <v>3200</v>
      </c>
      <c r="E145" s="247"/>
      <c r="F145" s="247"/>
      <c r="G145" s="248"/>
      <c r="H145" s="248"/>
      <c r="I145" s="247"/>
      <c r="J145" s="247"/>
      <c r="K145" s="247"/>
      <c r="L145" s="247"/>
      <c r="M145" s="247"/>
      <c r="N145" s="248"/>
      <c r="O145" s="248"/>
      <c r="P145" s="247"/>
      <c r="Q145" s="247"/>
      <c r="R145" s="247"/>
      <c r="S145" s="247"/>
      <c r="T145" s="247"/>
      <c r="U145" s="248"/>
      <c r="V145" s="248"/>
      <c r="W145" s="247">
        <v>3200</v>
      </c>
      <c r="X145" s="247"/>
      <c r="Y145" s="247"/>
      <c r="Z145" s="247"/>
      <c r="AA145" s="247"/>
      <c r="AB145" s="248"/>
      <c r="AC145" s="248"/>
      <c r="AD145" s="247"/>
      <c r="AE145" s="247"/>
      <c r="AF145" s="247"/>
      <c r="AG145" s="247"/>
      <c r="AH145" s="247"/>
      <c r="AI145" s="248"/>
      <c r="AJ145" s="249">
        <f t="shared" si="35"/>
        <v>3200</v>
      </c>
      <c r="AK145" s="254">
        <f t="shared" si="36"/>
        <v>0</v>
      </c>
    </row>
    <row r="146" spans="1:37" s="259" customFormat="1" ht="19.5" outlineLevel="2" x14ac:dyDescent="0.3">
      <c r="A146" s="256"/>
      <c r="B146" s="257"/>
      <c r="C146" s="263" t="s">
        <v>786</v>
      </c>
      <c r="D146" s="253"/>
      <c r="E146" s="247"/>
      <c r="F146" s="247"/>
      <c r="G146" s="248"/>
      <c r="H146" s="248"/>
      <c r="I146" s="247"/>
      <c r="J146" s="247"/>
      <c r="K146" s="247"/>
      <c r="L146" s="247"/>
      <c r="M146" s="247"/>
      <c r="N146" s="248"/>
      <c r="O146" s="248"/>
      <c r="P146" s="247"/>
      <c r="Q146" s="247"/>
      <c r="R146" s="247"/>
      <c r="S146" s="247"/>
      <c r="T146" s="247"/>
      <c r="U146" s="248"/>
      <c r="V146" s="248"/>
      <c r="W146" s="247"/>
      <c r="X146" s="247"/>
      <c r="Y146" s="247"/>
      <c r="Z146" s="247"/>
      <c r="AA146" s="247"/>
      <c r="AB146" s="248"/>
      <c r="AC146" s="248"/>
      <c r="AD146" s="247"/>
      <c r="AE146" s="247"/>
      <c r="AF146" s="247"/>
      <c r="AG146" s="247"/>
      <c r="AH146" s="247"/>
      <c r="AI146" s="248"/>
      <c r="AJ146" s="249">
        <f t="shared" si="35"/>
        <v>0</v>
      </c>
      <c r="AK146" s="254">
        <f t="shared" si="36"/>
        <v>0</v>
      </c>
    </row>
    <row r="147" spans="1:37" s="259" customFormat="1" ht="19.5" outlineLevel="2" x14ac:dyDescent="0.3">
      <c r="A147" s="256"/>
      <c r="B147" s="257"/>
      <c r="C147" s="263" t="s">
        <v>873</v>
      </c>
      <c r="D147" s="253"/>
      <c r="E147" s="247"/>
      <c r="F147" s="247"/>
      <c r="G147" s="248"/>
      <c r="H147" s="248"/>
      <c r="I147" s="247"/>
      <c r="J147" s="247"/>
      <c r="K147" s="247"/>
      <c r="L147" s="247"/>
      <c r="M147" s="247"/>
      <c r="N147" s="248"/>
      <c r="O147" s="248"/>
      <c r="P147" s="247"/>
      <c r="Q147" s="247"/>
      <c r="R147" s="247"/>
      <c r="S147" s="247"/>
      <c r="T147" s="247"/>
      <c r="U147" s="248"/>
      <c r="V147" s="248"/>
      <c r="W147" s="247"/>
      <c r="X147" s="247"/>
      <c r="Y147" s="247"/>
      <c r="Z147" s="247"/>
      <c r="AA147" s="247"/>
      <c r="AB147" s="248"/>
      <c r="AC147" s="248"/>
      <c r="AD147" s="247"/>
      <c r="AE147" s="247"/>
      <c r="AF147" s="247"/>
      <c r="AG147" s="247"/>
      <c r="AH147" s="247"/>
      <c r="AI147" s="248"/>
      <c r="AJ147" s="249">
        <f t="shared" si="35"/>
        <v>0</v>
      </c>
      <c r="AK147" s="254">
        <f t="shared" si="36"/>
        <v>0</v>
      </c>
    </row>
    <row r="148" spans="1:37" s="259" customFormat="1" ht="19.5" outlineLevel="2" x14ac:dyDescent="0.3">
      <c r="A148" s="256"/>
      <c r="B148" s="257"/>
      <c r="C148" s="263" t="s">
        <v>874</v>
      </c>
      <c r="D148" s="253"/>
      <c r="E148" s="247"/>
      <c r="F148" s="247"/>
      <c r="G148" s="248"/>
      <c r="H148" s="248"/>
      <c r="I148" s="247"/>
      <c r="J148" s="247"/>
      <c r="K148" s="247"/>
      <c r="L148" s="247"/>
      <c r="M148" s="247"/>
      <c r="N148" s="248"/>
      <c r="O148" s="248"/>
      <c r="P148" s="247"/>
      <c r="Q148" s="247"/>
      <c r="R148" s="247"/>
      <c r="S148" s="247"/>
      <c r="T148" s="247"/>
      <c r="U148" s="248"/>
      <c r="V148" s="248"/>
      <c r="W148" s="247"/>
      <c r="X148" s="247"/>
      <c r="Y148" s="247"/>
      <c r="Z148" s="247"/>
      <c r="AA148" s="247"/>
      <c r="AB148" s="248"/>
      <c r="AC148" s="248"/>
      <c r="AD148" s="247"/>
      <c r="AE148" s="247"/>
      <c r="AF148" s="247"/>
      <c r="AG148" s="247"/>
      <c r="AH148" s="247"/>
      <c r="AI148" s="248"/>
      <c r="AJ148" s="249">
        <f t="shared" si="35"/>
        <v>0</v>
      </c>
      <c r="AK148" s="254">
        <f t="shared" si="36"/>
        <v>0</v>
      </c>
    </row>
    <row r="149" spans="1:37" s="259" customFormat="1" ht="19.5" outlineLevel="1" x14ac:dyDescent="0.3">
      <c r="A149" s="256"/>
      <c r="B149" s="257"/>
      <c r="C149" s="258" t="s">
        <v>875</v>
      </c>
      <c r="D149" s="247">
        <v>43000</v>
      </c>
      <c r="E149" s="247">
        <f t="shared" ref="E149:AI149" si="43">SUM(E150:E152)</f>
        <v>0</v>
      </c>
      <c r="F149" s="247">
        <f t="shared" si="43"/>
        <v>0</v>
      </c>
      <c r="G149" s="248">
        <f t="shared" si="43"/>
        <v>0</v>
      </c>
      <c r="H149" s="248">
        <f t="shared" si="43"/>
        <v>0</v>
      </c>
      <c r="I149" s="247">
        <f t="shared" si="43"/>
        <v>0</v>
      </c>
      <c r="J149" s="247">
        <f t="shared" si="43"/>
        <v>0</v>
      </c>
      <c r="K149" s="247">
        <f t="shared" si="43"/>
        <v>0</v>
      </c>
      <c r="L149" s="247">
        <f t="shared" si="43"/>
        <v>0</v>
      </c>
      <c r="M149" s="247">
        <f t="shared" si="43"/>
        <v>0</v>
      </c>
      <c r="N149" s="248">
        <f t="shared" si="43"/>
        <v>0</v>
      </c>
      <c r="O149" s="248">
        <f t="shared" si="43"/>
        <v>0</v>
      </c>
      <c r="P149" s="247">
        <f t="shared" si="43"/>
        <v>0</v>
      </c>
      <c r="Q149" s="247">
        <f t="shared" si="43"/>
        <v>0</v>
      </c>
      <c r="R149" s="247">
        <f t="shared" si="43"/>
        <v>0</v>
      </c>
      <c r="S149" s="247">
        <f t="shared" si="43"/>
        <v>0</v>
      </c>
      <c r="T149" s="247">
        <f t="shared" si="43"/>
        <v>0</v>
      </c>
      <c r="U149" s="248">
        <f t="shared" si="43"/>
        <v>0</v>
      </c>
      <c r="V149" s="248">
        <f t="shared" si="43"/>
        <v>0</v>
      </c>
      <c r="W149" s="247">
        <f t="shared" si="43"/>
        <v>43000</v>
      </c>
      <c r="X149" s="247">
        <f t="shared" si="43"/>
        <v>0</v>
      </c>
      <c r="Y149" s="247">
        <f t="shared" si="43"/>
        <v>0</v>
      </c>
      <c r="Z149" s="247">
        <f t="shared" si="43"/>
        <v>0</v>
      </c>
      <c r="AA149" s="247">
        <f t="shared" si="43"/>
        <v>0</v>
      </c>
      <c r="AB149" s="248">
        <f t="shared" si="43"/>
        <v>0</v>
      </c>
      <c r="AC149" s="248">
        <f t="shared" si="43"/>
        <v>0</v>
      </c>
      <c r="AD149" s="247">
        <f t="shared" si="43"/>
        <v>0</v>
      </c>
      <c r="AE149" s="247">
        <f t="shared" si="43"/>
        <v>0</v>
      </c>
      <c r="AF149" s="247">
        <f t="shared" si="43"/>
        <v>0</v>
      </c>
      <c r="AG149" s="247">
        <f t="shared" si="43"/>
        <v>0</v>
      </c>
      <c r="AH149" s="247">
        <f t="shared" si="43"/>
        <v>0</v>
      </c>
      <c r="AI149" s="248">
        <f t="shared" si="43"/>
        <v>0</v>
      </c>
      <c r="AJ149" s="249">
        <f t="shared" si="35"/>
        <v>43000</v>
      </c>
      <c r="AK149" s="254">
        <f t="shared" si="36"/>
        <v>0</v>
      </c>
    </row>
    <row r="150" spans="1:37" s="259" customFormat="1" ht="19.5" outlineLevel="2" x14ac:dyDescent="0.3">
      <c r="A150" s="256"/>
      <c r="B150" s="257"/>
      <c r="C150" s="265" t="s">
        <v>876</v>
      </c>
      <c r="D150" s="253">
        <v>35000</v>
      </c>
      <c r="E150" s="247"/>
      <c r="F150" s="247"/>
      <c r="G150" s="248"/>
      <c r="H150" s="248"/>
      <c r="I150" s="247"/>
      <c r="J150" s="247"/>
      <c r="K150" s="247"/>
      <c r="L150" s="247"/>
      <c r="M150" s="247"/>
      <c r="N150" s="248"/>
      <c r="O150" s="248"/>
      <c r="P150" s="247"/>
      <c r="Q150" s="247"/>
      <c r="R150" s="247"/>
      <c r="S150" s="247"/>
      <c r="T150" s="247"/>
      <c r="U150" s="248"/>
      <c r="V150" s="248"/>
      <c r="W150" s="247">
        <v>35000</v>
      </c>
      <c r="X150" s="247"/>
      <c r="Y150" s="247"/>
      <c r="Z150" s="247"/>
      <c r="AA150" s="247"/>
      <c r="AB150" s="248"/>
      <c r="AC150" s="248"/>
      <c r="AD150" s="247"/>
      <c r="AE150" s="247"/>
      <c r="AF150" s="247"/>
      <c r="AG150" s="247"/>
      <c r="AH150" s="247"/>
      <c r="AI150" s="248"/>
      <c r="AJ150" s="249">
        <f t="shared" si="35"/>
        <v>35000</v>
      </c>
      <c r="AK150" s="254">
        <f t="shared" si="36"/>
        <v>0</v>
      </c>
    </row>
    <row r="151" spans="1:37" s="259" customFormat="1" ht="19.5" outlineLevel="2" x14ac:dyDescent="0.3">
      <c r="A151" s="256"/>
      <c r="B151" s="257"/>
      <c r="C151" s="265" t="s">
        <v>623</v>
      </c>
      <c r="D151" s="253">
        <v>8000</v>
      </c>
      <c r="E151" s="247"/>
      <c r="F151" s="247"/>
      <c r="G151" s="248"/>
      <c r="H151" s="248"/>
      <c r="I151" s="247"/>
      <c r="J151" s="247"/>
      <c r="K151" s="247"/>
      <c r="L151" s="247"/>
      <c r="M151" s="247"/>
      <c r="N151" s="248"/>
      <c r="O151" s="248"/>
      <c r="P151" s="247"/>
      <c r="Q151" s="247"/>
      <c r="R151" s="247"/>
      <c r="S151" s="247"/>
      <c r="T151" s="247"/>
      <c r="U151" s="248"/>
      <c r="V151" s="248"/>
      <c r="W151" s="247">
        <v>8000</v>
      </c>
      <c r="X151" s="247"/>
      <c r="Y151" s="247"/>
      <c r="Z151" s="247"/>
      <c r="AA151" s="247"/>
      <c r="AB151" s="248"/>
      <c r="AC151" s="248"/>
      <c r="AD151" s="247"/>
      <c r="AE151" s="247"/>
      <c r="AF151" s="247"/>
      <c r="AG151" s="247"/>
      <c r="AH151" s="247"/>
      <c r="AI151" s="248"/>
      <c r="AJ151" s="249">
        <f t="shared" si="35"/>
        <v>8000</v>
      </c>
      <c r="AK151" s="254">
        <f t="shared" si="36"/>
        <v>0</v>
      </c>
    </row>
    <row r="152" spans="1:37" s="259" customFormat="1" ht="19.5" outlineLevel="2" x14ac:dyDescent="0.3">
      <c r="A152" s="256"/>
      <c r="B152" s="257"/>
      <c r="C152" s="265" t="s">
        <v>877</v>
      </c>
      <c r="D152" s="253"/>
      <c r="E152" s="247"/>
      <c r="F152" s="247"/>
      <c r="G152" s="248"/>
      <c r="H152" s="248"/>
      <c r="I152" s="247"/>
      <c r="J152" s="247"/>
      <c r="K152" s="247"/>
      <c r="L152" s="247"/>
      <c r="M152" s="247"/>
      <c r="N152" s="248"/>
      <c r="O152" s="248"/>
      <c r="P152" s="247"/>
      <c r="Q152" s="247"/>
      <c r="R152" s="247"/>
      <c r="S152" s="247"/>
      <c r="T152" s="247"/>
      <c r="U152" s="248"/>
      <c r="V152" s="248"/>
      <c r="W152" s="247"/>
      <c r="X152" s="247"/>
      <c r="Y152" s="247"/>
      <c r="Z152" s="247"/>
      <c r="AA152" s="247"/>
      <c r="AB152" s="248"/>
      <c r="AC152" s="248"/>
      <c r="AD152" s="247"/>
      <c r="AE152" s="247"/>
      <c r="AF152" s="247"/>
      <c r="AG152" s="247"/>
      <c r="AH152" s="247"/>
      <c r="AI152" s="248"/>
      <c r="AJ152" s="249">
        <f t="shared" si="35"/>
        <v>0</v>
      </c>
      <c r="AK152" s="254">
        <f t="shared" si="36"/>
        <v>0</v>
      </c>
    </row>
    <row r="153" spans="1:37" s="269" customFormat="1" ht="18.75" x14ac:dyDescent="0.25">
      <c r="A153" s="266"/>
      <c r="B153" s="267" t="s">
        <v>878</v>
      </c>
      <c r="C153" s="268" t="s">
        <v>879</v>
      </c>
      <c r="D153" s="237">
        <f t="shared" ref="D153:AI153" si="44">D90-D110</f>
        <v>-8965196.9335049614</v>
      </c>
      <c r="E153" s="237">
        <f t="shared" si="44"/>
        <v>-61549</v>
      </c>
      <c r="F153" s="237">
        <f t="shared" si="44"/>
        <v>-61549</v>
      </c>
      <c r="G153" s="237">
        <f t="shared" si="44"/>
        <v>0</v>
      </c>
      <c r="H153" s="237">
        <f t="shared" si="44"/>
        <v>0</v>
      </c>
      <c r="I153" s="237">
        <f t="shared" si="44"/>
        <v>-61549</v>
      </c>
      <c r="J153" s="237">
        <f t="shared" si="44"/>
        <v>-61549</v>
      </c>
      <c r="K153" s="237">
        <f t="shared" si="44"/>
        <v>-61549</v>
      </c>
      <c r="L153" s="237">
        <f t="shared" si="44"/>
        <v>-61549</v>
      </c>
      <c r="M153" s="237">
        <f t="shared" si="44"/>
        <v>-640375.03350496013</v>
      </c>
      <c r="N153" s="237">
        <f t="shared" si="44"/>
        <v>0</v>
      </c>
      <c r="O153" s="237">
        <f t="shared" si="44"/>
        <v>0</v>
      </c>
      <c r="P153" s="237">
        <f t="shared" si="44"/>
        <v>-61549</v>
      </c>
      <c r="Q153" s="237">
        <f t="shared" si="44"/>
        <v>-732141</v>
      </c>
      <c r="R153" s="237">
        <f t="shared" si="44"/>
        <v>-1146287</v>
      </c>
      <c r="S153" s="237">
        <f t="shared" si="44"/>
        <v>-61549</v>
      </c>
      <c r="T153" s="237">
        <f t="shared" si="44"/>
        <v>-1254155</v>
      </c>
      <c r="U153" s="237">
        <f t="shared" si="44"/>
        <v>0</v>
      </c>
      <c r="V153" s="237">
        <f t="shared" si="44"/>
        <v>0</v>
      </c>
      <c r="W153" s="237">
        <f t="shared" si="44"/>
        <v>-110749</v>
      </c>
      <c r="X153" s="237">
        <f t="shared" si="44"/>
        <v>-61549</v>
      </c>
      <c r="Y153" s="237">
        <f t="shared" si="44"/>
        <v>-61549</v>
      </c>
      <c r="Z153" s="237">
        <f t="shared" si="44"/>
        <v>-61549</v>
      </c>
      <c r="AA153" s="237">
        <f t="shared" si="44"/>
        <v>-61549</v>
      </c>
      <c r="AB153" s="237">
        <f t="shared" si="44"/>
        <v>0</v>
      </c>
      <c r="AC153" s="237">
        <f t="shared" si="44"/>
        <v>0</v>
      </c>
      <c r="AD153" s="237">
        <f t="shared" si="44"/>
        <v>-4084347</v>
      </c>
      <c r="AE153" s="237">
        <f t="shared" si="44"/>
        <v>-73907.902432000003</v>
      </c>
      <c r="AF153" s="237">
        <f t="shared" si="44"/>
        <v>-61549</v>
      </c>
      <c r="AG153" s="237">
        <f t="shared" si="44"/>
        <v>-61549</v>
      </c>
      <c r="AH153" s="237">
        <f t="shared" si="44"/>
        <v>-61549</v>
      </c>
      <c r="AI153" s="237">
        <f t="shared" si="44"/>
        <v>0</v>
      </c>
      <c r="AJ153" s="237">
        <f t="shared" si="35"/>
        <v>-8965196.9359369595</v>
      </c>
      <c r="AK153" s="237">
        <f t="shared" si="36"/>
        <v>2.4319980293512344E-3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168-C90B-4B83-B81C-6E0E5847E86A}">
  <sheetPr>
    <tabColor theme="7" tint="0.79998168889431442"/>
  </sheetPr>
  <dimension ref="A1:AK137"/>
  <sheetViews>
    <sheetView tabSelected="1" zoomScale="60" zoomScaleNormal="60" workbookViewId="0">
      <pane xSplit="4" topLeftCell="X1" activePane="topRight" state="frozen"/>
      <selection pane="topRight" activeCell="J22" sqref="J22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customWidth="1"/>
    <col min="9" max="16" width="19.5703125" style="14" customWidth="1"/>
    <col min="17" max="18" width="19.5703125" style="43" customWidth="1"/>
    <col min="19" max="19" width="22.140625" style="14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83">
        <v>45536</v>
      </c>
      <c r="F2" s="81">
        <f>+E2+1</f>
        <v>45537</v>
      </c>
      <c r="G2" s="81">
        <f t="shared" ref="G2:AH2" si="0">+F2+1</f>
        <v>45538</v>
      </c>
      <c r="H2" s="81">
        <f t="shared" si="0"/>
        <v>45539</v>
      </c>
      <c r="I2" s="81">
        <f t="shared" si="0"/>
        <v>45540</v>
      </c>
      <c r="J2" s="83">
        <f t="shared" si="0"/>
        <v>45541</v>
      </c>
      <c r="K2" s="83">
        <f t="shared" si="0"/>
        <v>45542</v>
      </c>
      <c r="L2" s="83">
        <f t="shared" si="0"/>
        <v>45543</v>
      </c>
      <c r="M2" s="81">
        <f t="shared" si="0"/>
        <v>45544</v>
      </c>
      <c r="N2" s="81">
        <f t="shared" si="0"/>
        <v>45545</v>
      </c>
      <c r="O2" s="81">
        <f>+N2+1</f>
        <v>45546</v>
      </c>
      <c r="P2" s="81">
        <f t="shared" si="0"/>
        <v>45547</v>
      </c>
      <c r="Q2" s="82">
        <f t="shared" si="0"/>
        <v>45548</v>
      </c>
      <c r="R2" s="85">
        <f t="shared" si="0"/>
        <v>45549</v>
      </c>
      <c r="S2" s="83">
        <f t="shared" si="0"/>
        <v>45550</v>
      </c>
      <c r="T2" s="81">
        <f t="shared" si="0"/>
        <v>45551</v>
      </c>
      <c r="U2" s="81">
        <f t="shared" si="0"/>
        <v>45552</v>
      </c>
      <c r="V2" s="81">
        <f t="shared" si="0"/>
        <v>45553</v>
      </c>
      <c r="W2" s="81">
        <f t="shared" si="0"/>
        <v>45554</v>
      </c>
      <c r="X2" s="81">
        <f t="shared" si="0"/>
        <v>45555</v>
      </c>
      <c r="Y2" s="83">
        <f t="shared" si="0"/>
        <v>45556</v>
      </c>
      <c r="Z2" s="83">
        <f t="shared" si="0"/>
        <v>45557</v>
      </c>
      <c r="AA2" s="83">
        <f t="shared" si="0"/>
        <v>45558</v>
      </c>
      <c r="AB2" s="81">
        <f t="shared" si="0"/>
        <v>45559</v>
      </c>
      <c r="AC2" s="81">
        <f t="shared" si="0"/>
        <v>45560</v>
      </c>
      <c r="AD2" s="81">
        <f t="shared" si="0"/>
        <v>45561</v>
      </c>
      <c r="AE2" s="81">
        <f t="shared" si="0"/>
        <v>45562</v>
      </c>
      <c r="AF2" s="83">
        <f t="shared" si="0"/>
        <v>45563</v>
      </c>
      <c r="AG2" s="83">
        <f t="shared" si="0"/>
        <v>45564</v>
      </c>
      <c r="AH2" s="81">
        <f t="shared" si="0"/>
        <v>45565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1">SUM(D4,D11)</f>
        <v>12850446.6483</v>
      </c>
      <c r="E3" s="54">
        <f t="shared" si="1"/>
        <v>4691.1000000000004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1784.2439999999999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1.0658141036401503E-13</v>
      </c>
      <c r="Y3" s="54">
        <f t="shared" si="1"/>
        <v>0</v>
      </c>
      <c r="Z3" s="54">
        <f t="shared" si="1"/>
        <v>0</v>
      </c>
      <c r="AA3" s="54">
        <f t="shared" si="1"/>
        <v>1617.396</v>
      </c>
      <c r="AB3" s="54">
        <f t="shared" si="1"/>
        <v>16902.035999999996</v>
      </c>
      <c r="AC3" s="54">
        <f t="shared" si="1"/>
        <v>1655576.5819999997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1680571.3579999998</v>
      </c>
      <c r="AJ3" s="54">
        <f t="shared" ref="AJ3:AJ34" si="3">+D3-AI3</f>
        <v>11169875.2903</v>
      </c>
    </row>
    <row r="4" spans="1:36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12780474.093599999</v>
      </c>
      <c r="E4" s="77">
        <f>SUM(E5,E9,E10)</f>
        <v>4691.1000000000004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H4" si="5">SUM(I5,I9,I10)</f>
        <v>0</v>
      </c>
      <c r="J4" s="77">
        <f t="shared" si="5"/>
        <v>0</v>
      </c>
      <c r="K4" s="77">
        <f t="shared" si="5"/>
        <v>0</v>
      </c>
      <c r="L4" s="77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7">
        <f t="shared" si="5"/>
        <v>0</v>
      </c>
      <c r="S4" s="77">
        <f t="shared" si="5"/>
        <v>1740.528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-31.451999999999892</v>
      </c>
      <c r="Y4" s="77">
        <f t="shared" si="5"/>
        <v>0</v>
      </c>
      <c r="Z4" s="77">
        <f t="shared" si="5"/>
        <v>0</v>
      </c>
      <c r="AA4" s="77">
        <f t="shared" si="5"/>
        <v>1617.396</v>
      </c>
      <c r="AB4" s="73">
        <f t="shared" si="5"/>
        <v>16146.863999999998</v>
      </c>
      <c r="AC4" s="73">
        <f t="shared" si="5"/>
        <v>1654474.9939999997</v>
      </c>
      <c r="AD4" s="73">
        <f t="shared" si="5"/>
        <v>0</v>
      </c>
      <c r="AE4" s="73">
        <f t="shared" si="5"/>
        <v>0</v>
      </c>
      <c r="AF4" s="77">
        <f t="shared" si="5"/>
        <v>0</v>
      </c>
      <c r="AG4" s="77">
        <f t="shared" si="5"/>
        <v>0</v>
      </c>
      <c r="AH4" s="73">
        <f t="shared" si="5"/>
        <v>0</v>
      </c>
      <c r="AI4" s="57">
        <f t="shared" si="2"/>
        <v>1678639.4299999997</v>
      </c>
      <c r="AJ4" s="58">
        <f t="shared" si="3"/>
        <v>11101834.6636</v>
      </c>
    </row>
    <row r="5" spans="1:36" s="4" customFormat="1" ht="20.100000000000001" customHeight="1" x14ac:dyDescent="0.3">
      <c r="B5" s="7">
        <v>1</v>
      </c>
      <c r="C5" s="8" t="s">
        <v>850</v>
      </c>
      <c r="D5" s="74">
        <f>SUM(D6:D8)</f>
        <v>12735376.8456</v>
      </c>
      <c r="E5" s="76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H5" si="7">SUM(I6:I8)</f>
        <v>0</v>
      </c>
      <c r="J5" s="76">
        <f t="shared" si="7"/>
        <v>0</v>
      </c>
      <c r="K5" s="76">
        <f t="shared" si="7"/>
        <v>0</v>
      </c>
      <c r="L5" s="76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6">
        <f t="shared" si="7"/>
        <v>0</v>
      </c>
      <c r="S5" s="76">
        <f t="shared" si="7"/>
        <v>1740.528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-31.451999999999892</v>
      </c>
      <c r="Y5" s="76">
        <f t="shared" si="7"/>
        <v>0</v>
      </c>
      <c r="Z5" s="76">
        <f t="shared" si="7"/>
        <v>0</v>
      </c>
      <c r="AA5" s="76">
        <f t="shared" si="7"/>
        <v>1617.396</v>
      </c>
      <c r="AB5" s="74">
        <f t="shared" si="7"/>
        <v>16146.863999999998</v>
      </c>
      <c r="AC5" s="74">
        <f t="shared" si="7"/>
        <v>45522.347999999991</v>
      </c>
      <c r="AD5" s="74">
        <f t="shared" si="7"/>
        <v>0</v>
      </c>
      <c r="AE5" s="74">
        <f t="shared" si="7"/>
        <v>0</v>
      </c>
      <c r="AF5" s="76">
        <f t="shared" si="7"/>
        <v>0</v>
      </c>
      <c r="AG5" s="76">
        <f t="shared" si="7"/>
        <v>0</v>
      </c>
      <c r="AH5" s="74">
        <f t="shared" si="7"/>
        <v>0</v>
      </c>
      <c r="AI5" s="61">
        <f t="shared" si="2"/>
        <v>64995.683999999987</v>
      </c>
      <c r="AJ5" s="62">
        <f t="shared" si="3"/>
        <v>12670381.161599999</v>
      </c>
    </row>
    <row r="6" spans="1:36" s="23" customFormat="1" ht="20.100000000000001" hidden="1" customHeight="1" outlineLevel="1" x14ac:dyDescent="0.3">
      <c r="B6" s="24"/>
      <c r="C6" s="25" t="s">
        <v>851</v>
      </c>
      <c r="D6" s="79">
        <v>11281510.593599999</v>
      </c>
      <c r="E6" s="78"/>
      <c r="F6" s="75"/>
      <c r="G6" s="75"/>
      <c r="H6" s="75"/>
      <c r="I6" s="75"/>
      <c r="J6" s="78"/>
      <c r="K6" s="78"/>
      <c r="L6" s="78"/>
      <c r="M6" s="75"/>
      <c r="N6" s="75"/>
      <c r="O6" s="75"/>
      <c r="P6" s="75"/>
      <c r="Q6" s="75"/>
      <c r="R6" s="78"/>
      <c r="S6" s="78"/>
      <c r="T6" s="75"/>
      <c r="U6" s="75"/>
      <c r="V6" s="75"/>
      <c r="W6" s="75"/>
      <c r="X6" s="75"/>
      <c r="Y6" s="78"/>
      <c r="Z6" s="78"/>
      <c r="AA6" s="78"/>
      <c r="AB6" s="75"/>
      <c r="AC6" s="75"/>
      <c r="AD6" s="75"/>
      <c r="AE6" s="75"/>
      <c r="AF6" s="78"/>
      <c r="AG6" s="78"/>
      <c r="AH6" s="75"/>
      <c r="AI6" s="66">
        <f t="shared" si="2"/>
        <v>0</v>
      </c>
      <c r="AJ6" s="67">
        <f t="shared" si="3"/>
        <v>11281510.593599999</v>
      </c>
    </row>
    <row r="7" spans="1:36" s="21" customFormat="1" ht="20.100000000000001" hidden="1" customHeight="1" outlineLevel="1" x14ac:dyDescent="0.3">
      <c r="B7" s="22"/>
      <c r="C7" s="8" t="s">
        <v>53</v>
      </c>
      <c r="D7" s="80">
        <v>1410133.452</v>
      </c>
      <c r="E7" s="76">
        <f>SUMIFS(приходи!$L:$L,приходи!$E:$E,'ПП Септември'!$C$7,приходи!$M:$M,'ПП Септември'!E2)</f>
        <v>0</v>
      </c>
      <c r="F7" s="74">
        <f>SUMIFS(приходи!$L:$L,приходи!$E:$E,'ПП Септември'!$C$7,приходи!$M:$M,'ПП Септември'!F2)</f>
        <v>0</v>
      </c>
      <c r="G7" s="74">
        <f>SUMIFS(приходи!$L:$L,приходи!$E:$E,'ПП Септември'!$C$7,приходи!$M:$M,'ПП Септември'!G2)</f>
        <v>0</v>
      </c>
      <c r="H7" s="74">
        <f>SUMIFS(приходи!$L:$L,приходи!$E:$E,'ПП Септември'!$C$7,приходи!$M:$M,'ПП Септември'!H2)</f>
        <v>0</v>
      </c>
      <c r="I7" s="74">
        <f>SUMIFS(приходи!$L:$L,приходи!$E:$E,'ПП Септември'!$C$7,приходи!$M:$M,'ПП Септември'!I2)</f>
        <v>0</v>
      </c>
      <c r="J7" s="76">
        <f>SUMIFS(приходи!$L:$L,приходи!$E:$E,'ПП Септември'!$C$7,приходи!$M:$M,'ПП Септември'!J2)</f>
        <v>0</v>
      </c>
      <c r="K7" s="76">
        <f>SUMIFS(приходи!$L:$L,приходи!$E:$E,'ПП Септември'!$C$7,приходи!$M:$M,'ПП Септември'!K2)</f>
        <v>0</v>
      </c>
      <c r="L7" s="76">
        <f>SUMIFS(приходи!$L:$L,приходи!$E:$E,'ПП Септември'!$C$7,приходи!$M:$M,'ПП Септември'!L2)</f>
        <v>0</v>
      </c>
      <c r="M7" s="74">
        <f>SUMIFS(приходи!$L:$L,приходи!$E:$E,'ПП Септември'!$C$7,приходи!$M:$M,'ПП Септември'!M2)</f>
        <v>0</v>
      </c>
      <c r="N7" s="74">
        <f>SUMIFS(приходи!$L:$L,приходи!$E:$E,'ПП Септември'!$C$7,приходи!$M:$M,'ПП Септември'!N2)</f>
        <v>0</v>
      </c>
      <c r="O7" s="74">
        <f>SUMIFS(приходи!$L:$L,приходи!$E:$E,'ПП Септември'!$C$7,приходи!$M:$M,'ПП Септември'!O2)</f>
        <v>0</v>
      </c>
      <c r="P7" s="74">
        <f>SUMIFS(приходи!$L:$L,приходи!$E:$E,'ПП Септември'!$C$7,приходи!$M:$M,'ПП Септември'!P2)</f>
        <v>0</v>
      </c>
      <c r="Q7" s="74">
        <f>SUMIFS(приходи!$L:$L,приходи!$E:$E,'ПП Септември'!$C$7,приходи!$M:$M,'ПП Септември'!Q2)</f>
        <v>0</v>
      </c>
      <c r="R7" s="76">
        <f>SUMIFS(приходи!$L:$L,приходи!$E:$E,'ПП Септември'!$C$7,приходи!$M:$M,'ПП Септември'!R2)</f>
        <v>0</v>
      </c>
      <c r="S7" s="76">
        <f>SUMIFS(приходи!$L:$L,приходи!$E:$E,'ПП Септември'!$C$7,приходи!$M:$M,'ПП Септември'!S2)</f>
        <v>0</v>
      </c>
      <c r="T7" s="74">
        <f>SUMIFS(приходи!$L:$L,приходи!$E:$E,'ПП Септември'!$C$7,приходи!$M:$M,'ПП Септември'!T2)</f>
        <v>0</v>
      </c>
      <c r="U7" s="74">
        <f>SUMIFS(приходи!$L:$L,приходи!$E:$E,'ПП Септември'!$C$7,приходи!$M:$M,'ПП Септември'!U2)</f>
        <v>0</v>
      </c>
      <c r="V7" s="74">
        <f>SUMIFS(приходи!$L:$L,приходи!$E:$E,'ПП Септември'!$C$7,приходи!$M:$M,'ПП Септември'!V2)</f>
        <v>0</v>
      </c>
      <c r="W7" s="74">
        <f>SUMIFS(приходи!$L:$L,приходи!$E:$E,'ПП Септември'!$C$7,приходи!$M:$M,'ПП Септември'!W2)</f>
        <v>0</v>
      </c>
      <c r="X7" s="74">
        <f>SUMIFS(приходи!$L:$L,приходи!$E:$E,'ПП Септември'!$C$7,приходи!$M:$M,'ПП Септември'!X2)</f>
        <v>0</v>
      </c>
      <c r="Y7" s="76">
        <f>SUMIFS(приходи!$L:$L,приходи!$E:$E,'ПП Септември'!$C$7,приходи!$M:$M,'ПП Септември'!Y2)</f>
        <v>0</v>
      </c>
      <c r="Z7" s="76">
        <f>SUMIFS(приходи!$L:$L,приходи!$E:$E,'ПП Септември'!$C$7,приходи!$M:$M,'ПП Септември'!Z2)</f>
        <v>0</v>
      </c>
      <c r="AA7" s="76">
        <f>SUMIFS(приходи!$L:$L,приходи!$E:$E,'ПП Септември'!$C$7,приходи!$M:$M,'ПП Септември'!AA2)</f>
        <v>0</v>
      </c>
      <c r="AB7" s="74">
        <f>SUMIFS(приходи!$L:$L,приходи!$E:$E,'ПП Септември'!$C$7,приходи!$M:$M,'ПП Септември'!AB2)</f>
        <v>10987.199999999999</v>
      </c>
      <c r="AC7" s="74">
        <f>SUMIFS(приходи!$L:$L,приходи!$E:$E,'ПП Септември'!$C$7,приходи!$M:$M,'ПП Септември'!AC2)</f>
        <v>43134.251999999993</v>
      </c>
      <c r="AD7" s="74">
        <f>SUMIFS(приходи!$L:$L,приходи!$E:$E,'ПП Септември'!$C$7,приходи!$M:$M,'ПП Септември'!AD2)</f>
        <v>0</v>
      </c>
      <c r="AE7" s="74">
        <f>SUMIFS(приходи!$L:$L,приходи!$E:$E,'ПП Септември'!$C$7,приходи!$M:$M,'ПП Септември'!AE2)</f>
        <v>0</v>
      </c>
      <c r="AF7" s="76">
        <f>SUMIFS(приходи!$L:$L,приходи!$E:$E,'ПП Септември'!$C$7,приходи!$M:$M,'ПП Септември'!AF2)</f>
        <v>0</v>
      </c>
      <c r="AG7" s="76">
        <f>SUMIFS(приходи!$L:$L,приходи!$E:$E,'ПП Септември'!$C$7,приходи!$M:$M,'ПП Септември'!AG2)</f>
        <v>0</v>
      </c>
      <c r="AH7" s="74">
        <f>SUMIFS(приходи!$L:$L,приходи!$E:$E,'ПП Септември'!$C$7,приходи!$M:$M,'ПП Септември'!AH2)</f>
        <v>0</v>
      </c>
      <c r="AI7" s="61">
        <f t="shared" si="2"/>
        <v>54121.45199999999</v>
      </c>
      <c r="AJ7" s="69">
        <f t="shared" si="3"/>
        <v>1356012</v>
      </c>
    </row>
    <row r="8" spans="1:36" s="21" customFormat="1" ht="20.100000000000001" hidden="1" customHeight="1" outlineLevel="1" x14ac:dyDescent="0.3">
      <c r="B8" s="22"/>
      <c r="C8" s="8" t="s">
        <v>33</v>
      </c>
      <c r="D8" s="80">
        <v>43732.799999999996</v>
      </c>
      <c r="E8" s="76">
        <f>SUMIFS(приходи!$L:$L,приходи!$E:$E,'ПП Септември'!$C$8,приходи!$M:$M,'ПП Септември'!E2)</f>
        <v>0</v>
      </c>
      <c r="F8" s="74">
        <f>SUMIFS(приходи!$L:$L,приходи!$E:$E,'ПП Септември'!$C$8,приходи!$M:$M,'ПП Септември'!F2)</f>
        <v>0</v>
      </c>
      <c r="G8" s="74">
        <f>SUMIFS(приходи!$L:$L,приходи!$E:$E,'ПП Септември'!$C$8,приходи!$M:$M,'ПП Септември'!G2)</f>
        <v>0</v>
      </c>
      <c r="H8" s="74">
        <f>SUMIFS(приходи!$L:$L,приходи!$E:$E,'ПП Септември'!$C$8,приходи!$M:$M,'ПП Септември'!H2)</f>
        <v>0</v>
      </c>
      <c r="I8" s="74">
        <f>SUMIFS(приходи!$L:$L,приходи!$E:$E,'ПП Септември'!$C$8,приходи!$M:$M,'ПП Септември'!I2)</f>
        <v>0</v>
      </c>
      <c r="J8" s="76">
        <f>SUMIFS(приходи!$L:$L,приходи!$E:$E,'ПП Септември'!$C$8,приходи!$M:$M,'ПП Септември'!J2)</f>
        <v>0</v>
      </c>
      <c r="K8" s="76">
        <f>SUMIFS(приходи!$L:$L,приходи!$E:$E,'ПП Септември'!$C$8,приходи!$M:$M,'ПП Септември'!K2)</f>
        <v>0</v>
      </c>
      <c r="L8" s="76">
        <f>SUMIFS(приходи!$L:$L,приходи!$E:$E,'ПП Септември'!$C$8,приходи!$M:$M,'ПП Септември'!L2)</f>
        <v>0</v>
      </c>
      <c r="M8" s="74">
        <f>SUMIFS(приходи!$L:$L,приходи!$E:$E,'ПП Септември'!$C$8,приходи!$M:$M,'ПП Септември'!M2)</f>
        <v>0</v>
      </c>
      <c r="N8" s="74">
        <f>SUMIFS(приходи!$L:$L,приходи!$E:$E,'ПП Септември'!$C$8,приходи!$M:$M,'ПП Септември'!N2)</f>
        <v>0</v>
      </c>
      <c r="O8" s="74">
        <f>SUMIFS(приходи!$L:$L,приходи!$E:$E,'ПП Септември'!$C$8,приходи!$M:$M,'ПП Септември'!O2)</f>
        <v>0</v>
      </c>
      <c r="P8" s="74">
        <f>SUMIFS(приходи!$L:$L,приходи!$E:$E,'ПП Септември'!$C$8,приходи!$M:$M,'ПП Септември'!P2)</f>
        <v>0</v>
      </c>
      <c r="Q8" s="74">
        <f>SUMIFS(приходи!$L:$L,приходи!$E:$E,'ПП Септември'!$C$8,приходи!$M:$M,'ПП Септември'!Q2)</f>
        <v>0</v>
      </c>
      <c r="R8" s="76">
        <f>SUMIFS(приходи!$L:$L,приходи!$E:$E,'ПП Септември'!$C$8,приходи!$M:$M,'ПП Септември'!R2)</f>
        <v>0</v>
      </c>
      <c r="S8" s="76">
        <f>SUMIFS(приходи!$L:$L,приходи!$E:$E,'ПП Септември'!$C$8,приходи!$M:$M,'ПП Септември'!S2)</f>
        <v>1740.528</v>
      </c>
      <c r="T8" s="74">
        <f>SUMIFS(приходи!$L:$L,приходи!$E:$E,'ПП Септември'!$C$8,приходи!$M:$M,'ПП Септември'!T2)</f>
        <v>0</v>
      </c>
      <c r="U8" s="74">
        <f>SUMIFS(приходи!$L:$L,приходи!$E:$E,'ПП Септември'!$C$8,приходи!$M:$M,'ПП Септември'!U2)</f>
        <v>0</v>
      </c>
      <c r="V8" s="74">
        <f>SUMIFS(приходи!$L:$L,приходи!$E:$E,'ПП Септември'!$C$8,приходи!$M:$M,'ПП Септември'!V2)</f>
        <v>0</v>
      </c>
      <c r="W8" s="74">
        <f>SUMIFS(приходи!$L:$L,приходи!$E:$E,'ПП Септември'!$C$8,приходи!$M:$M,'ПП Септември'!W2)</f>
        <v>0</v>
      </c>
      <c r="X8" s="74">
        <f>SUMIFS(приходи!$L:$L,приходи!$E:$E,'ПП Септември'!$C$8,приходи!$M:$M,'ПП Септември'!X2)</f>
        <v>-31.451999999999892</v>
      </c>
      <c r="Y8" s="76">
        <f>SUMIFS(приходи!$L:$L,приходи!$E:$E,'ПП Септември'!$C$8,приходи!$M:$M,'ПП Септември'!Y2)</f>
        <v>0</v>
      </c>
      <c r="Z8" s="76">
        <f>SUMIFS(приходи!$L:$L,приходи!$E:$E,'ПП Септември'!$C$8,приходи!$M:$M,'ПП Септември'!Z2)</f>
        <v>0</v>
      </c>
      <c r="AA8" s="76">
        <f>SUMIFS(приходи!$L:$L,приходи!$E:$E,'ПП Септември'!$C$8,приходи!$M:$M,'ПП Септември'!AA2)</f>
        <v>1617.396</v>
      </c>
      <c r="AB8" s="74">
        <f>SUMIFS(приходи!$L:$L,приходи!$E:$E,'ПП Септември'!$C$8,приходи!$M:$M,'ПП Септември'!AB2)</f>
        <v>5159.6639999999998</v>
      </c>
      <c r="AC8" s="74">
        <f>SUMIFS(приходи!$L:$L,приходи!$E:$E,'ПП Септември'!$C$8,приходи!$M:$M,'ПП Септември'!AC2)</f>
        <v>2388.096</v>
      </c>
      <c r="AD8" s="74">
        <f>SUMIFS(приходи!$L:$L,приходи!$E:$E,'ПП Септември'!$C$8,приходи!$M:$M,'ПП Септември'!AD2)</f>
        <v>0</v>
      </c>
      <c r="AE8" s="74">
        <f>SUMIFS(приходи!$L:$L,приходи!$E:$E,'ПП Септември'!$C$8,приходи!$M:$M,'ПП Септември'!AE2)</f>
        <v>0</v>
      </c>
      <c r="AF8" s="76">
        <f>SUMIFS(приходи!$L:$L,приходи!$E:$E,'ПП Септември'!$C$8,приходи!$M:$M,'ПП Септември'!AF2)</f>
        <v>0</v>
      </c>
      <c r="AG8" s="76">
        <f>SUMIFS(приходи!$L:$L,приходи!$E:$E,'ПП Септември'!$C$8,приходи!$M:$M,'ПП Септември'!AG2)</f>
        <v>0</v>
      </c>
      <c r="AH8" s="74">
        <f>SUMIFS(приходи!$L:$L,приходи!$E:$E,'ПП Септември'!$C$8,приходи!$M:$M,'ПП Септември'!AH2)</f>
        <v>0</v>
      </c>
      <c r="AI8" s="61">
        <f t="shared" si="2"/>
        <v>10874.231999999998</v>
      </c>
      <c r="AJ8" s="69">
        <f t="shared" si="3"/>
        <v>32858.567999999999</v>
      </c>
    </row>
    <row r="9" spans="1:36" s="4" customFormat="1" ht="20.100000000000001" customHeight="1" collapsed="1" x14ac:dyDescent="0.3">
      <c r="B9" s="7">
        <v>2</v>
      </c>
      <c r="C9" s="8" t="s">
        <v>36</v>
      </c>
      <c r="D9" s="80"/>
      <c r="E9" s="76">
        <f>SUMIFS(приходи!$L:$L,приходи!$E:$E,'ПП Септември'!$C$9,приходи!$M:$M,'ПП Септември'!E2)</f>
        <v>4691.1000000000004</v>
      </c>
      <c r="F9" s="74">
        <f>SUMIFS(приходи!$L:$L,приходи!$E:$E,'ПП Септември'!$C$9,приходи!$M:$M,'ПП Септември'!F2)</f>
        <v>0</v>
      </c>
      <c r="G9" s="74">
        <f>SUMIFS(приходи!$L:$L,приходи!$E:$E,'ПП Септември'!$C$9,приходи!$M:$M,'ПП Септември'!G2)</f>
        <v>0</v>
      </c>
      <c r="H9" s="74">
        <f>SUMIFS(приходи!$L:$L,приходи!$E:$E,'ПП Септември'!$C$9,приходи!$M:$M,'ПП Септември'!H2)</f>
        <v>0</v>
      </c>
      <c r="I9" s="74">
        <f>SUMIFS(приходи!$L:$L,приходи!$E:$E,'ПП Септември'!$C$9,приходи!$M:$M,'ПП Септември'!I2)</f>
        <v>0</v>
      </c>
      <c r="J9" s="76">
        <f>SUMIFS(приходи!$L:$L,приходи!$E:$E,'ПП Септември'!$C$9,приходи!$M:$M,'ПП Септември'!J2)</f>
        <v>0</v>
      </c>
      <c r="K9" s="76">
        <f>SUMIFS(приходи!$L:$L,приходи!$E:$E,'ПП Септември'!$C$9,приходи!$M:$M,'ПП Септември'!K2)</f>
        <v>0</v>
      </c>
      <c r="L9" s="76">
        <f>SUMIFS(приходи!$L:$L,приходи!$E:$E,'ПП Септември'!$C$9,приходи!$M:$M,'ПП Септември'!L2)</f>
        <v>0</v>
      </c>
      <c r="M9" s="74">
        <f>SUMIFS(приходи!$L:$L,приходи!$E:$E,'ПП Септември'!$C$9,приходи!$M:$M,'ПП Септември'!M2)</f>
        <v>0</v>
      </c>
      <c r="N9" s="74">
        <f>SUMIFS(приходи!$L:$L,приходи!$E:$E,'ПП Септември'!$C$9,приходи!$M:$M,'ПП Септември'!N2)</f>
        <v>0</v>
      </c>
      <c r="O9" s="74">
        <f>SUMIFS(приходи!$L:$L,приходи!$E:$E,'ПП Септември'!$C$9,приходи!$M:$M,'ПП Септември'!O2)</f>
        <v>0</v>
      </c>
      <c r="P9" s="74">
        <f>SUMIFS(приходи!$L:$L,приходи!$E:$E,'ПП Септември'!$C$9,приходи!$M:$M,'ПП Септември'!P2)</f>
        <v>0</v>
      </c>
      <c r="Q9" s="74">
        <f>SUMIFS(приходи!$L:$L,приходи!$E:$E,'ПП Септември'!$C$9,приходи!$M:$M,'ПП Септември'!Q2)</f>
        <v>0</v>
      </c>
      <c r="R9" s="76">
        <f>SUMIFS(приходи!$L:$L,приходи!$E:$E,'ПП Септември'!$C$9,приходи!$M:$M,'ПП Септември'!R2)</f>
        <v>0</v>
      </c>
      <c r="S9" s="76">
        <f>SUMIFS(приходи!$L:$L,приходи!$E:$E,'ПП Септември'!$C$9,приходи!$M:$M,'ПП Септември'!S2)</f>
        <v>0</v>
      </c>
      <c r="T9" s="74">
        <f>SUMIFS(приходи!$L:$L,приходи!$E:$E,'ПП Септември'!$C$9,приходи!$M:$M,'ПП Септември'!T2)</f>
        <v>0</v>
      </c>
      <c r="U9" s="74">
        <f>SUMIFS(приходи!$L:$L,приходи!$E:$E,'ПП Септември'!$C$9,приходи!$M:$M,'ПП Септември'!U2)</f>
        <v>0</v>
      </c>
      <c r="V9" s="74">
        <f>SUMIFS(приходи!$L:$L,приходи!$E:$E,'ПП Септември'!$C$9,приходи!$M:$M,'ПП Септември'!V2)</f>
        <v>0</v>
      </c>
      <c r="W9" s="74">
        <f>SUMIFS(приходи!$L:$L,приходи!$E:$E,'ПП Септември'!$C$9,приходи!$M:$M,'ПП Септември'!W2)</f>
        <v>0</v>
      </c>
      <c r="X9" s="74">
        <f>SUMIFS(приходи!$L:$L,приходи!$E:$E,'ПП Септември'!$C$9,приходи!$M:$M,'ПП Септември'!X2)</f>
        <v>0</v>
      </c>
      <c r="Y9" s="76">
        <f>SUMIFS(приходи!$L:$L,приходи!$E:$E,'ПП Септември'!$C$9,приходи!$M:$M,'ПП Септември'!Y2)</f>
        <v>0</v>
      </c>
      <c r="Z9" s="76">
        <f>SUMIFS(приходи!$L:$L,приходи!$E:$E,'ПП Септември'!$C$9,приходи!$M:$M,'ПП Септември'!Z2)</f>
        <v>0</v>
      </c>
      <c r="AA9" s="76">
        <f>SUMIFS(приходи!$L:$L,приходи!$E:$E,'ПП Септември'!$C$9,приходи!$M:$M,'ПП Септември'!AA2)</f>
        <v>0</v>
      </c>
      <c r="AB9" s="74">
        <f>SUMIFS(приходи!$L:$L,приходи!$E:$E,'ПП Септември'!$C$9,приходи!$M:$M,'ПП Септември'!AB2)</f>
        <v>0</v>
      </c>
      <c r="AC9" s="74">
        <f>SUMIFS(приходи!$L:$L,приходи!$E:$E,'ПП Септември'!$C$9,приходи!$M:$M,'ПП Септември'!AC2)</f>
        <v>1608952.6459999997</v>
      </c>
      <c r="AD9" s="74">
        <f>SUMIFS(приходи!$L:$L,приходи!$E:$E,'ПП Септември'!$C$9,приходи!$M:$M,'ПП Септември'!AD2)</f>
        <v>0</v>
      </c>
      <c r="AE9" s="74">
        <f>SUMIFS(приходи!$L:$L,приходи!$E:$E,'ПП Септември'!$C$9,приходи!$M:$M,'ПП Септември'!AE2)</f>
        <v>0</v>
      </c>
      <c r="AF9" s="76">
        <f>SUMIFS(приходи!$L:$L,приходи!$E:$E,'ПП Септември'!$C$9,приходи!$M:$M,'ПП Септември'!AF2)</f>
        <v>0</v>
      </c>
      <c r="AG9" s="76">
        <f>SUMIFS(приходи!$L:$L,приходи!$E:$E,'ПП Септември'!$C$9,приходи!$M:$M,'ПП Септември'!AG2)</f>
        <v>0</v>
      </c>
      <c r="AH9" s="74">
        <f>SUMIFS(приходи!$L:$L,приходи!$E:$E,'ПП Септември'!$C$9,приходи!$M:$M,'ПП Септември'!AH2)</f>
        <v>0</v>
      </c>
      <c r="AI9" s="61">
        <f t="shared" si="2"/>
        <v>1613643.7459999998</v>
      </c>
      <c r="AJ9" s="69">
        <f t="shared" si="3"/>
        <v>-1613643.7459999998</v>
      </c>
    </row>
    <row r="10" spans="1:36" s="4" customFormat="1" ht="20.100000000000001" customHeight="1" x14ac:dyDescent="0.3">
      <c r="B10" s="7">
        <v>3</v>
      </c>
      <c r="C10" s="8" t="s">
        <v>119</v>
      </c>
      <c r="D10" s="80">
        <v>45097.248</v>
      </c>
      <c r="E10" s="76">
        <f>SUMIFS(приходи!$L:$L,приходи!$E:$E,'ПП Септември'!$C$10,приходи!$M:$M,'ПП Септември'!E2)</f>
        <v>0</v>
      </c>
      <c r="F10" s="74">
        <f>SUMIFS(приходи!$L:$L,приходи!$E:$E,'ПП Септември'!$C$10,приходи!$M:$M,'ПП Септември'!F2)</f>
        <v>0</v>
      </c>
      <c r="G10" s="74">
        <f>SUMIFS(приходи!$L:$L,приходи!$E:$E,'ПП Септември'!$C$10,приходи!$M:$M,'ПП Септември'!G2)</f>
        <v>0</v>
      </c>
      <c r="H10" s="74">
        <f>SUMIFS(приходи!$L:$L,приходи!$E:$E,'ПП Септември'!$C$10,приходи!$M:$M,'ПП Септември'!H2)</f>
        <v>0</v>
      </c>
      <c r="I10" s="74">
        <f>SUMIFS(приходи!$L:$L,приходи!$E:$E,'ПП Септември'!$C$10,приходи!$M:$M,'ПП Септември'!I2)</f>
        <v>0</v>
      </c>
      <c r="J10" s="76">
        <f>SUMIFS(приходи!$L:$L,приходи!$E:$E,'ПП Септември'!$C$10,приходи!$M:$M,'ПП Септември'!J2)</f>
        <v>0</v>
      </c>
      <c r="K10" s="76">
        <f>SUMIFS(приходи!$L:$L,приходи!$E:$E,'ПП Септември'!$C$10,приходи!$M:$M,'ПП Септември'!K2)</f>
        <v>0</v>
      </c>
      <c r="L10" s="76">
        <f>SUMIFS(приходи!$L:$L,приходи!$E:$E,'ПП Септември'!$C$10,приходи!$M:$M,'ПП Септември'!L2)</f>
        <v>0</v>
      </c>
      <c r="M10" s="74">
        <f>SUMIFS(приходи!$L:$L,приходи!$E:$E,'ПП Септември'!$C$10,приходи!$M:$M,'ПП Септември'!M2)</f>
        <v>0</v>
      </c>
      <c r="N10" s="74">
        <f>SUMIFS(приходи!$L:$L,приходи!$E:$E,'ПП Септември'!$C$10,приходи!$M:$M,'ПП Септември'!N2)</f>
        <v>0</v>
      </c>
      <c r="O10" s="74">
        <f>SUMIFS(приходи!$L:$L,приходи!$E:$E,'ПП Септември'!$C$10,приходи!$M:$M,'ПП Септември'!O2)</f>
        <v>0</v>
      </c>
      <c r="P10" s="74">
        <f>SUMIFS(приходи!$L:$L,приходи!$E:$E,'ПП Септември'!$C$10,приходи!$M:$M,'ПП Септември'!P2)</f>
        <v>0</v>
      </c>
      <c r="Q10" s="74">
        <f>SUMIFS(приходи!$L:$L,приходи!$E:$E,'ПП Септември'!$C$10,приходи!$M:$M,'ПП Септември'!Q2)</f>
        <v>0</v>
      </c>
      <c r="R10" s="76">
        <f>SUMIFS(приходи!$L:$L,приходи!$E:$E,'ПП Септември'!$C$10,приходи!$M:$M,'ПП Септември'!R2)</f>
        <v>0</v>
      </c>
      <c r="S10" s="76">
        <f>SUMIFS(приходи!$L:$L,приходи!$E:$E,'ПП Септември'!$C$10,приходи!$M:$M,'ПП Септември'!S2)</f>
        <v>0</v>
      </c>
      <c r="T10" s="74">
        <f>SUMIFS(приходи!$L:$L,приходи!$E:$E,'ПП Септември'!$C$10,приходи!$M:$M,'ПП Септември'!T2)</f>
        <v>0</v>
      </c>
      <c r="U10" s="74">
        <f>SUMIFS(приходи!$L:$L,приходи!$E:$E,'ПП Септември'!$C$10,приходи!$M:$M,'ПП Септември'!U2)</f>
        <v>0</v>
      </c>
      <c r="V10" s="74">
        <f>SUMIFS(приходи!$L:$L,приходи!$E:$E,'ПП Септември'!$C$10,приходи!$M:$M,'ПП Септември'!V2)</f>
        <v>0</v>
      </c>
      <c r="W10" s="74">
        <f>SUMIFS(приходи!$L:$L,приходи!$E:$E,'ПП Септември'!$C$10,приходи!$M:$M,'ПП Септември'!W2)</f>
        <v>0</v>
      </c>
      <c r="X10" s="74">
        <f>SUMIFS(приходи!$L:$L,приходи!$E:$E,'ПП Септември'!$C$10,приходи!$M:$M,'ПП Септември'!X2)</f>
        <v>0</v>
      </c>
      <c r="Y10" s="76">
        <f>SUMIFS(приходи!$L:$L,приходи!$E:$E,'ПП Септември'!$C$10,приходи!$M:$M,'ПП Септември'!Y2)</f>
        <v>0</v>
      </c>
      <c r="Z10" s="76">
        <f>SUMIFS(приходи!$L:$L,приходи!$E:$E,'ПП Септември'!$C$10,приходи!$M:$M,'ПП Септември'!Z2)</f>
        <v>0</v>
      </c>
      <c r="AA10" s="76">
        <f>SUMIFS(приходи!$L:$L,приходи!$E:$E,'ПП Септември'!$C$10,приходи!$M:$M,'ПП Септември'!AA2)</f>
        <v>0</v>
      </c>
      <c r="AB10" s="74">
        <f>SUMIFS(приходи!$L:$L,приходи!$E:$E,'ПП Септември'!$C$10,приходи!$M:$M,'ПП Септември'!AB2)</f>
        <v>0</v>
      </c>
      <c r="AC10" s="74">
        <f>SUMIFS(приходи!$L:$L,приходи!$E:$E,'ПП Септември'!$C$10,приходи!$M:$M,'ПП Септември'!AC2)</f>
        <v>0</v>
      </c>
      <c r="AD10" s="74">
        <f>SUMIFS(приходи!$L:$L,приходи!$E:$E,'ПП Септември'!$C$10,приходи!$M:$M,'ПП Септември'!AD2)</f>
        <v>0</v>
      </c>
      <c r="AE10" s="74">
        <f>SUMIFS(приходи!$L:$L,приходи!$E:$E,'ПП Септември'!$C$10,приходи!$M:$M,'ПП Септември'!AE2)</f>
        <v>0</v>
      </c>
      <c r="AF10" s="76">
        <f>SUMIFS(приходи!$L:$L,приходи!$E:$E,'ПП Септември'!$C$10,приходи!$M:$M,'ПП Септември'!AF2)</f>
        <v>0</v>
      </c>
      <c r="AG10" s="76">
        <f>SUMIFS(приходи!$L:$L,приходи!$E:$E,'ПП Септември'!$C$10,приходи!$M:$M,'ПП Септември'!AG2)</f>
        <v>0</v>
      </c>
      <c r="AH10" s="74">
        <f>SUMIFS(приходи!$L:$L,приходи!$E:$E,'ПП Септември'!$C$10,приходи!$M:$M,'ПП Септември'!AH2)</f>
        <v>0</v>
      </c>
      <c r="AI10" s="61">
        <f t="shared" si="2"/>
        <v>0</v>
      </c>
      <c r="AJ10" s="69">
        <f t="shared" si="3"/>
        <v>45097.248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73">
        <f t="shared" ref="D11:AH11" si="8">SUM(D12:D13,D20,D21,D22)</f>
        <v>69972.554700000008</v>
      </c>
      <c r="E11" s="77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7">
        <f t="shared" si="8"/>
        <v>0</v>
      </c>
      <c r="K11" s="77">
        <f t="shared" si="8"/>
        <v>0</v>
      </c>
      <c r="L11" s="77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7">
        <f t="shared" si="8"/>
        <v>0</v>
      </c>
      <c r="S11" s="77">
        <f t="shared" si="8"/>
        <v>43.716000000000001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31.451999999999998</v>
      </c>
      <c r="Y11" s="77">
        <f t="shared" si="8"/>
        <v>0</v>
      </c>
      <c r="Z11" s="77">
        <f t="shared" si="8"/>
        <v>0</v>
      </c>
      <c r="AA11" s="77">
        <f t="shared" si="8"/>
        <v>0</v>
      </c>
      <c r="AB11" s="73">
        <f t="shared" si="8"/>
        <v>755.17200000000003</v>
      </c>
      <c r="AC11" s="73">
        <f t="shared" si="8"/>
        <v>1101.588</v>
      </c>
      <c r="AD11" s="73">
        <f t="shared" si="8"/>
        <v>0</v>
      </c>
      <c r="AE11" s="73">
        <f t="shared" si="8"/>
        <v>0</v>
      </c>
      <c r="AF11" s="77">
        <f t="shared" si="8"/>
        <v>0</v>
      </c>
      <c r="AG11" s="77">
        <f t="shared" si="8"/>
        <v>0</v>
      </c>
      <c r="AH11" s="73">
        <f t="shared" si="8"/>
        <v>0</v>
      </c>
      <c r="AI11" s="57">
        <f t="shared" si="2"/>
        <v>1931.9279999999999</v>
      </c>
      <c r="AJ11" s="58">
        <f t="shared" si="3"/>
        <v>68040.626700000008</v>
      </c>
    </row>
    <row r="12" spans="1:36" s="4" customFormat="1" ht="20.100000000000001" customHeight="1" x14ac:dyDescent="0.3">
      <c r="B12" s="7">
        <v>1</v>
      </c>
      <c r="C12" s="8" t="s">
        <v>58</v>
      </c>
      <c r="D12" s="80">
        <v>11759.006700000002</v>
      </c>
      <c r="E12" s="76">
        <f>SUMIFS(приходи!$L:$L,приходи!$E:$E,'ПП Септември'!$C$12,приходи!$M:$M,'ПП Септември'!E2)</f>
        <v>0</v>
      </c>
      <c r="F12" s="74">
        <f>SUMIFS(приходи!$L:$L,приходи!$E:$E,'ПП Септември'!$C$12,приходи!$M:$M,'ПП Септември'!F2)</f>
        <v>0</v>
      </c>
      <c r="G12" s="74">
        <f>SUMIFS(приходи!$L:$L,приходи!$E:$E,'ПП Септември'!$C$12,приходи!$M:$M,'ПП Септември'!G2)</f>
        <v>0</v>
      </c>
      <c r="H12" s="74">
        <f>SUMIFS(приходи!$L:$L,приходи!$E:$E,'ПП Септември'!$C$12,приходи!$M:$M,'ПП Септември'!H2)</f>
        <v>0</v>
      </c>
      <c r="I12" s="74">
        <f>SUMIFS(приходи!$L:$L,приходи!$E:$E,'ПП Септември'!$C$12,приходи!$M:$M,'ПП Септември'!I2)</f>
        <v>0</v>
      </c>
      <c r="J12" s="76">
        <f>SUMIFS(приходи!$L:$L,приходи!$E:$E,'ПП Септември'!$C$12,приходи!$M:$M,'ПП Септември'!J2)</f>
        <v>0</v>
      </c>
      <c r="K12" s="76">
        <f>SUMIFS(приходи!$L:$L,приходи!$E:$E,'ПП Септември'!$C$12,приходи!$M:$M,'ПП Септември'!K2)</f>
        <v>0</v>
      </c>
      <c r="L12" s="76">
        <f>SUMIFS(приходи!$L:$L,приходи!$E:$E,'ПП Септември'!$C$12,приходи!$M:$M,'ПП Септември'!L2)</f>
        <v>0</v>
      </c>
      <c r="M12" s="74">
        <f>SUMIFS(приходи!$L:$L,приходи!$E:$E,'ПП Септември'!$C$12,приходи!$M:$M,'ПП Септември'!M2)</f>
        <v>0</v>
      </c>
      <c r="N12" s="74">
        <f>SUMIFS(приходи!$L:$L,приходи!$E:$E,'ПП Септември'!$C$12,приходи!$M:$M,'ПП Септември'!N2)</f>
        <v>0</v>
      </c>
      <c r="O12" s="74">
        <f>SUMIFS(приходи!$L:$L,приходи!$E:$E,'ПП Септември'!$C$12,приходи!$M:$M,'ПП Септември'!O2)</f>
        <v>0</v>
      </c>
      <c r="P12" s="74">
        <f>SUMIFS(приходи!$L:$L,приходи!$E:$E,'ПП Септември'!$C$12,приходи!$M:$M,'ПП Септември'!P2)</f>
        <v>0</v>
      </c>
      <c r="Q12" s="74">
        <f>SUMIFS(приходи!$L:$L,приходи!$E:$E,'ПП Септември'!$C$12,приходи!$M:$M,'ПП Септември'!Q2)</f>
        <v>0</v>
      </c>
      <c r="R12" s="76">
        <f>SUMIFS(приходи!$L:$L,приходи!$E:$E,'ПП Септември'!$C$12,приходи!$M:$M,'ПП Септември'!R2)</f>
        <v>0</v>
      </c>
      <c r="S12" s="76">
        <f>SUMIFS(приходи!$L:$L,приходи!$E:$E,'ПП Септември'!$C$12,приходи!$M:$M,'ПП Септември'!S2)</f>
        <v>0</v>
      </c>
      <c r="T12" s="74">
        <f>SUMIFS(приходи!$L:$L,приходи!$E:$E,'ПП Септември'!$C$12,приходи!$M:$M,'ПП Септември'!T2)</f>
        <v>0</v>
      </c>
      <c r="U12" s="74">
        <f>SUMIFS(приходи!$L:$L,приходи!$E:$E,'ПП Септември'!$C$12,приходи!$M:$M,'ПП Септември'!U2)</f>
        <v>0</v>
      </c>
      <c r="V12" s="74">
        <f>SUMIFS(приходи!$L:$L,приходи!$E:$E,'ПП Септември'!$C$12,приходи!$M:$M,'ПП Септември'!V2)</f>
        <v>0</v>
      </c>
      <c r="W12" s="74">
        <f>SUMIFS(приходи!$L:$L,приходи!$E:$E,'ПП Септември'!$C$12,приходи!$M:$M,'ПП Септември'!W2)</f>
        <v>0</v>
      </c>
      <c r="X12" s="74">
        <f>SUMIFS(приходи!$L:$L,приходи!$E:$E,'ПП Септември'!$C$12,приходи!$M:$M,'ПП Септември'!X2)</f>
        <v>31.451999999999998</v>
      </c>
      <c r="Y12" s="76">
        <f>SUMIFS(приходи!$L:$L,приходи!$E:$E,'ПП Септември'!$C$12,приходи!$M:$M,'ПП Септември'!Y2)</f>
        <v>0</v>
      </c>
      <c r="Z12" s="76">
        <f>SUMIFS(приходи!$L:$L,приходи!$E:$E,'ПП Септември'!$C$12,приходи!$M:$M,'ПП Септември'!Z2)</f>
        <v>0</v>
      </c>
      <c r="AA12" s="76">
        <f>SUMIFS(приходи!$L:$L,приходи!$E:$E,'ПП Септември'!$C$12,приходи!$M:$M,'ПП Септември'!AA2)</f>
        <v>0</v>
      </c>
      <c r="AB12" s="74">
        <f>SUMIFS(приходи!$L:$L,приходи!$E:$E,'ПП Септември'!$C$12,приходи!$M:$M,'ПП Септември'!AB2)</f>
        <v>0</v>
      </c>
      <c r="AC12" s="74">
        <f>SUMIFS(приходи!$L:$L,приходи!$E:$E,'ПП Септември'!$C$12,приходи!$M:$M,'ПП Септември'!AC2)</f>
        <v>258.80399999999997</v>
      </c>
      <c r="AD12" s="74">
        <f>SUMIFS(приходи!$L:$L,приходи!$E:$E,'ПП Септември'!$C$12,приходи!$M:$M,'ПП Септември'!AD2)</f>
        <v>0</v>
      </c>
      <c r="AE12" s="74">
        <f>SUMIFS(приходи!$L:$L,приходи!$E:$E,'ПП Септември'!$C$12,приходи!$M:$M,'ПП Септември'!AE2)</f>
        <v>0</v>
      </c>
      <c r="AF12" s="76">
        <f>SUMIFS(приходи!$L:$L,приходи!$E:$E,'ПП Септември'!$C$12,приходи!$M:$M,'ПП Септември'!AF2)</f>
        <v>0</v>
      </c>
      <c r="AG12" s="76">
        <f>SUMIFS(приходи!$L:$L,приходи!$E:$E,'ПП Септември'!$C$12,приходи!$M:$M,'ПП Септември'!AG2)</f>
        <v>0</v>
      </c>
      <c r="AH12" s="74">
        <f>SUMIFS(приходи!$L:$L,приходи!$E:$E,'ПП Септември'!$C$12,приходи!$M:$M,'ПП Септември'!AH2)</f>
        <v>0</v>
      </c>
      <c r="AI12" s="61">
        <f t="shared" si="2"/>
        <v>290.25599999999997</v>
      </c>
      <c r="AJ12" s="69">
        <f t="shared" si="3"/>
        <v>11468.750700000002</v>
      </c>
    </row>
    <row r="13" spans="1:36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58213.54800000001</v>
      </c>
      <c r="E13" s="76">
        <f t="shared" ref="E13:AH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6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6">
        <f t="shared" si="10"/>
        <v>0</v>
      </c>
      <c r="S13" s="76">
        <f t="shared" si="10"/>
        <v>43.716000000000001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6">
        <f t="shared" si="10"/>
        <v>0</v>
      </c>
      <c r="Z13" s="76">
        <f t="shared" si="10"/>
        <v>0</v>
      </c>
      <c r="AA13" s="76">
        <f t="shared" si="10"/>
        <v>0</v>
      </c>
      <c r="AB13" s="74">
        <f t="shared" si="10"/>
        <v>755.17200000000003</v>
      </c>
      <c r="AC13" s="74">
        <f t="shared" si="10"/>
        <v>842.78399999999999</v>
      </c>
      <c r="AD13" s="74">
        <f t="shared" si="10"/>
        <v>0</v>
      </c>
      <c r="AE13" s="74">
        <f t="shared" si="10"/>
        <v>0</v>
      </c>
      <c r="AF13" s="76">
        <f t="shared" si="10"/>
        <v>0</v>
      </c>
      <c r="AG13" s="76">
        <f t="shared" si="10"/>
        <v>0</v>
      </c>
      <c r="AH13" s="74">
        <f t="shared" si="10"/>
        <v>0</v>
      </c>
      <c r="AI13" s="61">
        <f t="shared" si="2"/>
        <v>1641.672</v>
      </c>
      <c r="AJ13" s="62">
        <f t="shared" si="3"/>
        <v>56571.876000000011</v>
      </c>
    </row>
    <row r="14" spans="1:36" s="21" customFormat="1" ht="20.100000000000001" hidden="1" customHeight="1" outlineLevel="1" x14ac:dyDescent="0.3">
      <c r="B14" s="22"/>
      <c r="C14" s="8" t="s">
        <v>76</v>
      </c>
      <c r="D14" s="80">
        <v>58213.54800000001</v>
      </c>
      <c r="E14" s="76">
        <f>SUMIFS(приходи!$L:$L,приходи!$E:$E,'ПП Септември'!$C$14,приходи!$M:$M,'ПП Септември'!E2)</f>
        <v>0</v>
      </c>
      <c r="F14" s="74">
        <f>SUMIFS(приходи!$L:$L,приходи!$E:$E,'ПП Септември'!$C$14,приходи!$M:$M,'ПП Септември'!F2)</f>
        <v>0</v>
      </c>
      <c r="G14" s="74">
        <f>SUMIFS(приходи!$L:$L,приходи!$E:$E,'ПП Септември'!$C$14,приходи!$M:$M,'ПП Септември'!G2)</f>
        <v>0</v>
      </c>
      <c r="H14" s="74">
        <f>SUMIFS(приходи!$L:$L,приходи!$E:$E,'ПП Септември'!$C$14,приходи!$M:$M,'ПП Септември'!H2)</f>
        <v>0</v>
      </c>
      <c r="I14" s="74">
        <f>SUMIFS(приходи!$L:$L,приходи!$E:$E,'ПП Септември'!$C$14,приходи!$M:$M,'ПП Септември'!I2)</f>
        <v>0</v>
      </c>
      <c r="J14" s="76">
        <f>SUMIFS(приходи!$L:$L,приходи!$E:$E,'ПП Септември'!$C$14,приходи!$M:$M,'ПП Септември'!J2)</f>
        <v>0</v>
      </c>
      <c r="K14" s="76">
        <f>SUMIFS(приходи!$L:$L,приходи!$E:$E,'ПП Септември'!$C$14,приходи!$M:$M,'ПП Септември'!K2)</f>
        <v>0</v>
      </c>
      <c r="L14" s="76">
        <f>SUMIFS(приходи!$L:$L,приходи!$E:$E,'ПП Септември'!$C$14,приходи!$M:$M,'ПП Септември'!L2)</f>
        <v>0</v>
      </c>
      <c r="M14" s="74">
        <f>SUMIFS(приходи!$L:$L,приходи!$E:$E,'ПП Септември'!$C$14,приходи!$M:$M,'ПП Септември'!M2)</f>
        <v>0</v>
      </c>
      <c r="N14" s="74">
        <f>SUMIFS(приходи!$L:$L,приходи!$E:$E,'ПП Септември'!$C$14,приходи!$M:$M,'ПП Септември'!N2)</f>
        <v>0</v>
      </c>
      <c r="O14" s="74">
        <f>SUMIFS(приходи!$L:$L,приходи!$E:$E,'ПП Септември'!$C$14,приходи!$M:$M,'ПП Септември'!O2)</f>
        <v>0</v>
      </c>
      <c r="P14" s="74">
        <f>SUMIFS(приходи!$L:$L,приходи!$E:$E,'ПП Септември'!$C$14,приходи!$M:$M,'ПП Септември'!P2)</f>
        <v>0</v>
      </c>
      <c r="Q14" s="74">
        <f>SUMIFS(приходи!$L:$L,приходи!$E:$E,'ПП Септември'!$C$14,приходи!$M:$M,'ПП Септември'!Q2)</f>
        <v>0</v>
      </c>
      <c r="R14" s="76">
        <f>SUMIFS(приходи!$L:$L,приходи!$E:$E,'ПП Септември'!$C$14,приходи!$M:$M,'ПП Септември'!R2)</f>
        <v>0</v>
      </c>
      <c r="S14" s="76">
        <f>SUMIFS(приходи!$L:$L,приходи!$E:$E,'ПП Септември'!$C$14,приходи!$M:$M,'ПП Септември'!S2)</f>
        <v>0</v>
      </c>
      <c r="T14" s="74">
        <f>SUMIFS(приходи!$L:$L,приходи!$E:$E,'ПП Септември'!$C$14,приходи!$M:$M,'ПП Септември'!T2)</f>
        <v>0</v>
      </c>
      <c r="U14" s="74">
        <f>SUMIFS(приходи!$L:$L,приходи!$E:$E,'ПП Септември'!$C$14,приходи!$M:$M,'ПП Септември'!U2)</f>
        <v>0</v>
      </c>
      <c r="V14" s="74">
        <f>SUMIFS(приходи!$L:$L,приходи!$E:$E,'ПП Септември'!$C$14,приходи!$M:$M,'ПП Септември'!V2)</f>
        <v>0</v>
      </c>
      <c r="W14" s="74">
        <f>SUMIFS(приходи!$L:$L,приходи!$E:$E,'ПП Септември'!$C$14,приходи!$M:$M,'ПП Септември'!W2)</f>
        <v>0</v>
      </c>
      <c r="X14" s="74">
        <f>SUMIFS(приходи!$L:$L,приходи!$E:$E,'ПП Септември'!$C$14,приходи!$M:$M,'ПП Септември'!X2)</f>
        <v>0</v>
      </c>
      <c r="Y14" s="76">
        <f>SUMIFS(приходи!$L:$L,приходи!$E:$E,'ПП Септември'!$C$14,приходи!$M:$M,'ПП Септември'!Y2)</f>
        <v>0</v>
      </c>
      <c r="Z14" s="76">
        <f>SUMIFS(приходи!$L:$L,приходи!$E:$E,'ПП Септември'!$C$14,приходи!$M:$M,'ПП Септември'!Z2)</f>
        <v>0</v>
      </c>
      <c r="AA14" s="76">
        <f>SUMIFS(приходи!$L:$L,приходи!$E:$E,'ПП Септември'!$C$14,приходи!$M:$M,'ПП Септември'!AA2)</f>
        <v>0</v>
      </c>
      <c r="AB14" s="74">
        <f>SUMIFS(приходи!$L:$L,приходи!$E:$E,'ПП Септември'!$C$14,приходи!$M:$M,'ПП Септември'!AB2)</f>
        <v>693.6</v>
      </c>
      <c r="AC14" s="74">
        <f>SUMIFS(приходи!$L:$L,приходи!$E:$E,'ПП Септември'!$C$14,приходи!$M:$M,'ПП Септември'!AC2)</f>
        <v>543.79200000000003</v>
      </c>
      <c r="AD14" s="74">
        <f>SUMIFS(приходи!$L:$L,приходи!$E:$E,'ПП Септември'!$C$14,приходи!$M:$M,'ПП Септември'!AD2)</f>
        <v>0</v>
      </c>
      <c r="AE14" s="74">
        <f>SUMIFS(приходи!$L:$L,приходи!$E:$E,'ПП Септември'!$C$14,приходи!$M:$M,'ПП Септември'!AE2)</f>
        <v>0</v>
      </c>
      <c r="AF14" s="76">
        <f>SUMIFS(приходи!$L:$L,приходи!$E:$E,'ПП Септември'!$C$14,приходи!$M:$M,'ПП Септември'!AF2)</f>
        <v>0</v>
      </c>
      <c r="AG14" s="76">
        <f>SUMIFS(приходи!$L:$L,приходи!$E:$E,'ПП Септември'!$C$14,приходи!$M:$M,'ПП Септември'!AG2)</f>
        <v>0</v>
      </c>
      <c r="AH14" s="74">
        <f>SUMIFS(приходи!$L:$L,приходи!$E:$E,'ПП Септември'!$C$14,приходи!$M:$M,'ПП Септември'!AH2)</f>
        <v>0</v>
      </c>
      <c r="AI14" s="61">
        <f t="shared" si="2"/>
        <v>1237.3920000000001</v>
      </c>
      <c r="AJ14" s="69">
        <f t="shared" si="3"/>
        <v>56976.15600000001</v>
      </c>
    </row>
    <row r="15" spans="1:36" s="21" customFormat="1" ht="20.100000000000001" hidden="1" customHeight="1" outlineLevel="1" x14ac:dyDescent="0.3">
      <c r="B15" s="22"/>
      <c r="C15" s="8" t="s">
        <v>71</v>
      </c>
      <c r="D15" s="80"/>
      <c r="E15" s="76">
        <f>SUMIFS(приходи!$L:$L,приходи!$E:$E,'ПП Септември'!$C$15,приходи!$M:$M,'ПП Септември'!E2)</f>
        <v>0</v>
      </c>
      <c r="F15" s="74">
        <f>SUMIFS(приходи!$L:$L,приходи!$E:$E,'ПП Септември'!$C$15,приходи!$M:$M,'ПП Септември'!F2)</f>
        <v>0</v>
      </c>
      <c r="G15" s="74">
        <f>SUMIFS(приходи!$L:$L,приходи!$E:$E,'ПП Септември'!$C$15,приходи!$M:$M,'ПП Септември'!G2)</f>
        <v>0</v>
      </c>
      <c r="H15" s="74">
        <f>SUMIFS(приходи!$L:$L,приходи!$E:$E,'ПП Септември'!$C$15,приходи!$M:$M,'ПП Септември'!H2)</f>
        <v>0</v>
      </c>
      <c r="I15" s="74">
        <f>SUMIFS(приходи!$L:$L,приходи!$E:$E,'ПП Септември'!$C$15,приходи!$M:$M,'ПП Септември'!I2)</f>
        <v>0</v>
      </c>
      <c r="J15" s="76">
        <f>SUMIFS(приходи!$L:$L,приходи!$E:$E,'ПП Септември'!$C$15,приходи!$M:$M,'ПП Септември'!J2)</f>
        <v>0</v>
      </c>
      <c r="K15" s="76">
        <f>SUMIFS(приходи!$L:$L,приходи!$E:$E,'ПП Септември'!$C$15,приходи!$M:$M,'ПП Септември'!K2)</f>
        <v>0</v>
      </c>
      <c r="L15" s="76">
        <f>SUMIFS(приходи!$L:$L,приходи!$E:$E,'ПП Септември'!$C$15,приходи!$M:$M,'ПП Септември'!L2)</f>
        <v>0</v>
      </c>
      <c r="M15" s="74">
        <f>SUMIFS(приходи!$L:$L,приходи!$E:$E,'ПП Септември'!$C$15,приходи!$M:$M,'ПП Септември'!M2)</f>
        <v>0</v>
      </c>
      <c r="N15" s="74">
        <f>SUMIFS(приходи!$L:$L,приходи!$E:$E,'ПП Септември'!$C$15,приходи!$M:$M,'ПП Септември'!N2)</f>
        <v>0</v>
      </c>
      <c r="O15" s="74">
        <f>SUMIFS(приходи!$L:$L,приходи!$E:$E,'ПП Септември'!$C$15,приходи!$M:$M,'ПП Септември'!O2)</f>
        <v>0</v>
      </c>
      <c r="P15" s="74">
        <f>SUMIFS(приходи!$L:$L,приходи!$E:$E,'ПП Септември'!$C$15,приходи!$M:$M,'ПП Септември'!P2)</f>
        <v>0</v>
      </c>
      <c r="Q15" s="74">
        <f>SUMIFS(приходи!$L:$L,приходи!$E:$E,'ПП Септември'!$C$15,приходи!$M:$M,'ПП Септември'!Q2)</f>
        <v>0</v>
      </c>
      <c r="R15" s="76">
        <f>SUMIFS(приходи!$L:$L,приходи!$E:$E,'ПП Септември'!$C$15,приходи!$M:$M,'ПП Септември'!R2)</f>
        <v>0</v>
      </c>
      <c r="S15" s="76">
        <f>SUMIFS(приходи!$L:$L,приходи!$E:$E,'ПП Септември'!$C$15,приходи!$M:$M,'ПП Септември'!S2)</f>
        <v>0</v>
      </c>
      <c r="T15" s="74">
        <f>SUMIFS(приходи!$L:$L,приходи!$E:$E,'ПП Септември'!$C$15,приходи!$M:$M,'ПП Септември'!T2)</f>
        <v>0</v>
      </c>
      <c r="U15" s="74">
        <f>SUMIFS(приходи!$L:$L,приходи!$E:$E,'ПП Септември'!$C$15,приходи!$M:$M,'ПП Септември'!U2)</f>
        <v>0</v>
      </c>
      <c r="V15" s="74">
        <f>SUMIFS(приходи!$L:$L,приходи!$E:$E,'ПП Септември'!$C$15,приходи!$M:$M,'ПП Септември'!V2)</f>
        <v>0</v>
      </c>
      <c r="W15" s="74">
        <f>SUMIFS(приходи!$L:$L,приходи!$E:$E,'ПП Септември'!$C$15,приходи!$M:$M,'ПП Септември'!W2)</f>
        <v>0</v>
      </c>
      <c r="X15" s="74">
        <f>SUMIFS(приходи!$L:$L,приходи!$E:$E,'ПП Септември'!$C$15,приходи!$M:$M,'ПП Септември'!X2)</f>
        <v>0</v>
      </c>
      <c r="Y15" s="76">
        <f>SUMIFS(приходи!$L:$L,приходи!$E:$E,'ПП Септември'!$C$15,приходи!$M:$M,'ПП Септември'!Y2)</f>
        <v>0</v>
      </c>
      <c r="Z15" s="76">
        <f>SUMIFS(приходи!$L:$L,приходи!$E:$E,'ПП Септември'!$C$15,приходи!$M:$M,'ПП Септември'!Z2)</f>
        <v>0</v>
      </c>
      <c r="AA15" s="76">
        <f>SUMIFS(приходи!$L:$L,приходи!$E:$E,'ПП Септември'!$C$15,приходи!$M:$M,'ПП Септември'!AA2)</f>
        <v>0</v>
      </c>
      <c r="AB15" s="74">
        <f>SUMIFS(приходи!$L:$L,приходи!$E:$E,'ПП Септември'!$C$15,приходи!$M:$M,'ПП Септември'!AB2)</f>
        <v>0</v>
      </c>
      <c r="AC15" s="74">
        <f>SUMIFS(приходи!$L:$L,приходи!$E:$E,'ПП Септември'!$C$15,приходи!$M:$M,'ПП Септември'!AC2)</f>
        <v>0</v>
      </c>
      <c r="AD15" s="74">
        <f>SUMIFS(приходи!$L:$L,приходи!$E:$E,'ПП Септември'!$C$15,приходи!$M:$M,'ПП Септември'!AD2)</f>
        <v>0</v>
      </c>
      <c r="AE15" s="74">
        <f>SUMIFS(приходи!$L:$L,приходи!$E:$E,'ПП Септември'!$C$15,приходи!$M:$M,'ПП Септември'!AE2)</f>
        <v>0</v>
      </c>
      <c r="AF15" s="76">
        <f>SUMIFS(приходи!$L:$L,приходи!$E:$E,'ПП Септември'!$C$15,приходи!$M:$M,'ПП Септември'!AF2)</f>
        <v>0</v>
      </c>
      <c r="AG15" s="76">
        <f>SUMIFS(приходи!$L:$L,приходи!$E:$E,'ПП Септември'!$C$15,приходи!$M:$M,'ПП Септември'!AG2)</f>
        <v>0</v>
      </c>
      <c r="AH15" s="74">
        <f>SUMIFS(приходи!$L:$L,приходи!$E:$E,'ПП Септември'!$C$15,приходи!$M:$M,'ПП Септември'!AH2)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hidden="1" customHeight="1" outlineLevel="1" x14ac:dyDescent="0.3">
      <c r="B16" s="22"/>
      <c r="C16" s="8" t="s">
        <v>63</v>
      </c>
      <c r="D16" s="80"/>
      <c r="E16" s="76">
        <f>SUMIFS(приходи!$L:$L,приходи!$E:$E,'ПП Септември'!$C$16,приходи!$M:$M,'ПП Септември'!E2)</f>
        <v>0</v>
      </c>
      <c r="F16" s="74">
        <f>SUMIFS(приходи!$L:$L,приходи!$E:$E,'ПП Септември'!$C$16,приходи!$M:$M,'ПП Септември'!F2)</f>
        <v>0</v>
      </c>
      <c r="G16" s="74">
        <f>SUMIFS(приходи!$L:$L,приходи!$E:$E,'ПП Септември'!$C$16,приходи!$M:$M,'ПП Септември'!G2)</f>
        <v>0</v>
      </c>
      <c r="H16" s="74">
        <f>SUMIFS(приходи!$L:$L,приходи!$E:$E,'ПП Септември'!$C$16,приходи!$M:$M,'ПП Септември'!H2)</f>
        <v>0</v>
      </c>
      <c r="I16" s="74">
        <f>SUMIFS(приходи!$L:$L,приходи!$E:$E,'ПП Септември'!$C$16,приходи!$M:$M,'ПП Септември'!I2)</f>
        <v>0</v>
      </c>
      <c r="J16" s="76">
        <f>SUMIFS(приходи!$L:$L,приходи!$E:$E,'ПП Септември'!$C$16,приходи!$M:$M,'ПП Септември'!J2)</f>
        <v>0</v>
      </c>
      <c r="K16" s="76">
        <f>SUMIFS(приходи!$L:$L,приходи!$E:$E,'ПП Септември'!$C$16,приходи!$M:$M,'ПП Септември'!K2)</f>
        <v>0</v>
      </c>
      <c r="L16" s="76">
        <f>SUMIFS(приходи!$L:$L,приходи!$E:$E,'ПП Септември'!$C$16,приходи!$M:$M,'ПП Септември'!L2)</f>
        <v>0</v>
      </c>
      <c r="M16" s="74">
        <f>SUMIFS(приходи!$L:$L,приходи!$E:$E,'ПП Септември'!$C$16,приходи!$M:$M,'ПП Септември'!M2)</f>
        <v>0</v>
      </c>
      <c r="N16" s="74">
        <f>SUMIFS(приходи!$L:$L,приходи!$E:$E,'ПП Септември'!$C$16,приходи!$M:$M,'ПП Септември'!N2)</f>
        <v>0</v>
      </c>
      <c r="O16" s="74">
        <f>SUMIFS(приходи!$L:$L,приходи!$E:$E,'ПП Септември'!$C$16,приходи!$M:$M,'ПП Септември'!O2)</f>
        <v>0</v>
      </c>
      <c r="P16" s="74">
        <f>SUMIFS(приходи!$L:$L,приходи!$E:$E,'ПП Септември'!$C$16,приходи!$M:$M,'ПП Септември'!P2)</f>
        <v>0</v>
      </c>
      <c r="Q16" s="74">
        <f>SUMIFS(приходи!$L:$L,приходи!$E:$E,'ПП Септември'!$C$16,приходи!$M:$M,'ПП Септември'!Q2)</f>
        <v>0</v>
      </c>
      <c r="R16" s="76">
        <f>SUMIFS(приходи!$L:$L,приходи!$E:$E,'ПП Септември'!$C$16,приходи!$M:$M,'ПП Септември'!R2)</f>
        <v>0</v>
      </c>
      <c r="S16" s="76">
        <f>SUMIFS(приходи!$L:$L,приходи!$E:$E,'ПП Септември'!$C$16,приходи!$M:$M,'ПП Септември'!S2)</f>
        <v>43.716000000000001</v>
      </c>
      <c r="T16" s="74">
        <f>SUMIFS(приходи!$L:$L,приходи!$E:$E,'ПП Септември'!$C$16,приходи!$M:$M,'ПП Септември'!T2)</f>
        <v>0</v>
      </c>
      <c r="U16" s="74">
        <f>SUMIFS(приходи!$L:$L,приходи!$E:$E,'ПП Септември'!$C$16,приходи!$M:$M,'ПП Септември'!U2)</f>
        <v>0</v>
      </c>
      <c r="V16" s="74">
        <f>SUMIFS(приходи!$L:$L,приходи!$E:$E,'ПП Септември'!$C$16,приходи!$M:$M,'ПП Септември'!V2)</f>
        <v>0</v>
      </c>
      <c r="W16" s="74">
        <f>SUMIFS(приходи!$L:$L,приходи!$E:$E,'ПП Септември'!$C$16,приходи!$M:$M,'ПП Септември'!W2)</f>
        <v>0</v>
      </c>
      <c r="X16" s="74">
        <f>SUMIFS(приходи!$L:$L,приходи!$E:$E,'ПП Септември'!$C$16,приходи!$M:$M,'ПП Септември'!X2)</f>
        <v>0</v>
      </c>
      <c r="Y16" s="76">
        <f>SUMIFS(приходи!$L:$L,приходи!$E:$E,'ПП Септември'!$C$16,приходи!$M:$M,'ПП Септември'!Y2)</f>
        <v>0</v>
      </c>
      <c r="Z16" s="76">
        <f>SUMIFS(приходи!$L:$L,приходи!$E:$E,'ПП Септември'!$C$16,приходи!$M:$M,'ПП Септември'!Z2)</f>
        <v>0</v>
      </c>
      <c r="AA16" s="76">
        <f>SUMIFS(приходи!$L:$L,приходи!$E:$E,'ПП Септември'!$C$16,приходи!$M:$M,'ПП Септември'!AA2)</f>
        <v>0</v>
      </c>
      <c r="AB16" s="74">
        <f>SUMIFS(приходи!$L:$L,приходи!$E:$E,'ПП Септември'!$C$16,приходи!$M:$M,'ПП Септември'!AB2)</f>
        <v>61.572000000000003</v>
      </c>
      <c r="AC16" s="74">
        <f>SUMIFS(приходи!$L:$L,приходи!$E:$E,'ПП Септември'!$C$16,приходи!$M:$M,'ПП Септември'!AC2)</f>
        <v>84.647999999999996</v>
      </c>
      <c r="AD16" s="74">
        <f>SUMIFS(приходи!$L:$L,приходи!$E:$E,'ПП Септември'!$C$16,приходи!$M:$M,'ПП Септември'!AD2)</f>
        <v>0</v>
      </c>
      <c r="AE16" s="74">
        <f>SUMIFS(приходи!$L:$L,приходи!$E:$E,'ПП Септември'!$C$16,приходи!$M:$M,'ПП Септември'!AE2)</f>
        <v>0</v>
      </c>
      <c r="AF16" s="76">
        <f>SUMIFS(приходи!$L:$L,приходи!$E:$E,'ПП Септември'!$C$16,приходи!$M:$M,'ПП Септември'!AF2)</f>
        <v>0</v>
      </c>
      <c r="AG16" s="76">
        <f>SUMIFS(приходи!$L:$L,приходи!$E:$E,'ПП Септември'!$C$16,приходи!$M:$M,'ПП Септември'!AG2)</f>
        <v>0</v>
      </c>
      <c r="AH16" s="74">
        <f>SUMIFS(приходи!$L:$L,приходи!$E:$E,'ПП Септември'!$C$16,приходи!$M:$M,'ПП Септември'!AH2)</f>
        <v>0</v>
      </c>
      <c r="AI16" s="61">
        <f t="shared" si="2"/>
        <v>189.93600000000001</v>
      </c>
      <c r="AJ16" s="69">
        <f t="shared" si="3"/>
        <v>-189.93600000000001</v>
      </c>
    </row>
    <row r="17" spans="1:36" s="21" customFormat="1" ht="20.100000000000001" hidden="1" customHeight="1" outlineLevel="1" x14ac:dyDescent="0.3">
      <c r="B17" s="22"/>
      <c r="C17" s="8" t="s">
        <v>57</v>
      </c>
      <c r="D17" s="80"/>
      <c r="E17" s="76">
        <f>SUMIFS(приходи!$L:$L,приходи!$E:$E,'ПП Септември'!$C$17,приходи!$M:$M,'ПП Септември'!E2)</f>
        <v>0</v>
      </c>
      <c r="F17" s="74">
        <f>SUMIFS(приходи!$L:$L,приходи!$E:$E,'ПП Септември'!$C$17,приходи!$M:$M,'ПП Септември'!F2)</f>
        <v>0</v>
      </c>
      <c r="G17" s="74">
        <f>SUMIFS(приходи!$L:$L,приходи!$E:$E,'ПП Септември'!$C$17,приходи!$M:$M,'ПП Септември'!G2)</f>
        <v>0</v>
      </c>
      <c r="H17" s="74">
        <f>SUMIFS(приходи!$L:$L,приходи!$E:$E,'ПП Септември'!$C$17,приходи!$M:$M,'ПП Септември'!H2)</f>
        <v>0</v>
      </c>
      <c r="I17" s="74">
        <f>SUMIFS(приходи!$L:$L,приходи!$E:$E,'ПП Септември'!$C$17,приходи!$M:$M,'ПП Септември'!I2)</f>
        <v>0</v>
      </c>
      <c r="J17" s="76">
        <f>SUMIFS(приходи!$L:$L,приходи!$E:$E,'ПП Септември'!$C$17,приходи!$M:$M,'ПП Септември'!J2)</f>
        <v>0</v>
      </c>
      <c r="K17" s="76">
        <f>SUMIFS(приходи!$L:$L,приходи!$E:$E,'ПП Септември'!$C$17,приходи!$M:$M,'ПП Септември'!K2)</f>
        <v>0</v>
      </c>
      <c r="L17" s="76">
        <f>SUMIFS(приходи!$L:$L,приходи!$E:$E,'ПП Септември'!$C$17,приходи!$M:$M,'ПП Септември'!L2)</f>
        <v>0</v>
      </c>
      <c r="M17" s="74">
        <f>SUMIFS(приходи!$L:$L,приходи!$E:$E,'ПП Септември'!$C$17,приходи!$M:$M,'ПП Септември'!M2)</f>
        <v>0</v>
      </c>
      <c r="N17" s="74">
        <f>SUMIFS(приходи!$L:$L,приходи!$E:$E,'ПП Септември'!$C$17,приходи!$M:$M,'ПП Септември'!N2)</f>
        <v>0</v>
      </c>
      <c r="O17" s="74">
        <f>SUMIFS(приходи!$L:$L,приходи!$E:$E,'ПП Септември'!$C$17,приходи!$M:$M,'ПП Септември'!O2)</f>
        <v>0</v>
      </c>
      <c r="P17" s="74">
        <f>SUMIFS(приходи!$L:$L,приходи!$E:$E,'ПП Септември'!$C$17,приходи!$M:$M,'ПП Септември'!P2)</f>
        <v>0</v>
      </c>
      <c r="Q17" s="74">
        <f>SUMIFS(приходи!$L:$L,приходи!$E:$E,'ПП Септември'!$C$17,приходи!$M:$M,'ПП Септември'!Q2)</f>
        <v>0</v>
      </c>
      <c r="R17" s="76">
        <f>SUMIFS(приходи!$L:$L,приходи!$E:$E,'ПП Септември'!$C$17,приходи!$M:$M,'ПП Септември'!R2)</f>
        <v>0</v>
      </c>
      <c r="S17" s="76">
        <f>SUMIFS(приходи!$L:$L,приходи!$E:$E,'ПП Септември'!$C$17,приходи!$M:$M,'ПП Септември'!S2)</f>
        <v>0</v>
      </c>
      <c r="T17" s="74">
        <f>SUMIFS(приходи!$L:$L,приходи!$E:$E,'ПП Септември'!$C$17,приходи!$M:$M,'ПП Септември'!T2)</f>
        <v>0</v>
      </c>
      <c r="U17" s="74">
        <f>SUMIFS(приходи!$L:$L,приходи!$E:$E,'ПП Септември'!$C$17,приходи!$M:$M,'ПП Септември'!U2)</f>
        <v>0</v>
      </c>
      <c r="V17" s="74">
        <f>SUMIFS(приходи!$L:$L,приходи!$E:$E,'ПП Септември'!$C$17,приходи!$M:$M,'ПП Септември'!V2)</f>
        <v>0</v>
      </c>
      <c r="W17" s="74">
        <f>SUMIFS(приходи!$L:$L,приходи!$E:$E,'ПП Септември'!$C$17,приходи!$M:$M,'ПП Септември'!W2)</f>
        <v>0</v>
      </c>
      <c r="X17" s="74">
        <f>SUMIFS(приходи!$L:$L,приходи!$E:$E,'ПП Септември'!$C$17,приходи!$M:$M,'ПП Септември'!X2)</f>
        <v>0</v>
      </c>
      <c r="Y17" s="76">
        <f>SUMIFS(приходи!$L:$L,приходи!$E:$E,'ПП Септември'!$C$17,приходи!$M:$M,'ПП Септември'!Y2)</f>
        <v>0</v>
      </c>
      <c r="Z17" s="76">
        <f>SUMIFS(приходи!$L:$L,приходи!$E:$E,'ПП Септември'!$C$17,приходи!$M:$M,'ПП Септември'!Z2)</f>
        <v>0</v>
      </c>
      <c r="AA17" s="76">
        <f>SUMIFS(приходи!$L:$L,приходи!$E:$E,'ПП Септември'!$C$17,приходи!$M:$M,'ПП Септември'!AA2)</f>
        <v>0</v>
      </c>
      <c r="AB17" s="74">
        <f>SUMIFS(приходи!$L:$L,приходи!$E:$E,'ПП Септември'!$C$17,приходи!$M:$M,'ПП Септември'!AB2)</f>
        <v>0</v>
      </c>
      <c r="AC17" s="74">
        <f>SUMIFS(приходи!$L:$L,приходи!$E:$E,'ПП Септември'!$C$17,приходи!$M:$M,'ПП Септември'!AC2)</f>
        <v>92.616</v>
      </c>
      <c r="AD17" s="74">
        <f>SUMIFS(приходи!$L:$L,приходи!$E:$E,'ПП Септември'!$C$17,приходи!$M:$M,'ПП Септември'!AD2)</f>
        <v>0</v>
      </c>
      <c r="AE17" s="74">
        <f>SUMIFS(приходи!$L:$L,приходи!$E:$E,'ПП Септември'!$C$17,приходи!$M:$M,'ПП Септември'!AE2)</f>
        <v>0</v>
      </c>
      <c r="AF17" s="76">
        <f>SUMIFS(приходи!$L:$L,приходи!$E:$E,'ПП Септември'!$C$17,приходи!$M:$M,'ПП Септември'!AF2)</f>
        <v>0</v>
      </c>
      <c r="AG17" s="76">
        <f>SUMIFS(приходи!$L:$L,приходи!$E:$E,'ПП Септември'!$C$17,приходи!$M:$M,'ПП Септември'!AG2)</f>
        <v>0</v>
      </c>
      <c r="AH17" s="74">
        <f>SUMIFS(приходи!$L:$L,приходи!$E:$E,'ПП Септември'!$C$17,приходи!$M:$M,'ПП Септември'!AH2)</f>
        <v>0</v>
      </c>
      <c r="AI17" s="61">
        <f t="shared" si="2"/>
        <v>92.616</v>
      </c>
      <c r="AJ17" s="69">
        <f t="shared" si="3"/>
        <v>-92.616</v>
      </c>
    </row>
    <row r="18" spans="1:36" s="21" customFormat="1" ht="20.100000000000001" hidden="1" customHeight="1" outlineLevel="1" x14ac:dyDescent="0.3">
      <c r="B18" s="22"/>
      <c r="C18" s="8" t="s">
        <v>120</v>
      </c>
      <c r="D18" s="80"/>
      <c r="E18" s="76">
        <f>SUMIFS(приходи!$L:$L,приходи!$E:$E,'ПП Септември'!$C$18,приходи!$M:$M,'ПП Септември'!E2)</f>
        <v>0</v>
      </c>
      <c r="F18" s="74">
        <f>SUMIFS(приходи!$L:$L,приходи!$E:$E,'ПП Септември'!$C$18,приходи!$M:$M,'ПП Септември'!F2)</f>
        <v>0</v>
      </c>
      <c r="G18" s="74">
        <f>SUMIFS(приходи!$L:$L,приходи!$E:$E,'ПП Септември'!$C$18,приходи!$M:$M,'ПП Септември'!G2)</f>
        <v>0</v>
      </c>
      <c r="H18" s="74">
        <f>SUMIFS(приходи!$L:$L,приходи!$E:$E,'ПП Септември'!$C$18,приходи!$M:$M,'ПП Септември'!H2)</f>
        <v>0</v>
      </c>
      <c r="I18" s="74">
        <f>SUMIFS(приходи!$L:$L,приходи!$E:$E,'ПП Септември'!$C$18,приходи!$M:$M,'ПП Септември'!I2)</f>
        <v>0</v>
      </c>
      <c r="J18" s="76">
        <f>SUMIFS(приходи!$L:$L,приходи!$E:$E,'ПП Септември'!$C$18,приходи!$M:$M,'ПП Септември'!J2)</f>
        <v>0</v>
      </c>
      <c r="K18" s="76">
        <f>SUMIFS(приходи!$L:$L,приходи!$E:$E,'ПП Септември'!$C$18,приходи!$M:$M,'ПП Септември'!K2)</f>
        <v>0</v>
      </c>
      <c r="L18" s="76">
        <f>SUMIFS(приходи!$L:$L,приходи!$E:$E,'ПП Септември'!$C$18,приходи!$M:$M,'ПП Септември'!L2)</f>
        <v>0</v>
      </c>
      <c r="M18" s="74">
        <f>SUMIFS(приходи!$L:$L,приходи!$E:$E,'ПП Септември'!$C$18,приходи!$M:$M,'ПП Септември'!M2)</f>
        <v>0</v>
      </c>
      <c r="N18" s="74">
        <f>SUMIFS(приходи!$L:$L,приходи!$E:$E,'ПП Септември'!$C$18,приходи!$M:$M,'ПП Септември'!N2)</f>
        <v>0</v>
      </c>
      <c r="O18" s="74">
        <f>SUMIFS(приходи!$L:$L,приходи!$E:$E,'ПП Септември'!$C$18,приходи!$M:$M,'ПП Септември'!O2)</f>
        <v>0</v>
      </c>
      <c r="P18" s="74">
        <f>SUMIFS(приходи!$L:$L,приходи!$E:$E,'ПП Септември'!$C$18,приходи!$M:$M,'ПП Септември'!P2)</f>
        <v>0</v>
      </c>
      <c r="Q18" s="74">
        <f>SUMIFS(приходи!$L:$L,приходи!$E:$E,'ПП Септември'!$C$18,приходи!$M:$M,'ПП Септември'!Q2)</f>
        <v>0</v>
      </c>
      <c r="R18" s="76">
        <f>SUMIFS(приходи!$L:$L,приходи!$E:$E,'ПП Септември'!$C$18,приходи!$M:$M,'ПП Септември'!R2)</f>
        <v>0</v>
      </c>
      <c r="S18" s="76">
        <f>SUMIFS(приходи!$L:$L,приходи!$E:$E,'ПП Септември'!$C$18,приходи!$M:$M,'ПП Септември'!S2)</f>
        <v>0</v>
      </c>
      <c r="T18" s="74">
        <f>SUMIFS(приходи!$L:$L,приходи!$E:$E,'ПП Септември'!$C$18,приходи!$M:$M,'ПП Септември'!T2)</f>
        <v>0</v>
      </c>
      <c r="U18" s="74">
        <f>SUMIFS(приходи!$L:$L,приходи!$E:$E,'ПП Септември'!$C$18,приходи!$M:$M,'ПП Септември'!U2)</f>
        <v>0</v>
      </c>
      <c r="V18" s="74">
        <f>SUMIFS(приходи!$L:$L,приходи!$E:$E,'ПП Септември'!$C$18,приходи!$M:$M,'ПП Септември'!V2)</f>
        <v>0</v>
      </c>
      <c r="W18" s="74">
        <f>SUMIFS(приходи!$L:$L,приходи!$E:$E,'ПП Септември'!$C$18,приходи!$M:$M,'ПП Септември'!W2)</f>
        <v>0</v>
      </c>
      <c r="X18" s="74">
        <f>SUMIFS(приходи!$L:$L,приходи!$E:$E,'ПП Септември'!$C$18,приходи!$M:$M,'ПП Септември'!X2)</f>
        <v>0</v>
      </c>
      <c r="Y18" s="76">
        <f>SUMIFS(приходи!$L:$L,приходи!$E:$E,'ПП Септември'!$C$18,приходи!$M:$M,'ПП Септември'!Y2)</f>
        <v>0</v>
      </c>
      <c r="Z18" s="76">
        <f>SUMIFS(приходи!$L:$L,приходи!$E:$E,'ПП Септември'!$C$18,приходи!$M:$M,'ПП Септември'!Z2)</f>
        <v>0</v>
      </c>
      <c r="AA18" s="76">
        <f>SUMIFS(приходи!$L:$L,приходи!$E:$E,'ПП Септември'!$C$18,приходи!$M:$M,'ПП Септември'!AA2)</f>
        <v>0</v>
      </c>
      <c r="AB18" s="74">
        <f>SUMIFS(приходи!$L:$L,приходи!$E:$E,'ПП Септември'!$C$18,приходи!$M:$M,'ПП Септември'!AB2)</f>
        <v>0</v>
      </c>
      <c r="AC18" s="74">
        <f>SUMIFS(приходи!$L:$L,приходи!$E:$E,'ПП Септември'!$C$18,приходи!$M:$M,'ПП Септември'!AC2)</f>
        <v>9.5399999999999991</v>
      </c>
      <c r="AD18" s="74">
        <f>SUMIFS(приходи!$L:$L,приходи!$E:$E,'ПП Септември'!$C$18,приходи!$M:$M,'ПП Септември'!AD2)</f>
        <v>0</v>
      </c>
      <c r="AE18" s="74">
        <f>SUMIFS(приходи!$L:$L,приходи!$E:$E,'ПП Септември'!$C$18,приходи!$M:$M,'ПП Септември'!AE2)</f>
        <v>0</v>
      </c>
      <c r="AF18" s="76">
        <f>SUMIFS(приходи!$L:$L,приходи!$E:$E,'ПП Септември'!$C$18,приходи!$M:$M,'ПП Септември'!AF2)</f>
        <v>0</v>
      </c>
      <c r="AG18" s="76">
        <f>SUMIFS(приходи!$L:$L,приходи!$E:$E,'ПП Септември'!$C$18,приходи!$M:$M,'ПП Септември'!AG2)</f>
        <v>0</v>
      </c>
      <c r="AH18" s="74">
        <f>SUMIFS(приходи!$L:$L,приходи!$E:$E,'ПП Септември'!$C$18,приходи!$M:$M,'ПП Септември'!AH2)</f>
        <v>0</v>
      </c>
      <c r="AI18" s="61">
        <f t="shared" si="2"/>
        <v>9.5399999999999991</v>
      </c>
      <c r="AJ18" s="69">
        <f t="shared" si="3"/>
        <v>-9.5399999999999991</v>
      </c>
    </row>
    <row r="19" spans="1:36" s="21" customFormat="1" ht="20.100000000000001" hidden="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Септември'!$C$19,приходи!$M:$M,'ПП Септември'!E2)</f>
        <v>0</v>
      </c>
      <c r="F19" s="74">
        <f>SUMIFS(приходи!$L:$L,приходи!$E:$E,'ПП Септември'!$C$19,приходи!$M:$M,'ПП Септември'!F2)</f>
        <v>0</v>
      </c>
      <c r="G19" s="74">
        <f>SUMIFS(приходи!$L:$L,приходи!$E:$E,'ПП Септември'!$C$19,приходи!$M:$M,'ПП Септември'!G2)</f>
        <v>0</v>
      </c>
      <c r="H19" s="74">
        <f>SUMIFS(приходи!$L:$L,приходи!$E:$E,'ПП Септември'!$C$19,приходи!$M:$M,'ПП Септември'!H2)</f>
        <v>0</v>
      </c>
      <c r="I19" s="74">
        <f>SUMIFS(приходи!$L:$L,приходи!$E:$E,'ПП Септември'!$C$19,приходи!$M:$M,'ПП Септември'!I2)</f>
        <v>0</v>
      </c>
      <c r="J19" s="76">
        <f>SUMIFS(приходи!$L:$L,приходи!$E:$E,'ПП Септември'!$C$19,приходи!$M:$M,'ПП Септември'!J2)</f>
        <v>0</v>
      </c>
      <c r="K19" s="76">
        <f>SUMIFS(приходи!$L:$L,приходи!$E:$E,'ПП Септември'!$C$19,приходи!$M:$M,'ПП Септември'!K2)</f>
        <v>0</v>
      </c>
      <c r="L19" s="76">
        <f>SUMIFS(приходи!$L:$L,приходи!$E:$E,'ПП Септември'!$C$19,приходи!$M:$M,'ПП Септември'!L2)</f>
        <v>0</v>
      </c>
      <c r="M19" s="74">
        <f>SUMIFS(приходи!$L:$L,приходи!$E:$E,'ПП Септември'!$C$19,приходи!$M:$M,'ПП Септември'!M2)</f>
        <v>0</v>
      </c>
      <c r="N19" s="74">
        <f>SUMIFS(приходи!$L:$L,приходи!$E:$E,'ПП Септември'!$C$19,приходи!$M:$M,'ПП Септември'!N2)</f>
        <v>0</v>
      </c>
      <c r="O19" s="74">
        <f>SUMIFS(приходи!$L:$L,приходи!$E:$E,'ПП Септември'!$C$19,приходи!$M:$M,'ПП Септември'!O2)</f>
        <v>0</v>
      </c>
      <c r="P19" s="74">
        <f>SUMIFS(приходи!$L:$L,приходи!$E:$E,'ПП Септември'!$C$19,приходи!$M:$M,'ПП Септември'!P2)</f>
        <v>0</v>
      </c>
      <c r="Q19" s="74">
        <f>SUMIFS(приходи!$L:$L,приходи!$E:$E,'ПП Септември'!$C$19,приходи!$M:$M,'ПП Септември'!Q2)</f>
        <v>0</v>
      </c>
      <c r="R19" s="76">
        <f>SUMIFS(приходи!$L:$L,приходи!$E:$E,'ПП Септември'!$C$19,приходи!$M:$M,'ПП Септември'!R2)</f>
        <v>0</v>
      </c>
      <c r="S19" s="76">
        <f>SUMIFS(приходи!$L:$L,приходи!$E:$E,'ПП Септември'!$C$19,приходи!$M:$M,'ПП Септември'!S2)</f>
        <v>0</v>
      </c>
      <c r="T19" s="74">
        <f>SUMIFS(приходи!$L:$L,приходи!$E:$E,'ПП Септември'!$C$19,приходи!$M:$M,'ПП Септември'!T2)</f>
        <v>0</v>
      </c>
      <c r="U19" s="74">
        <f>SUMIFS(приходи!$L:$L,приходи!$E:$E,'ПП Септември'!$C$19,приходи!$M:$M,'ПП Септември'!U2)</f>
        <v>0</v>
      </c>
      <c r="V19" s="74">
        <f>SUMIFS(приходи!$L:$L,приходи!$E:$E,'ПП Септември'!$C$19,приходи!$M:$M,'ПП Септември'!V2)</f>
        <v>0</v>
      </c>
      <c r="W19" s="74">
        <f>SUMIFS(приходи!$L:$L,приходи!$E:$E,'ПП Септември'!$C$19,приходи!$M:$M,'ПП Септември'!W2)</f>
        <v>0</v>
      </c>
      <c r="X19" s="74">
        <f>SUMIFS(приходи!$L:$L,приходи!$E:$E,'ПП Септември'!$C$19,приходи!$M:$M,'ПП Септември'!X2)</f>
        <v>0</v>
      </c>
      <c r="Y19" s="76">
        <f>SUMIFS(приходи!$L:$L,приходи!$E:$E,'ПП Септември'!$C$19,приходи!$M:$M,'ПП Септември'!Y2)</f>
        <v>0</v>
      </c>
      <c r="Z19" s="76">
        <f>SUMIFS(приходи!$L:$L,приходи!$E:$E,'ПП Септември'!$C$19,приходи!$M:$M,'ПП Септември'!Z2)</f>
        <v>0</v>
      </c>
      <c r="AA19" s="76">
        <f>SUMIFS(приходи!$L:$L,приходи!$E:$E,'ПП Септември'!$C$19,приходи!$M:$M,'ПП Септември'!AA2)</f>
        <v>0</v>
      </c>
      <c r="AB19" s="74">
        <f>SUMIFS(приходи!$L:$L,приходи!$E:$E,'ПП Септември'!$C$19,приходи!$M:$M,'ПП Септември'!AB2)</f>
        <v>0</v>
      </c>
      <c r="AC19" s="74">
        <f>SUMIFS(приходи!$L:$L,приходи!$E:$E,'ПП Септември'!$C$19,приходи!$M:$M,'ПП Септември'!AC2)</f>
        <v>112.18799999999999</v>
      </c>
      <c r="AD19" s="74">
        <f>SUMIFS(приходи!$L:$L,приходи!$E:$E,'ПП Септември'!$C$19,приходи!$M:$M,'ПП Септември'!AD2)</f>
        <v>0</v>
      </c>
      <c r="AE19" s="74">
        <f>SUMIFS(приходи!$L:$L,приходи!$E:$E,'ПП Септември'!$C$19,приходи!$M:$M,'ПП Септември'!AE2)</f>
        <v>0</v>
      </c>
      <c r="AF19" s="76">
        <f>SUMIFS(приходи!$L:$L,приходи!$E:$E,'ПП Септември'!$C$19,приходи!$M:$M,'ПП Септември'!AF2)</f>
        <v>0</v>
      </c>
      <c r="AG19" s="76">
        <f>SUMIFS(приходи!$L:$L,приходи!$E:$E,'ПП Септември'!$C$19,приходи!$M:$M,'ПП Септември'!AG2)</f>
        <v>0</v>
      </c>
      <c r="AH19" s="74">
        <f>SUMIFS(приходи!$L:$L,приходи!$E:$E,'ПП Септември'!$C$19,приходи!$M:$M,'ПП Септември'!AH2)</f>
        <v>0</v>
      </c>
      <c r="AI19" s="61">
        <f t="shared" si="2"/>
        <v>112.18799999999999</v>
      </c>
      <c r="AJ19" s="69">
        <f t="shared" si="3"/>
        <v>-112.18799999999999</v>
      </c>
    </row>
    <row r="20" spans="1:36" s="4" customFormat="1" ht="20.100000000000001" customHeight="1" collapsed="1" x14ac:dyDescent="0.3">
      <c r="B20" s="7">
        <v>3</v>
      </c>
      <c r="C20" s="8" t="s">
        <v>54</v>
      </c>
      <c r="D20" s="80"/>
      <c r="E20" s="76">
        <f>SUMIFS(приходи!$L:$L,приходи!$E:$E,'ПП Септември'!$C$20,приходи!$M:$M,'ПП Септември'!E2)</f>
        <v>0</v>
      </c>
      <c r="F20" s="74">
        <f>SUMIFS(приходи!$L:$L,приходи!$E:$E,'ПП Септември'!$C$20,приходи!$M:$M,'ПП Септември'!F2)</f>
        <v>0</v>
      </c>
      <c r="G20" s="74">
        <f>SUMIFS(приходи!$L:$L,приходи!$E:$E,'ПП Септември'!$C$20,приходи!$M:$M,'ПП Септември'!G2)</f>
        <v>0</v>
      </c>
      <c r="H20" s="74">
        <f>SUMIFS(приходи!$L:$L,приходи!$E:$E,'ПП Септември'!$C$20,приходи!$M:$M,'ПП Септември'!H2)</f>
        <v>0</v>
      </c>
      <c r="I20" s="74">
        <f>SUMIFS(приходи!$L:$L,приходи!$E:$E,'ПП Септември'!$C$20,приходи!$M:$M,'ПП Септември'!I2)</f>
        <v>0</v>
      </c>
      <c r="J20" s="76">
        <f>SUMIFS(приходи!$L:$L,приходи!$E:$E,'ПП Септември'!$C$20,приходи!$M:$M,'ПП Септември'!J2)</f>
        <v>0</v>
      </c>
      <c r="K20" s="76">
        <f>SUMIFS(приходи!$L:$L,приходи!$E:$E,'ПП Септември'!$C$20,приходи!$M:$M,'ПП Септември'!K2)</f>
        <v>0</v>
      </c>
      <c r="L20" s="76">
        <f>SUMIFS(приходи!$L:$L,приходи!$E:$E,'ПП Септември'!$C$20,приходи!$M:$M,'ПП Септември'!L2)</f>
        <v>0</v>
      </c>
      <c r="M20" s="74">
        <f>SUMIFS(приходи!$L:$L,приходи!$E:$E,'ПП Септември'!$C$20,приходи!$M:$M,'ПП Септември'!M2)</f>
        <v>0</v>
      </c>
      <c r="N20" s="74">
        <f>SUMIFS(приходи!$L:$L,приходи!$E:$E,'ПП Септември'!$C$20,приходи!$M:$M,'ПП Септември'!N2)</f>
        <v>0</v>
      </c>
      <c r="O20" s="74">
        <f>SUMIFS(приходи!$L:$L,приходи!$E:$E,'ПП Септември'!$C$20,приходи!$M:$M,'ПП Септември'!O2)</f>
        <v>0</v>
      </c>
      <c r="P20" s="74">
        <f>SUMIFS(приходи!$L:$L,приходи!$E:$E,'ПП Септември'!$C$20,приходи!$M:$M,'ПП Септември'!P2)</f>
        <v>0</v>
      </c>
      <c r="Q20" s="74">
        <f>SUMIFS(приходи!$L:$L,приходи!$E:$E,'ПП Септември'!$C$20,приходи!$M:$M,'ПП Септември'!Q2)</f>
        <v>0</v>
      </c>
      <c r="R20" s="76">
        <f>SUMIFS(приходи!$L:$L,приходи!$E:$E,'ПП Септември'!$C$20,приходи!$M:$M,'ПП Септември'!R2)</f>
        <v>0</v>
      </c>
      <c r="S20" s="76">
        <f>SUMIFS(приходи!$L:$L,приходи!$E:$E,'ПП Септември'!$C$20,приходи!$M:$M,'ПП Септември'!S2)</f>
        <v>0</v>
      </c>
      <c r="T20" s="74">
        <f>SUMIFS(приходи!$L:$L,приходи!$E:$E,'ПП Септември'!$C$20,приходи!$M:$M,'ПП Септември'!T2)</f>
        <v>0</v>
      </c>
      <c r="U20" s="74">
        <f>SUMIFS(приходи!$L:$L,приходи!$E:$E,'ПП Септември'!$C$20,приходи!$M:$M,'ПП Септември'!U2)</f>
        <v>0</v>
      </c>
      <c r="V20" s="74">
        <f>SUMIFS(приходи!$L:$L,приходи!$E:$E,'ПП Септември'!$C$20,приходи!$M:$M,'ПП Септември'!V2)</f>
        <v>0</v>
      </c>
      <c r="W20" s="74">
        <f>SUMIFS(приходи!$L:$L,приходи!$E:$E,'ПП Септември'!$C$20,приходи!$M:$M,'ПП Септември'!W2)</f>
        <v>0</v>
      </c>
      <c r="X20" s="74">
        <f>SUMIFS(приходи!$L:$L,приходи!$E:$E,'ПП Септември'!$C$20,приходи!$M:$M,'ПП Септември'!X2)</f>
        <v>0</v>
      </c>
      <c r="Y20" s="76">
        <f>SUMIFS(приходи!$L:$L,приходи!$E:$E,'ПП Септември'!$C$20,приходи!$M:$M,'ПП Септември'!Y2)</f>
        <v>0</v>
      </c>
      <c r="Z20" s="76">
        <f>SUMIFS(приходи!$L:$L,приходи!$E:$E,'ПП Септември'!$C$20,приходи!$M:$M,'ПП Септември'!Z2)</f>
        <v>0</v>
      </c>
      <c r="AA20" s="76">
        <f>SUMIFS(приходи!$L:$L,приходи!$E:$E,'ПП Септември'!$C$20,приходи!$M:$M,'ПП Септември'!AA2)</f>
        <v>0</v>
      </c>
      <c r="AB20" s="74">
        <f>SUMIFS(приходи!$L:$L,приходи!$E:$E,'ПП Септември'!$C$20,приходи!$M:$M,'ПП Септември'!AB2)</f>
        <v>0</v>
      </c>
      <c r="AC20" s="74">
        <f>SUMIFS(приходи!$L:$L,приходи!$E:$E,'ПП Септември'!$C$20,приходи!$M:$M,'ПП Септември'!AC2)</f>
        <v>0</v>
      </c>
      <c r="AD20" s="74">
        <f>SUMIFS(приходи!$L:$L,приходи!$E:$E,'ПП Септември'!$C$20,приходи!$M:$M,'ПП Септември'!AD2)</f>
        <v>0</v>
      </c>
      <c r="AE20" s="74">
        <f>SUMIFS(приходи!$L:$L,приходи!$E:$E,'ПП Септември'!$C$20,приходи!$M:$M,'ПП Септември'!AE2)</f>
        <v>0</v>
      </c>
      <c r="AF20" s="76">
        <f>SUMIFS(приходи!$L:$L,приходи!$E:$E,'ПП Септември'!$C$20,приходи!$M:$M,'ПП Септември'!AF2)</f>
        <v>0</v>
      </c>
      <c r="AG20" s="76">
        <f>SUMIFS(приходи!$L:$L,приходи!$E:$E,'ПП Септември'!$C$20,приходи!$M:$M,'ПП Септември'!AG2)</f>
        <v>0</v>
      </c>
      <c r="AH20" s="74">
        <f>SUMIFS(приходи!$L:$L,приходи!$E:$E,'ПП Септември'!$C$20,приходи!$M:$M,'ПП Септември'!AH2)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Септември'!$C$21,приходи!$M:$M,'ПП Септември'!E2)</f>
        <v>0</v>
      </c>
      <c r="F21" s="74">
        <f>SUMIFS(приходи!$L:$L,приходи!$E:$E,'ПП Септември'!$C$21,приходи!$M:$M,'ПП Септември'!F2)</f>
        <v>0</v>
      </c>
      <c r="G21" s="74">
        <f>SUMIFS(приходи!$L:$L,приходи!$E:$E,'ПП Септември'!$C$21,приходи!$M:$M,'ПП Септември'!G2)</f>
        <v>0</v>
      </c>
      <c r="H21" s="74">
        <f>SUMIFS(приходи!$L:$L,приходи!$E:$E,'ПП Септември'!$C$21,приходи!$M:$M,'ПП Септември'!H2)</f>
        <v>0</v>
      </c>
      <c r="I21" s="74">
        <f>SUMIFS(приходи!$L:$L,приходи!$E:$E,'ПП Септември'!$C$21,приходи!$M:$M,'ПП Септември'!I2)</f>
        <v>0</v>
      </c>
      <c r="J21" s="76">
        <f>SUMIFS(приходи!$L:$L,приходи!$E:$E,'ПП Септември'!$C$21,приходи!$M:$M,'ПП Септември'!J2)</f>
        <v>0</v>
      </c>
      <c r="K21" s="76">
        <f>SUMIFS(приходи!$L:$L,приходи!$E:$E,'ПП Септември'!$C$21,приходи!$M:$M,'ПП Септември'!K2)</f>
        <v>0</v>
      </c>
      <c r="L21" s="76">
        <f>SUMIFS(приходи!$L:$L,приходи!$E:$E,'ПП Септември'!$C$21,приходи!$M:$M,'ПП Септември'!L2)</f>
        <v>0</v>
      </c>
      <c r="M21" s="74">
        <f>SUMIFS(приходи!$L:$L,приходи!$E:$E,'ПП Септември'!$C$21,приходи!$M:$M,'ПП Септември'!M2)</f>
        <v>0</v>
      </c>
      <c r="N21" s="74">
        <f>SUMIFS(приходи!$L:$L,приходи!$E:$E,'ПП Септември'!$C$21,приходи!$M:$M,'ПП Септември'!N2)</f>
        <v>0</v>
      </c>
      <c r="O21" s="74">
        <f>SUMIFS(приходи!$L:$L,приходи!$E:$E,'ПП Септември'!$C$21,приходи!$M:$M,'ПП Септември'!O2)</f>
        <v>0</v>
      </c>
      <c r="P21" s="74">
        <f>SUMIFS(приходи!$L:$L,приходи!$E:$E,'ПП Септември'!$C$21,приходи!$M:$M,'ПП Септември'!P2)</f>
        <v>0</v>
      </c>
      <c r="Q21" s="74">
        <f>SUMIFS(приходи!$L:$L,приходи!$E:$E,'ПП Септември'!$C$21,приходи!$M:$M,'ПП Септември'!Q2)</f>
        <v>0</v>
      </c>
      <c r="R21" s="76">
        <f>SUMIFS(приходи!$L:$L,приходи!$E:$E,'ПП Септември'!$C$21,приходи!$M:$M,'ПП Септември'!R2)</f>
        <v>0</v>
      </c>
      <c r="S21" s="76">
        <f>SUMIFS(приходи!$L:$L,приходи!$E:$E,'ПП Септември'!$C$21,приходи!$M:$M,'ПП Септември'!S2)</f>
        <v>0</v>
      </c>
      <c r="T21" s="74">
        <f>SUMIFS(приходи!$L:$L,приходи!$E:$E,'ПП Септември'!$C$21,приходи!$M:$M,'ПП Септември'!T2)</f>
        <v>0</v>
      </c>
      <c r="U21" s="74">
        <f>SUMIFS(приходи!$L:$L,приходи!$E:$E,'ПП Септември'!$C$21,приходи!$M:$M,'ПП Септември'!U2)</f>
        <v>0</v>
      </c>
      <c r="V21" s="74">
        <f>SUMIFS(приходи!$L:$L,приходи!$E:$E,'ПП Септември'!$C$21,приходи!$M:$M,'ПП Септември'!V2)</f>
        <v>0</v>
      </c>
      <c r="W21" s="74">
        <f>SUMIFS(приходи!$L:$L,приходи!$E:$E,'ПП Септември'!$C$21,приходи!$M:$M,'ПП Септември'!W2)</f>
        <v>0</v>
      </c>
      <c r="X21" s="74">
        <f>SUMIFS(приходи!$L:$L,приходи!$E:$E,'ПП Септември'!$C$21,приходи!$M:$M,'ПП Септември'!X2)</f>
        <v>0</v>
      </c>
      <c r="Y21" s="76">
        <f>SUMIFS(приходи!$L:$L,приходи!$E:$E,'ПП Септември'!$C$21,приходи!$M:$M,'ПП Септември'!Y2)</f>
        <v>0</v>
      </c>
      <c r="Z21" s="76">
        <f>SUMIFS(приходи!$L:$L,приходи!$E:$E,'ПП Септември'!$C$21,приходи!$M:$M,'ПП Септември'!Z2)</f>
        <v>0</v>
      </c>
      <c r="AA21" s="76">
        <f>SUMIFS(приходи!$L:$L,приходи!$E:$E,'ПП Септември'!$C$21,приходи!$M:$M,'ПП Септември'!AA2)</f>
        <v>0</v>
      </c>
      <c r="AB21" s="74">
        <f>SUMIFS(приходи!$L:$L,приходи!$E:$E,'ПП Септември'!$C$21,приходи!$M:$M,'ПП Септември'!AB2)</f>
        <v>0</v>
      </c>
      <c r="AC21" s="74">
        <f>SUMIFS(приходи!$L:$L,приходи!$E:$E,'ПП Септември'!$C$21,приходи!$M:$M,'ПП Септември'!AC2)</f>
        <v>0</v>
      </c>
      <c r="AD21" s="74">
        <f>SUMIFS(приходи!$L:$L,приходи!$E:$E,'ПП Септември'!$C$21,приходи!$M:$M,'ПП Септември'!AD2)</f>
        <v>0</v>
      </c>
      <c r="AE21" s="74">
        <f>SUMIFS(приходи!$L:$L,приходи!$E:$E,'ПП Септември'!$C$21,приходи!$M:$M,'ПП Септември'!AE2)</f>
        <v>0</v>
      </c>
      <c r="AF21" s="76">
        <f>SUMIFS(приходи!$L:$L,приходи!$E:$E,'ПП Септември'!$C$21,приходи!$M:$M,'ПП Септември'!AF2)</f>
        <v>0</v>
      </c>
      <c r="AG21" s="76">
        <f>SUMIFS(приходи!$L:$L,приходи!$E:$E,'ПП Септември'!$C$21,приходи!$M:$M,'ПП Септември'!AG2)</f>
        <v>0</v>
      </c>
      <c r="AH21" s="74">
        <f>SUMIFS(приходи!$L:$L,приходи!$E:$E,'ПП Септември'!$C$21,приходи!$M:$M,'ПП Септември'!AH2)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Септември'!$C$22,приходи!$M:$M,'ПП Септември'!E2)</f>
        <v>0</v>
      </c>
      <c r="F22" s="74">
        <f>SUMIFS(приходи!$L:$L,приходи!$E:$E,'ПП Септември'!$C$22,приходи!$M:$M,'ПП Септември'!F2)</f>
        <v>0</v>
      </c>
      <c r="G22" s="74">
        <f>SUMIFS(приходи!$L:$L,приходи!$E:$E,'ПП Септември'!$C$22,приходи!$M:$M,'ПП Септември'!G2)</f>
        <v>0</v>
      </c>
      <c r="H22" s="74">
        <f>SUMIFS(приходи!$L:$L,приходи!$E:$E,'ПП Септември'!$C$22,приходи!$M:$M,'ПП Септември'!H2)</f>
        <v>0</v>
      </c>
      <c r="I22" s="74">
        <f>SUMIFS(приходи!$L:$L,приходи!$E:$E,'ПП Септември'!$C$22,приходи!$M:$M,'ПП Септември'!I2)</f>
        <v>0</v>
      </c>
      <c r="J22" s="76">
        <f>SUMIFS(приходи!$L:$L,приходи!$E:$E,'ПП Септември'!$C$22,приходи!$M:$M,'ПП Септември'!J2)</f>
        <v>0</v>
      </c>
      <c r="K22" s="76">
        <f>SUMIFS(приходи!$L:$L,приходи!$E:$E,'ПП Септември'!$C$22,приходи!$M:$M,'ПП Септември'!K2)</f>
        <v>0</v>
      </c>
      <c r="L22" s="76">
        <f>SUMIFS(приходи!$L:$L,приходи!$E:$E,'ПП Септември'!$C$22,приходи!$M:$M,'ПП Септември'!L2)</f>
        <v>0</v>
      </c>
      <c r="M22" s="74">
        <f>SUMIFS(приходи!$L:$L,приходи!$E:$E,'ПП Септември'!$C$22,приходи!$M:$M,'ПП Септември'!M2)</f>
        <v>0</v>
      </c>
      <c r="N22" s="74">
        <f>SUMIFS(приходи!$L:$L,приходи!$E:$E,'ПП Септември'!$C$22,приходи!$M:$M,'ПП Септември'!N2)</f>
        <v>0</v>
      </c>
      <c r="O22" s="74">
        <f>SUMIFS(приходи!$L:$L,приходи!$E:$E,'ПП Септември'!$C$22,приходи!$M:$M,'ПП Септември'!O2)</f>
        <v>0</v>
      </c>
      <c r="P22" s="74">
        <f>SUMIFS(приходи!$L:$L,приходи!$E:$E,'ПП Септември'!$C$22,приходи!$M:$M,'ПП Септември'!P2)</f>
        <v>0</v>
      </c>
      <c r="Q22" s="74">
        <f>SUMIFS(приходи!$L:$L,приходи!$E:$E,'ПП Септември'!$C$22,приходи!$M:$M,'ПП Септември'!Q2)</f>
        <v>0</v>
      </c>
      <c r="R22" s="76">
        <f>SUMIFS(приходи!$L:$L,приходи!$E:$E,'ПП Септември'!$C$22,приходи!$M:$M,'ПП Септември'!R2)</f>
        <v>0</v>
      </c>
      <c r="S22" s="76">
        <f>SUMIFS(приходи!$L:$L,приходи!$E:$E,'ПП Септември'!$C$22,приходи!$M:$M,'ПП Септември'!S2)</f>
        <v>0</v>
      </c>
      <c r="T22" s="74">
        <f>SUMIFS(приходи!$L:$L,приходи!$E:$E,'ПП Септември'!$C$22,приходи!$M:$M,'ПП Септември'!T2)</f>
        <v>0</v>
      </c>
      <c r="U22" s="74">
        <f>SUMIFS(приходи!$L:$L,приходи!$E:$E,'ПП Септември'!$C$22,приходи!$M:$M,'ПП Септември'!U2)</f>
        <v>0</v>
      </c>
      <c r="V22" s="74">
        <f>SUMIFS(приходи!$L:$L,приходи!$E:$E,'ПП Септември'!$C$22,приходи!$M:$M,'ПП Септември'!V2)</f>
        <v>0</v>
      </c>
      <c r="W22" s="74">
        <f>SUMIFS(приходи!$L:$L,приходи!$E:$E,'ПП Септември'!$C$22,приходи!$M:$M,'ПП Септември'!W2)</f>
        <v>0</v>
      </c>
      <c r="X22" s="74">
        <f>SUMIFS(приходи!$L:$L,приходи!$E:$E,'ПП Септември'!$C$22,приходи!$M:$M,'ПП Септември'!X2)</f>
        <v>0</v>
      </c>
      <c r="Y22" s="76">
        <f>SUMIFS(приходи!$L:$L,приходи!$E:$E,'ПП Септември'!$C$22,приходи!$M:$M,'ПП Септември'!Y2)</f>
        <v>0</v>
      </c>
      <c r="Z22" s="76">
        <f>SUMIFS(приходи!$L:$L,приходи!$E:$E,'ПП Септември'!$C$22,приходи!$M:$M,'ПП Септември'!Z2)</f>
        <v>0</v>
      </c>
      <c r="AA22" s="76">
        <f>SUMIFS(приходи!$L:$L,приходи!$E:$E,'ПП Септември'!$C$22,приходи!$M:$M,'ПП Септември'!AA2)</f>
        <v>0</v>
      </c>
      <c r="AB22" s="74">
        <f>SUMIFS(приходи!$L:$L,приходи!$E:$E,'ПП Септември'!$C$22,приходи!$M:$M,'ПП Септември'!AB2)</f>
        <v>0</v>
      </c>
      <c r="AC22" s="74">
        <f>SUMIFS(приходи!$L:$L,приходи!$E:$E,'ПП Септември'!$C$22,приходи!$M:$M,'ПП Септември'!AC2)</f>
        <v>0</v>
      </c>
      <c r="AD22" s="74">
        <f>SUMIFS(приходи!$L:$L,приходи!$E:$E,'ПП Септември'!$C$22,приходи!$M:$M,'ПП Септември'!AD2)</f>
        <v>0</v>
      </c>
      <c r="AE22" s="74">
        <f>SUMIFS(приходи!$L:$L,приходи!$E:$E,'ПП Септември'!$C$22,приходи!$M:$M,'ПП Септември'!AE2)</f>
        <v>0</v>
      </c>
      <c r="AF22" s="76">
        <f>SUMIFS(приходи!$L:$L,приходи!$E:$E,'ПП Септември'!$C$22,приходи!$M:$M,'ПП Септември'!AF2)</f>
        <v>0</v>
      </c>
      <c r="AG22" s="76">
        <f>SUMIFS(приходи!$L:$L,приходи!$E:$E,'ПП Септември'!$C$22,приходи!$M:$M,'ПП Септември'!AG2)</f>
        <v>0</v>
      </c>
      <c r="AH22" s="74">
        <f>SUMIFS(приходи!$L:$L,приходи!$E:$E,'ПП Септември'!$C$22,приходи!$M:$M,'ПП Септември'!AH2)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>SUM(D24,D29,D36,D41,D42)</f>
        <v>5502489.1101900414</v>
      </c>
      <c r="E23" s="54">
        <f t="shared" ref="E23:AH23" si="11">SUM(E24,E29,E36,E41,E42)</f>
        <v>0</v>
      </c>
      <c r="F23" s="54">
        <f t="shared" si="11"/>
        <v>2065.85</v>
      </c>
      <c r="G23" s="54">
        <f t="shared" si="11"/>
        <v>17431.88</v>
      </c>
      <c r="H23" s="54">
        <f t="shared" si="11"/>
        <v>22569.09</v>
      </c>
      <c r="I23" s="54">
        <f t="shared" si="11"/>
        <v>33420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231985.12703999999</v>
      </c>
      <c r="N23" s="54">
        <f t="shared" si="11"/>
        <v>8359.64</v>
      </c>
      <c r="O23" s="54">
        <f t="shared" si="11"/>
        <v>574388.06400000001</v>
      </c>
      <c r="P23" s="54">
        <f t="shared" si="11"/>
        <v>129090.91374779999</v>
      </c>
      <c r="Q23" s="54">
        <f t="shared" si="11"/>
        <v>1049494.554</v>
      </c>
      <c r="R23" s="54">
        <f t="shared" si="11"/>
        <v>0</v>
      </c>
      <c r="S23" s="54">
        <f t="shared" si="11"/>
        <v>0</v>
      </c>
      <c r="T23" s="54">
        <f t="shared" si="11"/>
        <v>25254.98697795</v>
      </c>
      <c r="U23" s="54">
        <f t="shared" si="11"/>
        <v>200162.52000000002</v>
      </c>
      <c r="V23" s="54">
        <f t="shared" si="11"/>
        <v>77966.959999999992</v>
      </c>
      <c r="W23" s="54">
        <f t="shared" si="11"/>
        <v>215950.25372061902</v>
      </c>
      <c r="X23" s="54">
        <f t="shared" si="11"/>
        <v>83879.88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279177.92599999998</v>
      </c>
      <c r="AC23" s="54">
        <f t="shared" si="11"/>
        <v>589635.6</v>
      </c>
      <c r="AD23" s="54">
        <f t="shared" si="11"/>
        <v>421837.179</v>
      </c>
      <c r="AE23" s="54">
        <f t="shared" si="11"/>
        <v>263682</v>
      </c>
      <c r="AF23" s="54">
        <f t="shared" si="11"/>
        <v>0</v>
      </c>
      <c r="AG23" s="54">
        <f t="shared" si="11"/>
        <v>0</v>
      </c>
      <c r="AH23" s="54">
        <f t="shared" si="11"/>
        <v>62972.639999999999</v>
      </c>
      <c r="AI23" s="54">
        <f t="shared" si="2"/>
        <v>4289325.0644863686</v>
      </c>
      <c r="AJ23" s="54">
        <f t="shared" si="3"/>
        <v>1213164.0457036728</v>
      </c>
    </row>
    <row r="24" spans="1:36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4945212.0175109999</v>
      </c>
      <c r="E24" s="77">
        <f t="shared" ref="E24:AH24" si="13">SUM(E25:E28)</f>
        <v>0</v>
      </c>
      <c r="F24" s="73">
        <f t="shared" si="13"/>
        <v>0</v>
      </c>
      <c r="G24" s="73">
        <f t="shared" si="13"/>
        <v>17430</v>
      </c>
      <c r="H24" s="73">
        <f t="shared" si="13"/>
        <v>22569.09</v>
      </c>
      <c r="I24" s="73">
        <f t="shared" si="13"/>
        <v>33420</v>
      </c>
      <c r="J24" s="77">
        <f t="shared" si="13"/>
        <v>0</v>
      </c>
      <c r="K24" s="77">
        <f t="shared" si="13"/>
        <v>0</v>
      </c>
      <c r="L24" s="77">
        <f t="shared" si="13"/>
        <v>0</v>
      </c>
      <c r="M24" s="73">
        <f t="shared" si="13"/>
        <v>0</v>
      </c>
      <c r="N24" s="73">
        <f t="shared" si="13"/>
        <v>7854.75</v>
      </c>
      <c r="O24" s="73">
        <f t="shared" si="13"/>
        <v>294108</v>
      </c>
      <c r="P24" s="73">
        <f t="shared" si="13"/>
        <v>128958.61374779999</v>
      </c>
      <c r="Q24" s="73">
        <f t="shared" si="13"/>
        <v>1049494.554</v>
      </c>
      <c r="R24" s="77">
        <f t="shared" si="13"/>
        <v>0</v>
      </c>
      <c r="S24" s="77">
        <f t="shared" si="13"/>
        <v>0</v>
      </c>
      <c r="T24" s="73">
        <f t="shared" si="13"/>
        <v>25254.98697795</v>
      </c>
      <c r="U24" s="73">
        <f t="shared" si="13"/>
        <v>200162.52000000002</v>
      </c>
      <c r="V24" s="73">
        <f t="shared" si="13"/>
        <v>77966.959999999992</v>
      </c>
      <c r="W24" s="73">
        <f t="shared" si="13"/>
        <v>215230.25372061902</v>
      </c>
      <c r="X24" s="73">
        <f t="shared" si="13"/>
        <v>83533.88</v>
      </c>
      <c r="Y24" s="77">
        <f t="shared" si="13"/>
        <v>0</v>
      </c>
      <c r="Z24" s="77">
        <f t="shared" si="13"/>
        <v>0</v>
      </c>
      <c r="AA24" s="77">
        <f t="shared" si="13"/>
        <v>0</v>
      </c>
      <c r="AB24" s="73">
        <f t="shared" si="13"/>
        <v>264459.99599999998</v>
      </c>
      <c r="AC24" s="73">
        <f t="shared" si="13"/>
        <v>589635.6</v>
      </c>
      <c r="AD24" s="73">
        <f t="shared" si="13"/>
        <v>421837.179</v>
      </c>
      <c r="AE24" s="73">
        <f t="shared" si="13"/>
        <v>263682</v>
      </c>
      <c r="AF24" s="77">
        <f t="shared" si="13"/>
        <v>0</v>
      </c>
      <c r="AG24" s="77">
        <f t="shared" si="13"/>
        <v>0</v>
      </c>
      <c r="AH24" s="73">
        <f t="shared" si="13"/>
        <v>62972.639999999999</v>
      </c>
      <c r="AI24" s="61">
        <f t="shared" si="2"/>
        <v>3758571.023446369</v>
      </c>
      <c r="AJ24" s="58">
        <f t="shared" si="3"/>
        <v>1186640.9940646309</v>
      </c>
    </row>
    <row r="25" spans="1:36" s="36" customFormat="1" ht="20.100000000000001" hidden="1" customHeight="1" outlineLevel="1" x14ac:dyDescent="0.3">
      <c r="A25" s="33"/>
      <c r="B25" s="34"/>
      <c r="C25" s="35" t="s">
        <v>859</v>
      </c>
      <c r="D25" s="79">
        <v>11281510.593599999</v>
      </c>
      <c r="E25" s="78"/>
      <c r="F25" s="75"/>
      <c r="G25" s="75"/>
      <c r="H25" s="75"/>
      <c r="I25" s="75"/>
      <c r="J25" s="78"/>
      <c r="K25" s="78"/>
      <c r="L25" s="78"/>
      <c r="M25" s="75"/>
      <c r="N25" s="75"/>
      <c r="O25" s="75"/>
      <c r="P25" s="75"/>
      <c r="Q25" s="75"/>
      <c r="R25" s="78"/>
      <c r="S25" s="78"/>
      <c r="T25" s="75"/>
      <c r="U25" s="75"/>
      <c r="V25" s="75"/>
      <c r="W25" s="75"/>
      <c r="X25" s="75"/>
      <c r="Y25" s="78"/>
      <c r="Z25" s="78"/>
      <c r="AA25" s="78"/>
      <c r="AB25" s="75"/>
      <c r="AC25" s="75"/>
      <c r="AD25" s="75"/>
      <c r="AE25" s="75"/>
      <c r="AF25" s="78"/>
      <c r="AG25" s="78"/>
      <c r="AH25" s="75"/>
      <c r="AI25" s="66">
        <f t="shared" si="2"/>
        <v>0</v>
      </c>
      <c r="AJ25" s="67">
        <f t="shared" si="3"/>
        <v>11281510.593599999</v>
      </c>
    </row>
    <row r="26" spans="1:36" s="21" customFormat="1" ht="20.100000000000001" hidden="1" customHeight="1" outlineLevel="1" x14ac:dyDescent="0.3">
      <c r="A26" s="27"/>
      <c r="B26" s="22"/>
      <c r="C26" s="8" t="s">
        <v>263</v>
      </c>
      <c r="D26" s="80">
        <f>+'[1]изх паричен поток'!$I$21+'[1]изх паричен поток'!$I$22</f>
        <v>1558463.1331110001</v>
      </c>
      <c r="E26" s="76">
        <f>SUMIFS(разходи!$L:$L,разходи!$E:$E,'ПП Септември'!$C$26,разходи!$M:$M,'ПП Септември'!E2)</f>
        <v>0</v>
      </c>
      <c r="F26" s="74">
        <f>SUMIFS(разходи!$L:$L,разходи!$E:$E,'ПП Септември'!$C$26,разходи!$M:$M,'ПП Септември'!F2)</f>
        <v>0</v>
      </c>
      <c r="G26" s="74">
        <f>SUMIFS(разходи!$L:$L,разходи!$E:$E,'ПП Септември'!$C$26,разходи!$M:$M,'ПП Септември'!G2)</f>
        <v>0</v>
      </c>
      <c r="H26" s="74">
        <f>SUMIFS(разходи!$L:$L,разходи!$E:$E,'ПП Септември'!$C$26,разходи!$M:$M,'ПП Септември'!H2)</f>
        <v>18729.09</v>
      </c>
      <c r="I26" s="74">
        <f>SUMIFS(разходи!$L:$L,разходи!$E:$E,'ПП Септември'!$C$26,разходи!$M:$M,'ПП Септември'!I2)</f>
        <v>0</v>
      </c>
      <c r="J26" s="76">
        <f>SUMIFS(разходи!$L:$L,разходи!$E:$E,'ПП Септември'!$C$26,разходи!$M:$M,'ПП Септември'!J2)</f>
        <v>0</v>
      </c>
      <c r="K26" s="76">
        <f>SUMIFS(разходи!$L:$L,разходи!$E:$E,'ПП Септември'!$C$26,разходи!$M:$M,'ПП Септември'!K2)</f>
        <v>0</v>
      </c>
      <c r="L26" s="76">
        <f>SUMIFS(разходи!$L:$L,разходи!$E:$E,'ПП Септември'!$C$26,разходи!$M:$M,'ПП Септември'!L2)</f>
        <v>0</v>
      </c>
      <c r="M26" s="74">
        <f>SUMIFS(разходи!$L:$L,разходи!$E:$E,'ПП Септември'!$C$26,разходи!$M:$M,'ПП Септември'!M2)</f>
        <v>0</v>
      </c>
      <c r="N26" s="74">
        <f>SUMIFS(разходи!$L:$L,разходи!$E:$E,'ПП Септември'!$C$26,разходи!$M:$M,'ПП Септември'!N2)</f>
        <v>294.75</v>
      </c>
      <c r="O26" s="74">
        <f>SUMIFS(разходи!$L:$L,разходи!$E:$E,'ПП Септември'!$C$26,разходи!$M:$M,'ПП Септември'!O2)</f>
        <v>0</v>
      </c>
      <c r="P26" s="74">
        <f>SUMIFS(разходи!$L:$L,разходи!$E:$E,'ПП Септември'!$C$26,разходи!$M:$M,'ПП Септември'!P2)</f>
        <v>0</v>
      </c>
      <c r="Q26" s="74">
        <f>SUMIFS(разходи!$L:$L,разходи!$E:$E,'ПП Септември'!$C$26,разходи!$M:$M,'ПП Септември'!Q2)</f>
        <v>1049494.554</v>
      </c>
      <c r="R26" s="76">
        <f>SUMIFS(разходи!$L:$L,разходи!$E:$E,'ПП Септември'!$C$26,разходи!$M:$M,'ПП Септември'!R2)</f>
        <v>0</v>
      </c>
      <c r="S26" s="76">
        <f>SUMIFS(разходи!$L:$L,разходи!$E:$E,'ПП Септември'!$C$26,разходи!$M:$M,'ПП Септември'!S2)</f>
        <v>0</v>
      </c>
      <c r="T26" s="74">
        <f>SUMIFS(разходи!$L:$L,разходи!$E:$E,'ПП Септември'!$C$26,разходи!$M:$M,'ПП Септември'!T2)</f>
        <v>18729.09</v>
      </c>
      <c r="U26" s="74">
        <f>SUMIFS(разходи!$L:$L,разходи!$E:$E,'ПП Септември'!$C$26,разходи!$M:$M,'ПП Септември'!U2)</f>
        <v>0</v>
      </c>
      <c r="V26" s="74">
        <f>SUMIFS(разходи!$L:$L,разходи!$E:$E,'ПП Септември'!$C$26,разходи!$M:$M,'ПП Септември'!V2)</f>
        <v>0</v>
      </c>
      <c r="W26" s="74">
        <f>SUMIFS(разходи!$L:$L,разходи!$E:$E,'ПП Септември'!$C$26,разходи!$M:$M,'ПП Септември'!W2)</f>
        <v>0</v>
      </c>
      <c r="X26" s="74">
        <f>SUMIFS(разходи!$L:$L,разходи!$E:$E,'ПП Септември'!$C$26,разходи!$M:$M,'ПП Септември'!X2)</f>
        <v>0</v>
      </c>
      <c r="Y26" s="76">
        <f>SUMIFS(разходи!$L:$L,разходи!$E:$E,'ПП Септември'!$C$26,разходи!$M:$M,'ПП Септември'!Y2)</f>
        <v>0</v>
      </c>
      <c r="Z26" s="76">
        <f>SUMIFS(разходи!$L:$L,разходи!$E:$E,'ПП Септември'!$C$26,разходи!$M:$M,'ПП Септември'!Z2)</f>
        <v>0</v>
      </c>
      <c r="AA26" s="76">
        <f>SUMIFS(разходи!$L:$L,разходи!$E:$E,'ПП Септември'!$C$26,разходи!$M:$M,'ПП Септември'!AA2)</f>
        <v>0</v>
      </c>
      <c r="AB26" s="74">
        <f>SUMIFS(разходи!$L:$L,разходи!$E:$E,'ПП Септември'!$C$26,разходи!$M:$M,'ПП Септември'!AB2)</f>
        <v>0</v>
      </c>
      <c r="AC26" s="74">
        <f>SUMIFS(разходи!$L:$L,разходи!$E:$E,'ПП Септември'!$C$26,разходи!$M:$M,'ПП Септември'!AC2)</f>
        <v>552420</v>
      </c>
      <c r="AD26" s="74">
        <f>SUMIFS(разходи!$L:$L,разходи!$E:$E,'ПП Септември'!$C$26,разходи!$M:$M,'ПП Септември'!AD2)</f>
        <v>274723.20899999997</v>
      </c>
      <c r="AE26" s="74">
        <f>SUMIFS(разходи!$L:$L,разходи!$E:$E,'ПП Септември'!$C$26,разходи!$M:$M,'ПП Септември'!AE2)</f>
        <v>0</v>
      </c>
      <c r="AF26" s="76">
        <f>SUMIFS(разходи!$L:$L,разходи!$E:$E,'ПП Септември'!$C$26,разходи!$M:$M,'ПП Септември'!AF2)</f>
        <v>0</v>
      </c>
      <c r="AG26" s="76">
        <f>SUMIFS(разходи!$L:$L,разходи!$E:$E,'ПП Септември'!$C$26,разходи!$M:$M,'ПП Септември'!AG2)</f>
        <v>0</v>
      </c>
      <c r="AH26" s="74">
        <f>SUMIFS(разходи!$L:$L,разходи!$E:$E,'ПП Септември'!$C$26,разходи!$M:$M,'ПП Септември'!AH2)</f>
        <v>0</v>
      </c>
      <c r="AI26" s="61">
        <f t="shared" si="2"/>
        <v>1914390.6930000002</v>
      </c>
      <c r="AJ26" s="69">
        <f t="shared" si="3"/>
        <v>-355927.55988900014</v>
      </c>
    </row>
    <row r="27" spans="1:36" s="21" customFormat="1" ht="20.100000000000001" hidden="1" customHeight="1" outlineLevel="1" x14ac:dyDescent="0.3">
      <c r="A27" s="27"/>
      <c r="B27" s="22"/>
      <c r="C27" s="8" t="s">
        <v>131</v>
      </c>
      <c r="D27" s="80">
        <f>+'[1]изх паричен поток'!$I$20</f>
        <v>3236400</v>
      </c>
      <c r="E27" s="76">
        <f>SUMIFS(разходи!$L:$L,разходи!$E:$E,'ПП Септември'!$C$27,разходи!$M:$M,'ПП Септември'!E2)</f>
        <v>0</v>
      </c>
      <c r="F27" s="74">
        <f>SUMIFS(разходи!$L:$L,разходи!$E:$E,'ПП Септември'!$C$27,разходи!$M:$M,'ПП Септември'!F2)</f>
        <v>0</v>
      </c>
      <c r="G27" s="74">
        <f>SUMIFS(разходи!$L:$L,разходи!$E:$E,'ПП Септември'!$C$27,разходи!$M:$M,'ПП Септември'!G2)</f>
        <v>17430</v>
      </c>
      <c r="H27" s="74">
        <f>SUMIFS(разходи!$L:$L,разходи!$E:$E,'ПП Септември'!$C$27,разходи!$M:$M,'ПП Септември'!H2)</f>
        <v>3840</v>
      </c>
      <c r="I27" s="74">
        <f>SUMIFS(разходи!$L:$L,разходи!$E:$E,'ПП Септември'!$C$27,разходи!$M:$M,'ПП Септември'!I2)</f>
        <v>33420</v>
      </c>
      <c r="J27" s="76">
        <f>SUMIFS(разходи!$L:$L,разходи!$E:$E,'ПП Септември'!$C$27,разходи!$M:$M,'ПП Септември'!J2)</f>
        <v>0</v>
      </c>
      <c r="K27" s="76">
        <f>SUMIFS(разходи!$L:$L,разходи!$E:$E,'ПП Септември'!$C$27,разходи!$M:$M,'ПП Септември'!K2)</f>
        <v>0</v>
      </c>
      <c r="L27" s="76">
        <f>SUMIFS(разходи!$L:$L,разходи!$E:$E,'ПП Септември'!$C$27,разходи!$M:$M,'ПП Септември'!L2)</f>
        <v>0</v>
      </c>
      <c r="M27" s="74">
        <f>SUMIFS(разходи!$L:$L,разходи!$E:$E,'ПП Септември'!$C$27,разходи!$M:$M,'ПП Септември'!M2)</f>
        <v>0</v>
      </c>
      <c r="N27" s="74">
        <f>SUMIFS(разходи!$L:$L,разходи!$E:$E,'ПП Септември'!$C$27,разходи!$M:$M,'ПП Септември'!N2)</f>
        <v>7560</v>
      </c>
      <c r="O27" s="74">
        <f>SUMIFS(разходи!$L:$L,разходи!$E:$E,'ПП Септември'!$C$27,разходи!$M:$M,'ПП Септември'!O2)</f>
        <v>294108</v>
      </c>
      <c r="P27" s="74">
        <f>SUMIFS(разходи!$L:$L,разходи!$E:$E,'ПП Септември'!$C$27,разходи!$M:$M,'ПП Септември'!P2)</f>
        <v>128958.61374779999</v>
      </c>
      <c r="Q27" s="74">
        <f>SUMIFS(разходи!$L:$L,разходи!$E:$E,'ПП Септември'!$C$27,разходи!$M:$M,'ПП Септември'!Q2)</f>
        <v>0</v>
      </c>
      <c r="R27" s="76">
        <f>SUMIFS(разходи!$L:$L,разходи!$E:$E,'ПП Септември'!$C$27,разходи!$M:$M,'ПП Септември'!R2)</f>
        <v>0</v>
      </c>
      <c r="S27" s="76">
        <f>SUMIFS(разходи!$L:$L,разходи!$E:$E,'ПП Септември'!$C$27,разходи!$M:$M,'ПП Септември'!S2)</f>
        <v>0</v>
      </c>
      <c r="T27" s="74">
        <f>SUMIFS(разходи!$L:$L,разходи!$E:$E,'ПП Септември'!$C$27,разходи!$M:$M,'ПП Септември'!T2)</f>
        <v>6525.8969779500003</v>
      </c>
      <c r="U27" s="74">
        <f>SUMIFS(разходи!$L:$L,разходи!$E:$E,'ПП Септември'!$C$27,разходи!$M:$M,'ПП Септември'!U2)</f>
        <v>200162.52000000002</v>
      </c>
      <c r="V27" s="74">
        <f>SUMIFS(разходи!$L:$L,разходи!$E:$E,'ПП Септември'!$C$27,разходи!$M:$M,'ПП Септември'!V2)</f>
        <v>77966.959999999992</v>
      </c>
      <c r="W27" s="74">
        <f>SUMIFS(разходи!$L:$L,разходи!$E:$E,'ПП Септември'!$C$27,разходи!$M:$M,'ПП Септември'!W2)</f>
        <v>215230.25372061902</v>
      </c>
      <c r="X27" s="74">
        <f>SUMIFS(разходи!$L:$L,разходи!$E:$E,'ПП Септември'!$C$27,разходи!$M:$M,'ПП Септември'!X2)</f>
        <v>83533.88</v>
      </c>
      <c r="Y27" s="76">
        <f>SUMIFS(разходи!$L:$L,разходи!$E:$E,'ПП Септември'!$C$27,разходи!$M:$M,'ПП Септември'!Y2)</f>
        <v>0</v>
      </c>
      <c r="Z27" s="76">
        <f>SUMIFS(разходи!$L:$L,разходи!$E:$E,'ПП Септември'!$C$27,разходи!$M:$M,'ПП Септември'!Z2)</f>
        <v>0</v>
      </c>
      <c r="AA27" s="76">
        <f>SUMIFS(разходи!$L:$L,разходи!$E:$E,'ПП Септември'!$C$27,разходи!$M:$M,'ПП Септември'!AA2)</f>
        <v>0</v>
      </c>
      <c r="AB27" s="74">
        <f>SUMIFS(разходи!$L:$L,разходи!$E:$E,'ПП Септември'!$C$27,разходи!$M:$M,'ПП Септември'!AB2)</f>
        <v>166224</v>
      </c>
      <c r="AC27" s="74">
        <f>SUMIFS(разходи!$L:$L,разходи!$E:$E,'ПП Септември'!$C$27,разходи!$M:$M,'ПП Септември'!AC2)</f>
        <v>37215.599999999999</v>
      </c>
      <c r="AD27" s="74">
        <f>SUMIFS(разходи!$L:$L,разходи!$E:$E,'ПП Септември'!$C$27,разходи!$M:$M,'ПП Септември'!AD2)</f>
        <v>147113.97</v>
      </c>
      <c r="AE27" s="74">
        <f>SUMIFS(разходи!$L:$L,разходи!$E:$E,'ПП Септември'!$C$27,разходи!$M:$M,'ПП Септември'!AE2)</f>
        <v>263682</v>
      </c>
      <c r="AF27" s="76">
        <f>SUMIFS(разходи!$L:$L,разходи!$E:$E,'ПП Септември'!$C$27,разходи!$M:$M,'ПП Септември'!AF2)</f>
        <v>0</v>
      </c>
      <c r="AG27" s="76">
        <f>SUMIFS(разходи!$L:$L,разходи!$E:$E,'ПП Септември'!$C$27,разходи!$M:$M,'ПП Септември'!AG2)</f>
        <v>0</v>
      </c>
      <c r="AH27" s="74">
        <f>SUMIFS(разходи!$L:$L,разходи!$E:$E,'ПП Септември'!$C$27,разходи!$M:$M,'ПП Септември'!AH2)</f>
        <v>62972.639999999999</v>
      </c>
      <c r="AI27" s="61">
        <f t="shared" si="2"/>
        <v>1745944.334446369</v>
      </c>
      <c r="AJ27" s="69">
        <f t="shared" si="3"/>
        <v>1490455.665553631</v>
      </c>
    </row>
    <row r="28" spans="1:36" s="21" customFormat="1" ht="20.100000000000001" hidden="1" customHeight="1" outlineLevel="1" x14ac:dyDescent="0.3">
      <c r="A28" s="27"/>
      <c r="B28" s="22"/>
      <c r="C28" s="8" t="s">
        <v>328</v>
      </c>
      <c r="D28" s="80">
        <v>150348.8844000001</v>
      </c>
      <c r="E28" s="76">
        <f>SUMIFS(разходи!$L:$L,разходи!$E:$E,'ПП Септември'!$C$28,разходи!$M:$M,'ПП Септември'!E2)</f>
        <v>0</v>
      </c>
      <c r="F28" s="74">
        <f>SUMIFS(разходи!$L:$L,разходи!$E:$E,'ПП Септември'!$C$28,разходи!$M:$M,'ПП Септември'!F2)</f>
        <v>0</v>
      </c>
      <c r="G28" s="74">
        <f>SUMIFS(разходи!$L:$L,разходи!$E:$E,'ПП Септември'!$C$28,разходи!$M:$M,'ПП Септември'!G2)</f>
        <v>0</v>
      </c>
      <c r="H28" s="74">
        <f>SUMIFS(разходи!$L:$L,разходи!$E:$E,'ПП Септември'!$C$28,разходи!$M:$M,'ПП Септември'!H2)</f>
        <v>0</v>
      </c>
      <c r="I28" s="74">
        <f>SUMIFS(разходи!$L:$L,разходи!$E:$E,'ПП Септември'!$C$28,разходи!$M:$M,'ПП Септември'!I2)</f>
        <v>0</v>
      </c>
      <c r="J28" s="76">
        <f>SUMIFS(разходи!$L:$L,разходи!$E:$E,'ПП Септември'!$C$28,разходи!$M:$M,'ПП Септември'!J2)</f>
        <v>0</v>
      </c>
      <c r="K28" s="76">
        <f>SUMIFS(разходи!$L:$L,разходи!$E:$E,'ПП Септември'!$C$28,разходи!$M:$M,'ПП Септември'!K2)</f>
        <v>0</v>
      </c>
      <c r="L28" s="76">
        <f>SUMIFS(разходи!$L:$L,разходи!$E:$E,'ПП Септември'!$C$28,разходи!$M:$M,'ПП Септември'!L2)</f>
        <v>0</v>
      </c>
      <c r="M28" s="74">
        <f>SUMIFS(разходи!$L:$L,разходи!$E:$E,'ПП Септември'!$C$28,разходи!$M:$M,'ПП Септември'!M2)</f>
        <v>0</v>
      </c>
      <c r="N28" s="74">
        <f>SUMIFS(разходи!$L:$L,разходи!$E:$E,'ПП Септември'!$C$28,разходи!$M:$M,'ПП Септември'!N2)</f>
        <v>0</v>
      </c>
      <c r="O28" s="74">
        <f>SUMIFS(разходи!$L:$L,разходи!$E:$E,'ПП Септември'!$C$28,разходи!$M:$M,'ПП Септември'!O2)</f>
        <v>0</v>
      </c>
      <c r="P28" s="74">
        <f>SUMIFS(разходи!$L:$L,разходи!$E:$E,'ПП Септември'!$C$28,разходи!$M:$M,'ПП Септември'!P2)</f>
        <v>0</v>
      </c>
      <c r="Q28" s="74">
        <f>SUMIFS(разходи!$L:$L,разходи!$E:$E,'ПП Септември'!$C$28,разходи!$M:$M,'ПП Септември'!Q2)</f>
        <v>0</v>
      </c>
      <c r="R28" s="76">
        <f>SUMIFS(разходи!$L:$L,разходи!$E:$E,'ПП Септември'!$C$28,разходи!$M:$M,'ПП Септември'!R2)</f>
        <v>0</v>
      </c>
      <c r="S28" s="76">
        <f>SUMIFS(разходи!$L:$L,разходи!$E:$E,'ПП Септември'!$C$28,разходи!$M:$M,'ПП Септември'!S2)</f>
        <v>0</v>
      </c>
      <c r="T28" s="74">
        <f>SUMIFS(разходи!$L:$L,разходи!$E:$E,'ПП Септември'!$C$28,разходи!$M:$M,'ПП Септември'!T2)</f>
        <v>0</v>
      </c>
      <c r="U28" s="74">
        <f>SUMIFS(разходи!$L:$L,разходи!$E:$E,'ПП Септември'!$C$28,разходи!$M:$M,'ПП Септември'!U2)</f>
        <v>0</v>
      </c>
      <c r="V28" s="74">
        <f>SUMIFS(разходи!$L:$L,разходи!$E:$E,'ПП Септември'!$C$28,разходи!$M:$M,'ПП Септември'!V2)</f>
        <v>0</v>
      </c>
      <c r="W28" s="74">
        <f>SUMIFS(разходи!$L:$L,разходи!$E:$E,'ПП Септември'!$C$28,разходи!$M:$M,'ПП Септември'!W2)</f>
        <v>0</v>
      </c>
      <c r="X28" s="74">
        <f>SUMIFS(разходи!$L:$L,разходи!$E:$E,'ПП Септември'!$C$28,разходи!$M:$M,'ПП Септември'!X2)</f>
        <v>0</v>
      </c>
      <c r="Y28" s="76">
        <f>SUMIFS(разходи!$L:$L,разходи!$E:$E,'ПП Септември'!$C$28,разходи!$M:$M,'ПП Септември'!Y2)</f>
        <v>0</v>
      </c>
      <c r="Z28" s="76">
        <f>SUMIFS(разходи!$L:$L,разходи!$E:$E,'ПП Септември'!$C$28,разходи!$M:$M,'ПП Септември'!Z2)</f>
        <v>0</v>
      </c>
      <c r="AA28" s="76">
        <f>SUMIFS(разходи!$L:$L,разходи!$E:$E,'ПП Септември'!$C$28,разходи!$M:$M,'ПП Септември'!AA2)</f>
        <v>0</v>
      </c>
      <c r="AB28" s="74">
        <f>SUMIFS(разходи!$L:$L,разходи!$E:$E,'ПП Септември'!$C$28,разходи!$M:$M,'ПП Септември'!AB2)</f>
        <v>98235.995999999999</v>
      </c>
      <c r="AC28" s="74">
        <f>SUMIFS(разходи!$L:$L,разходи!$E:$E,'ПП Септември'!$C$28,разходи!$M:$M,'ПП Септември'!AC2)</f>
        <v>0</v>
      </c>
      <c r="AD28" s="74">
        <f>SUMIFS(разходи!$L:$L,разходи!$E:$E,'ПП Септември'!$C$28,разходи!$M:$M,'ПП Септември'!AD2)</f>
        <v>0</v>
      </c>
      <c r="AE28" s="74">
        <f>SUMIFS(разходи!$L:$L,разходи!$E:$E,'ПП Септември'!$C$28,разходи!$M:$M,'ПП Септември'!AE2)</f>
        <v>0</v>
      </c>
      <c r="AF28" s="76">
        <f>SUMIFS(разходи!$L:$L,разходи!$E:$E,'ПП Септември'!$C$28,разходи!$M:$M,'ПП Септември'!AF2)</f>
        <v>0</v>
      </c>
      <c r="AG28" s="76">
        <f>SUMIFS(разходи!$L:$L,разходи!$E:$E,'ПП Септември'!$C$28,разходи!$M:$M,'ПП Септември'!AG2)</f>
        <v>0</v>
      </c>
      <c r="AH28" s="74">
        <f>SUMIFS(разходи!$L:$L,разходи!$E:$E,'ПП Септември'!$C$28,разходи!$M:$M,'ПП Септември'!AH2)</f>
        <v>0</v>
      </c>
      <c r="AI28" s="61">
        <f t="shared" si="2"/>
        <v>98235.995999999999</v>
      </c>
      <c r="AJ28" s="69">
        <f t="shared" si="3"/>
        <v>52112.888400000098</v>
      </c>
    </row>
    <row r="29" spans="1:36" s="4" customFormat="1" ht="20.100000000000001" customHeight="1" collapsed="1" x14ac:dyDescent="0.3">
      <c r="A29" s="9"/>
      <c r="B29" s="7">
        <v>2</v>
      </c>
      <c r="C29" s="8" t="s">
        <v>860</v>
      </c>
      <c r="D29" s="74">
        <f t="shared" ref="D29" si="14">SUM(D30:D35)</f>
        <v>220790.53368400002</v>
      </c>
      <c r="E29" s="76">
        <f t="shared" ref="E29:AH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6">
        <f t="shared" si="15"/>
        <v>0</v>
      </c>
      <c r="K29" s="76">
        <f t="shared" si="15"/>
        <v>0</v>
      </c>
      <c r="L29" s="76">
        <f t="shared" si="15"/>
        <v>0</v>
      </c>
      <c r="M29" s="74">
        <f t="shared" si="15"/>
        <v>523.20000000000005</v>
      </c>
      <c r="N29" s="74">
        <f t="shared" si="15"/>
        <v>0</v>
      </c>
      <c r="O29" s="74">
        <f t="shared" si="15"/>
        <v>221644.30799999999</v>
      </c>
      <c r="P29" s="74">
        <f t="shared" si="15"/>
        <v>0</v>
      </c>
      <c r="Q29" s="74">
        <f t="shared" si="15"/>
        <v>0</v>
      </c>
      <c r="R29" s="76">
        <f t="shared" si="15"/>
        <v>0</v>
      </c>
      <c r="S29" s="76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6">
        <f t="shared" si="15"/>
        <v>0</v>
      </c>
      <c r="Z29" s="76">
        <f t="shared" si="15"/>
        <v>0</v>
      </c>
      <c r="AA29" s="76">
        <f t="shared" si="15"/>
        <v>0</v>
      </c>
      <c r="AB29" s="74">
        <f t="shared" si="15"/>
        <v>0</v>
      </c>
      <c r="AC29" s="74">
        <f t="shared" si="15"/>
        <v>0</v>
      </c>
      <c r="AD29" s="74">
        <f t="shared" si="15"/>
        <v>0</v>
      </c>
      <c r="AE29" s="74">
        <f t="shared" si="15"/>
        <v>0</v>
      </c>
      <c r="AF29" s="76">
        <f t="shared" si="15"/>
        <v>0</v>
      </c>
      <c r="AG29" s="76">
        <f t="shared" si="15"/>
        <v>0</v>
      </c>
      <c r="AH29" s="74">
        <f t="shared" si="15"/>
        <v>0</v>
      </c>
      <c r="AI29" s="61">
        <f t="shared" si="2"/>
        <v>222167.508</v>
      </c>
      <c r="AJ29" s="62">
        <f t="shared" si="3"/>
        <v>-1376.974315999978</v>
      </c>
    </row>
    <row r="30" spans="1:36" s="21" customFormat="1" ht="20.100000000000001" hidden="1" customHeight="1" outlineLevel="1" x14ac:dyDescent="0.3">
      <c r="A30" s="27"/>
      <c r="B30" s="22"/>
      <c r="C30" s="8" t="s">
        <v>458</v>
      </c>
      <c r="D30" s="80">
        <v>209581.22486800002</v>
      </c>
      <c r="E30" s="76">
        <f>SUMIFS(разходи!$L:$L,разходи!$E:$E,'ПП Септември'!$C$30,разходи!$M:$M,'ПП Септември'!E2)</f>
        <v>0</v>
      </c>
      <c r="F30" s="74">
        <f>SUMIFS(разходи!$L:$L,разходи!$E:$E,'ПП Септември'!$C$30,разходи!$M:$M,'ПП Септември'!F2)</f>
        <v>0</v>
      </c>
      <c r="G30" s="74">
        <f>SUMIFS(разходи!$L:$L,разходи!$E:$E,'ПП Септември'!$C$30,разходи!$M:$M,'ПП Септември'!G2)</f>
        <v>0</v>
      </c>
      <c r="H30" s="74">
        <f>SUMIFS(разходи!$L:$L,разходи!$E:$E,'ПП Септември'!$C$30,разходи!$M:$M,'ПП Септември'!H2)</f>
        <v>0</v>
      </c>
      <c r="I30" s="74">
        <f>SUMIFS(разходи!$L:$L,разходи!$E:$E,'ПП Септември'!$C$30,разходи!$M:$M,'ПП Септември'!I2)</f>
        <v>0</v>
      </c>
      <c r="J30" s="76">
        <f>SUMIFS(разходи!$L:$L,разходи!$E:$E,'ПП Септември'!$C$30,разходи!$M:$M,'ПП Септември'!J2)</f>
        <v>0</v>
      </c>
      <c r="K30" s="76">
        <f>SUMIFS(разходи!$L:$L,разходи!$E:$E,'ПП Септември'!$C$30,разходи!$M:$M,'ПП Септември'!K2)</f>
        <v>0</v>
      </c>
      <c r="L30" s="76">
        <f>SUMIFS(разходи!$L:$L,разходи!$E:$E,'ПП Септември'!$C$30,разходи!$M:$M,'ПП Септември'!L2)</f>
        <v>0</v>
      </c>
      <c r="M30" s="74">
        <f>SUMIFS(разходи!$L:$L,разходи!$E:$E,'ПП Септември'!$C$30,разходи!$M:$M,'ПП Септември'!M2)</f>
        <v>0</v>
      </c>
      <c r="N30" s="74">
        <f>SUMIFS(разходи!$L:$L,разходи!$E:$E,'ПП Септември'!$C$30,разходи!$M:$M,'ПП Септември'!N2)</f>
        <v>0</v>
      </c>
      <c r="O30" s="74">
        <f>SUMIFS(разходи!$L:$L,разходи!$E:$E,'ПП Септември'!$C$30,разходи!$M:$M,'ПП Септември'!O2)</f>
        <v>209581.212</v>
      </c>
      <c r="P30" s="74">
        <f>SUMIFS(разходи!$L:$L,разходи!$E:$E,'ПП Септември'!$C$30,разходи!$M:$M,'ПП Септември'!P2)</f>
        <v>0</v>
      </c>
      <c r="Q30" s="74">
        <f>SUMIFS(разходи!$L:$L,разходи!$E:$E,'ПП Септември'!$C$30,разходи!$M:$M,'ПП Септември'!Q2)</f>
        <v>0</v>
      </c>
      <c r="R30" s="76">
        <f>SUMIFS(разходи!$L:$L,разходи!$E:$E,'ПП Септември'!$C$30,разходи!$M:$M,'ПП Септември'!R2)</f>
        <v>0</v>
      </c>
      <c r="S30" s="76">
        <f>SUMIFS(разходи!$L:$L,разходи!$E:$E,'ПП Септември'!$C$30,разходи!$M:$M,'ПП Септември'!S2)</f>
        <v>0</v>
      </c>
      <c r="T30" s="74">
        <f>SUMIFS(разходи!$L:$L,разходи!$E:$E,'ПП Септември'!$C$30,разходи!$M:$M,'ПП Септември'!T2)</f>
        <v>0</v>
      </c>
      <c r="U30" s="74">
        <f>SUMIFS(разходи!$L:$L,разходи!$E:$E,'ПП Септември'!$C$30,разходи!$M:$M,'ПП Септември'!U2)</f>
        <v>0</v>
      </c>
      <c r="V30" s="74">
        <f>SUMIFS(разходи!$L:$L,разходи!$E:$E,'ПП Септември'!$C$30,разходи!$M:$M,'ПП Септември'!V2)</f>
        <v>0</v>
      </c>
      <c r="W30" s="74">
        <f>SUMIFS(разходи!$L:$L,разходи!$E:$E,'ПП Септември'!$C$30,разходи!$M:$M,'ПП Септември'!W2)</f>
        <v>0</v>
      </c>
      <c r="X30" s="74">
        <f>SUMIFS(разходи!$L:$L,разходи!$E:$E,'ПП Септември'!$C$30,разходи!$M:$M,'ПП Септември'!X2)</f>
        <v>0</v>
      </c>
      <c r="Y30" s="76">
        <f>SUMIFS(разходи!$L:$L,разходи!$E:$E,'ПП Септември'!$C$30,разходи!$M:$M,'ПП Септември'!Y2)</f>
        <v>0</v>
      </c>
      <c r="Z30" s="76">
        <f>SUMIFS(разходи!$L:$L,разходи!$E:$E,'ПП Септември'!$C$30,разходи!$M:$M,'ПП Септември'!Z2)</f>
        <v>0</v>
      </c>
      <c r="AA30" s="76">
        <f>SUMIFS(разходи!$L:$L,разходи!$E:$E,'ПП Септември'!$C$30,разходи!$M:$M,'ПП Септември'!AA2)</f>
        <v>0</v>
      </c>
      <c r="AB30" s="74">
        <f>SUMIFS(разходи!$L:$L,разходи!$E:$E,'ПП Септември'!$C$30,разходи!$M:$M,'ПП Септември'!AB2)</f>
        <v>0</v>
      </c>
      <c r="AC30" s="74">
        <f>SUMIFS(разходи!$L:$L,разходи!$E:$E,'ПП Септември'!$C$30,разходи!$M:$M,'ПП Септември'!AC2)</f>
        <v>0</v>
      </c>
      <c r="AD30" s="74">
        <f>SUMIFS(разходи!$L:$L,разходи!$E:$E,'ПП Септември'!$C$30,разходи!$M:$M,'ПП Септември'!AD2)</f>
        <v>0</v>
      </c>
      <c r="AE30" s="74">
        <f>SUMIFS(разходи!$L:$L,разходи!$E:$E,'ПП Септември'!$C$30,разходи!$M:$M,'ПП Септември'!AE2)</f>
        <v>0</v>
      </c>
      <c r="AF30" s="76">
        <f>SUMIFS(разходи!$L:$L,разходи!$E:$E,'ПП Септември'!$C$30,разходи!$M:$M,'ПП Септември'!AF2)</f>
        <v>0</v>
      </c>
      <c r="AG30" s="76">
        <f>SUMIFS(разходи!$L:$L,разходи!$E:$E,'ПП Септември'!$C$30,разходи!$M:$M,'ПП Септември'!AG2)</f>
        <v>0</v>
      </c>
      <c r="AH30" s="74">
        <f>SUMIFS(разходи!$L:$L,разходи!$E:$E,'ПП Септември'!$C$30,разходи!$M:$M,'ПП Септември'!AH2)</f>
        <v>0</v>
      </c>
      <c r="AI30" s="61">
        <f t="shared" si="2"/>
        <v>209581.212</v>
      </c>
      <c r="AJ30" s="69">
        <f t="shared" si="3"/>
        <v>1.2868000019807369E-2</v>
      </c>
    </row>
    <row r="31" spans="1:36" s="21" customFormat="1" ht="20.100000000000001" hidden="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Септември'!$C$31,разходи!$M:$M,'ПП Септември'!E2)</f>
        <v>0</v>
      </c>
      <c r="F31" s="74">
        <f>SUMIFS(разходи!$L:$L,разходи!$E:$E,'ПП Септември'!$C$31,разходи!$M:$M,'ПП Септември'!F2)</f>
        <v>0</v>
      </c>
      <c r="G31" s="74">
        <f>SUMIFS(разходи!$L:$L,разходи!$E:$E,'ПП Септември'!$C$31,разходи!$M:$M,'ПП Септември'!G2)</f>
        <v>0</v>
      </c>
      <c r="H31" s="74">
        <f>SUMIFS(разходи!$L:$L,разходи!$E:$E,'ПП Септември'!$C$31,разходи!$M:$M,'ПП Септември'!H2)</f>
        <v>0</v>
      </c>
      <c r="I31" s="74">
        <f>SUMIFS(разходи!$L:$L,разходи!$E:$E,'ПП Септември'!$C$31,разходи!$M:$M,'ПП Септември'!I2)</f>
        <v>0</v>
      </c>
      <c r="J31" s="76">
        <f>SUMIFS(разходи!$L:$L,разходи!$E:$E,'ПП Септември'!$C$31,разходи!$M:$M,'ПП Септември'!J2)</f>
        <v>0</v>
      </c>
      <c r="K31" s="76">
        <f>SUMIFS(разходи!$L:$L,разходи!$E:$E,'ПП Септември'!$C$31,разходи!$M:$M,'ПП Септември'!K2)</f>
        <v>0</v>
      </c>
      <c r="L31" s="76">
        <f>SUMIFS(разходи!$L:$L,разходи!$E:$E,'ПП Септември'!$C$31,разходи!$M:$M,'ПП Септември'!L2)</f>
        <v>0</v>
      </c>
      <c r="M31" s="74">
        <f>SUMIFS(разходи!$L:$L,разходи!$E:$E,'ПП Септември'!$C$31,разходи!$M:$M,'ПП Септември'!M2)</f>
        <v>0</v>
      </c>
      <c r="N31" s="74">
        <f>SUMIFS(разходи!$L:$L,разходи!$E:$E,'ПП Септември'!$C$31,разходи!$M:$M,'ПП Септември'!N2)</f>
        <v>0</v>
      </c>
      <c r="O31" s="74">
        <f>SUMIFS(разходи!$L:$L,разходи!$E:$E,'ПП Септември'!$C$31,разходи!$M:$M,'ПП Септември'!O2)</f>
        <v>0</v>
      </c>
      <c r="P31" s="74">
        <f>SUMIFS(разходи!$L:$L,разходи!$E:$E,'ПП Септември'!$C$31,разходи!$M:$M,'ПП Септември'!P2)</f>
        <v>0</v>
      </c>
      <c r="Q31" s="74">
        <f>SUMIFS(разходи!$L:$L,разходи!$E:$E,'ПП Септември'!$C$31,разходи!$M:$M,'ПП Септември'!Q2)</f>
        <v>0</v>
      </c>
      <c r="R31" s="76">
        <f>SUMIFS(разходи!$L:$L,разходи!$E:$E,'ПП Септември'!$C$31,разходи!$M:$M,'ПП Септември'!R2)</f>
        <v>0</v>
      </c>
      <c r="S31" s="76">
        <f>SUMIFS(разходи!$L:$L,разходи!$E:$E,'ПП Септември'!$C$31,разходи!$M:$M,'ПП Септември'!S2)</f>
        <v>0</v>
      </c>
      <c r="T31" s="74">
        <f>SUMIFS(разходи!$L:$L,разходи!$E:$E,'ПП Септември'!$C$31,разходи!$M:$M,'ПП Септември'!T2)</f>
        <v>0</v>
      </c>
      <c r="U31" s="74">
        <f>SUMIFS(разходи!$L:$L,разходи!$E:$E,'ПП Септември'!$C$31,разходи!$M:$M,'ПП Септември'!U2)</f>
        <v>0</v>
      </c>
      <c r="V31" s="74">
        <f>SUMIFS(разходи!$L:$L,разходи!$E:$E,'ПП Септември'!$C$31,разходи!$M:$M,'ПП Септември'!V2)</f>
        <v>0</v>
      </c>
      <c r="W31" s="74">
        <f>SUMIFS(разходи!$L:$L,разходи!$E:$E,'ПП Септември'!$C$31,разходи!$M:$M,'ПП Септември'!W2)</f>
        <v>0</v>
      </c>
      <c r="X31" s="74">
        <f>SUMIFS(разходи!$L:$L,разходи!$E:$E,'ПП Септември'!$C$31,разходи!$M:$M,'ПП Септември'!X2)</f>
        <v>0</v>
      </c>
      <c r="Y31" s="76">
        <f>SUMIFS(разходи!$L:$L,разходи!$E:$E,'ПП Септември'!$C$31,разходи!$M:$M,'ПП Септември'!Y2)</f>
        <v>0</v>
      </c>
      <c r="Z31" s="76">
        <f>SUMIFS(разходи!$L:$L,разходи!$E:$E,'ПП Септември'!$C$31,разходи!$M:$M,'ПП Септември'!Z2)</f>
        <v>0</v>
      </c>
      <c r="AA31" s="76">
        <f>SUMIFS(разходи!$L:$L,разходи!$E:$E,'ПП Септември'!$C$31,разходи!$M:$M,'ПП Септември'!AA2)</f>
        <v>0</v>
      </c>
      <c r="AB31" s="74">
        <f>SUMIFS(разходи!$L:$L,разходи!$E:$E,'ПП Септември'!$C$31,разходи!$M:$M,'ПП Септември'!AB2)</f>
        <v>0</v>
      </c>
      <c r="AC31" s="74">
        <f>SUMIFS(разходи!$L:$L,разходи!$E:$E,'ПП Септември'!$C$31,разходи!$M:$M,'ПП Септември'!AC2)</f>
        <v>0</v>
      </c>
      <c r="AD31" s="74">
        <f>SUMIFS(разходи!$L:$L,разходи!$E:$E,'ПП Септември'!$C$31,разходи!$M:$M,'ПП Септември'!AD2)</f>
        <v>0</v>
      </c>
      <c r="AE31" s="74">
        <f>SUMIFS(разходи!$L:$L,разходи!$E:$E,'ПП Септември'!$C$31,разходи!$M:$M,'ПП Септември'!AE2)</f>
        <v>0</v>
      </c>
      <c r="AF31" s="76">
        <f>SUMIFS(разходи!$L:$L,разходи!$E:$E,'ПП Септември'!$C$31,разходи!$M:$M,'ПП Септември'!AF2)</f>
        <v>0</v>
      </c>
      <c r="AG31" s="76">
        <f>SUMIFS(разходи!$L:$L,разходи!$E:$E,'ПП Септември'!$C$31,разходи!$M:$M,'ПП Септември'!AG2)</f>
        <v>0</v>
      </c>
      <c r="AH31" s="74">
        <f>SUMIFS(разходи!$L:$L,разходи!$E:$E,'ПП Септември'!$C$31,разходи!$M:$M,'ПП Септември'!AH2)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hidden="1" customHeight="1" outlineLevel="1" x14ac:dyDescent="0.3">
      <c r="A32" s="27"/>
      <c r="B32" s="22"/>
      <c r="C32" s="8" t="s">
        <v>460</v>
      </c>
      <c r="D32" s="80">
        <v>1675.308816</v>
      </c>
      <c r="E32" s="76">
        <f>SUMIFS(разходи!$L:$L,разходи!$E:$E,'ПП Септември'!$C$32,разходи!$M:$M,'ПП Септември'!E2)</f>
        <v>0</v>
      </c>
      <c r="F32" s="74">
        <f>SUMIFS(разходи!$L:$L,разходи!$E:$E,'ПП Септември'!$C$32,разходи!$M:$M,'ПП Септември'!F2)</f>
        <v>0</v>
      </c>
      <c r="G32" s="74">
        <f>SUMIFS(разходи!$L:$L,разходи!$E:$E,'ПП Септември'!$C$32,разходи!$M:$M,'ПП Септември'!G2)</f>
        <v>0</v>
      </c>
      <c r="H32" s="74">
        <f>SUMIFS(разходи!$L:$L,разходи!$E:$E,'ПП Септември'!$C$32,разходи!$M:$M,'ПП Септември'!H2)</f>
        <v>0</v>
      </c>
      <c r="I32" s="74">
        <f>SUMIFS(разходи!$L:$L,разходи!$E:$E,'ПП Септември'!$C$32,разходи!$M:$M,'ПП Септември'!I2)</f>
        <v>0</v>
      </c>
      <c r="J32" s="76">
        <f>SUMIFS(разходи!$L:$L,разходи!$E:$E,'ПП Септември'!$C$32,разходи!$M:$M,'ПП Септември'!J2)</f>
        <v>0</v>
      </c>
      <c r="K32" s="76">
        <f>SUMIFS(разходи!$L:$L,разходи!$E:$E,'ПП Септември'!$C$32,разходи!$M:$M,'ПП Септември'!K2)</f>
        <v>0</v>
      </c>
      <c r="L32" s="76">
        <f>SUMIFS(разходи!$L:$L,разходи!$E:$E,'ПП Септември'!$C$32,разходи!$M:$M,'ПП Септември'!L2)</f>
        <v>0</v>
      </c>
      <c r="M32" s="74">
        <f>SUMIFS(разходи!$L:$L,разходи!$E:$E,'ПП Септември'!$C$32,разходи!$M:$M,'ПП Септември'!M2)</f>
        <v>0</v>
      </c>
      <c r="N32" s="74">
        <f>SUMIFS(разходи!$L:$L,разходи!$E:$E,'ПП Септември'!$C$32,разходи!$M:$M,'ПП Септември'!N2)</f>
        <v>0</v>
      </c>
      <c r="O32" s="74">
        <f>SUMIFS(разходи!$L:$L,разходи!$E:$E,'ПП Септември'!$C$32,разходи!$M:$M,'ПП Септември'!O2)</f>
        <v>1675.3079999999998</v>
      </c>
      <c r="P32" s="74">
        <f>SUMIFS(разходи!$L:$L,разходи!$E:$E,'ПП Септември'!$C$32,разходи!$M:$M,'ПП Септември'!P2)</f>
        <v>0</v>
      </c>
      <c r="Q32" s="74">
        <f>SUMIFS(разходи!$L:$L,разходи!$E:$E,'ПП Септември'!$C$32,разходи!$M:$M,'ПП Септември'!Q2)</f>
        <v>0</v>
      </c>
      <c r="R32" s="76">
        <f>SUMIFS(разходи!$L:$L,разходи!$E:$E,'ПП Септември'!$C$32,разходи!$M:$M,'ПП Септември'!R2)</f>
        <v>0</v>
      </c>
      <c r="S32" s="76">
        <f>SUMIFS(разходи!$L:$L,разходи!$E:$E,'ПП Септември'!$C$32,разходи!$M:$M,'ПП Септември'!S2)</f>
        <v>0</v>
      </c>
      <c r="T32" s="74">
        <f>SUMIFS(разходи!$L:$L,разходи!$E:$E,'ПП Септември'!$C$32,разходи!$M:$M,'ПП Септември'!T2)</f>
        <v>0</v>
      </c>
      <c r="U32" s="74">
        <f>SUMIFS(разходи!$L:$L,разходи!$E:$E,'ПП Септември'!$C$32,разходи!$M:$M,'ПП Септември'!U2)</f>
        <v>0</v>
      </c>
      <c r="V32" s="74">
        <f>SUMIFS(разходи!$L:$L,разходи!$E:$E,'ПП Септември'!$C$32,разходи!$M:$M,'ПП Септември'!V2)</f>
        <v>0</v>
      </c>
      <c r="W32" s="74">
        <f>SUMIFS(разходи!$L:$L,разходи!$E:$E,'ПП Септември'!$C$32,разходи!$M:$M,'ПП Септември'!W2)</f>
        <v>0</v>
      </c>
      <c r="X32" s="74">
        <f>SUMIFS(разходи!$L:$L,разходи!$E:$E,'ПП Септември'!$C$32,разходи!$M:$M,'ПП Септември'!X2)</f>
        <v>0</v>
      </c>
      <c r="Y32" s="76">
        <f>SUMIFS(разходи!$L:$L,разходи!$E:$E,'ПП Септември'!$C$32,разходи!$M:$M,'ПП Септември'!Y2)</f>
        <v>0</v>
      </c>
      <c r="Z32" s="76">
        <f>SUMIFS(разходи!$L:$L,разходи!$E:$E,'ПП Септември'!$C$32,разходи!$M:$M,'ПП Септември'!Z2)</f>
        <v>0</v>
      </c>
      <c r="AA32" s="76">
        <f>SUMIFS(разходи!$L:$L,разходи!$E:$E,'ПП Септември'!$C$32,разходи!$M:$M,'ПП Септември'!AA2)</f>
        <v>0</v>
      </c>
      <c r="AB32" s="74">
        <f>SUMIFS(разходи!$L:$L,разходи!$E:$E,'ПП Септември'!$C$32,разходи!$M:$M,'ПП Септември'!AB2)</f>
        <v>0</v>
      </c>
      <c r="AC32" s="74">
        <f>SUMIFS(разходи!$L:$L,разходи!$E:$E,'ПП Септември'!$C$32,разходи!$M:$M,'ПП Септември'!AC2)</f>
        <v>0</v>
      </c>
      <c r="AD32" s="74">
        <f>SUMIFS(разходи!$L:$L,разходи!$E:$E,'ПП Септември'!$C$32,разходи!$M:$M,'ПП Септември'!AD2)</f>
        <v>0</v>
      </c>
      <c r="AE32" s="74">
        <f>SUMIFS(разходи!$L:$L,разходи!$E:$E,'ПП Септември'!$C$32,разходи!$M:$M,'ПП Септември'!AE2)</f>
        <v>0</v>
      </c>
      <c r="AF32" s="76">
        <f>SUMIFS(разходи!$L:$L,разходи!$E:$E,'ПП Септември'!$C$32,разходи!$M:$M,'ПП Септември'!AF2)</f>
        <v>0</v>
      </c>
      <c r="AG32" s="76">
        <f>SUMIFS(разходи!$L:$L,разходи!$E:$E,'ПП Септември'!$C$32,разходи!$M:$M,'ПП Септември'!AG2)</f>
        <v>0</v>
      </c>
      <c r="AH32" s="74">
        <f>SUMIFS(разходи!$L:$L,разходи!$E:$E,'ПП Септември'!$C$32,разходи!$M:$M,'ПП Септември'!AH2)</f>
        <v>0</v>
      </c>
      <c r="AI32" s="61">
        <f t="shared" si="2"/>
        <v>1675.3079999999998</v>
      </c>
      <c r="AJ32" s="69">
        <f t="shared" si="3"/>
        <v>8.160000002135348E-4</v>
      </c>
    </row>
    <row r="33" spans="1:36" s="21" customFormat="1" ht="20.100000000000001" hidden="1" customHeight="1" outlineLevel="1" x14ac:dyDescent="0.3">
      <c r="A33" s="27"/>
      <c r="B33" s="22"/>
      <c r="C33" s="8" t="s">
        <v>121</v>
      </c>
      <c r="D33" s="80">
        <v>9534</v>
      </c>
      <c r="E33" s="76">
        <f>SUMIFS(разходи!$L:$L,разходи!$E:$E,'ПП Септември'!$C$33,разходи!$M:$M,'ПП Септември'!E2)</f>
        <v>0</v>
      </c>
      <c r="F33" s="74">
        <f>SUMIFS(разходи!$L:$L,разходи!$E:$E,'ПП Септември'!$C$33,разходи!$M:$M,'ПП Септември'!F2)</f>
        <v>0</v>
      </c>
      <c r="G33" s="74">
        <f>SUMIFS(разходи!$L:$L,разходи!$E:$E,'ПП Септември'!$C$33,разходи!$M:$M,'ПП Септември'!G2)</f>
        <v>0</v>
      </c>
      <c r="H33" s="74">
        <f>SUMIFS(разходи!$L:$L,разходи!$E:$E,'ПП Септември'!$C$33,разходи!$M:$M,'ПП Септември'!H2)</f>
        <v>0</v>
      </c>
      <c r="I33" s="74">
        <f>SUMIFS(разходи!$L:$L,разходи!$E:$E,'ПП Септември'!$C$33,разходи!$M:$M,'ПП Септември'!I2)</f>
        <v>0</v>
      </c>
      <c r="J33" s="76">
        <f>SUMIFS(разходи!$L:$L,разходи!$E:$E,'ПП Септември'!$C$33,разходи!$M:$M,'ПП Септември'!J2)</f>
        <v>0</v>
      </c>
      <c r="K33" s="76">
        <f>SUMIFS(разходи!$L:$L,разходи!$E:$E,'ПП Септември'!$C$33,разходи!$M:$M,'ПП Септември'!K2)</f>
        <v>0</v>
      </c>
      <c r="L33" s="76">
        <f>SUMIFS(разходи!$L:$L,разходи!$E:$E,'ПП Септември'!$C$33,разходи!$M:$M,'ПП Септември'!L2)</f>
        <v>0</v>
      </c>
      <c r="M33" s="74">
        <f>SUMIFS(разходи!$L:$L,разходи!$E:$E,'ПП Септември'!$C$33,разходи!$M:$M,'ПП Септември'!M2)</f>
        <v>523.20000000000005</v>
      </c>
      <c r="N33" s="74">
        <f>SUMIFS(разходи!$L:$L,разходи!$E:$E,'ПП Септември'!$C$33,разходи!$M:$M,'ПП Септември'!N2)</f>
        <v>0</v>
      </c>
      <c r="O33" s="74">
        <f>SUMIFS(разходи!$L:$L,разходи!$E:$E,'ПП Септември'!$C$33,разходи!$M:$M,'ПП Септември'!O2)</f>
        <v>5159.3399999999992</v>
      </c>
      <c r="P33" s="74">
        <f>SUMIFS(разходи!$L:$L,разходи!$E:$E,'ПП Септември'!$C$33,разходи!$M:$M,'ПП Септември'!P2)</f>
        <v>0</v>
      </c>
      <c r="Q33" s="74">
        <f>SUMIFS(разходи!$L:$L,разходи!$E:$E,'ПП Септември'!$C$33,разходи!$M:$M,'ПП Септември'!Q2)</f>
        <v>0</v>
      </c>
      <c r="R33" s="76">
        <f>SUMIFS(разходи!$L:$L,разходи!$E:$E,'ПП Септември'!$C$33,разходи!$M:$M,'ПП Септември'!R2)</f>
        <v>0</v>
      </c>
      <c r="S33" s="76">
        <f>SUMIFS(разходи!$L:$L,разходи!$E:$E,'ПП Септември'!$C$33,разходи!$M:$M,'ПП Септември'!S2)</f>
        <v>0</v>
      </c>
      <c r="T33" s="74">
        <f>SUMIFS(разходи!$L:$L,разходи!$E:$E,'ПП Септември'!$C$33,разходи!$M:$M,'ПП Септември'!T2)</f>
        <v>0</v>
      </c>
      <c r="U33" s="74">
        <f>SUMIFS(разходи!$L:$L,разходи!$E:$E,'ПП Септември'!$C$33,разходи!$M:$M,'ПП Септември'!U2)</f>
        <v>0</v>
      </c>
      <c r="V33" s="74">
        <f>SUMIFS(разходи!$L:$L,разходи!$E:$E,'ПП Септември'!$C$33,разходи!$M:$M,'ПП Септември'!V2)</f>
        <v>0</v>
      </c>
      <c r="W33" s="74">
        <f>SUMIFS(разходи!$L:$L,разходи!$E:$E,'ПП Септември'!$C$33,разходи!$M:$M,'ПП Септември'!W2)</f>
        <v>0</v>
      </c>
      <c r="X33" s="74">
        <f>SUMIFS(разходи!$L:$L,разходи!$E:$E,'ПП Септември'!$C$33,разходи!$M:$M,'ПП Септември'!X2)</f>
        <v>0</v>
      </c>
      <c r="Y33" s="76">
        <f>SUMIFS(разходи!$L:$L,разходи!$E:$E,'ПП Септември'!$C$33,разходи!$M:$M,'ПП Септември'!Y2)</f>
        <v>0</v>
      </c>
      <c r="Z33" s="76">
        <f>SUMIFS(разходи!$L:$L,разходи!$E:$E,'ПП Септември'!$C$33,разходи!$M:$M,'ПП Септември'!Z2)</f>
        <v>0</v>
      </c>
      <c r="AA33" s="76">
        <f>SUMIFS(разходи!$L:$L,разходи!$E:$E,'ПП Септември'!$C$33,разходи!$M:$M,'ПП Септември'!AA2)</f>
        <v>0</v>
      </c>
      <c r="AB33" s="74">
        <f>SUMIFS(разходи!$L:$L,разходи!$E:$E,'ПП Септември'!$C$33,разходи!$M:$M,'ПП Септември'!AB2)</f>
        <v>0</v>
      </c>
      <c r="AC33" s="74">
        <f>SUMIFS(разходи!$L:$L,разходи!$E:$E,'ПП Септември'!$C$33,разходи!$M:$M,'ПП Септември'!AC2)</f>
        <v>0</v>
      </c>
      <c r="AD33" s="74">
        <f>SUMIFS(разходи!$L:$L,разходи!$E:$E,'ПП Септември'!$C$33,разходи!$M:$M,'ПП Септември'!AD2)</f>
        <v>0</v>
      </c>
      <c r="AE33" s="74">
        <f>SUMIFS(разходи!$L:$L,разходи!$E:$E,'ПП Септември'!$C$33,разходи!$M:$M,'ПП Септември'!AE2)</f>
        <v>0</v>
      </c>
      <c r="AF33" s="76">
        <f>SUMIFS(разходи!$L:$L,разходи!$E:$E,'ПП Септември'!$C$33,разходи!$M:$M,'ПП Септември'!AF2)</f>
        <v>0</v>
      </c>
      <c r="AG33" s="76">
        <f>SUMIFS(разходи!$L:$L,разходи!$E:$E,'ПП Септември'!$C$33,разходи!$M:$M,'ПП Септември'!AG2)</f>
        <v>0</v>
      </c>
      <c r="AH33" s="74">
        <f>SUMIFS(разходи!$L:$L,разходи!$E:$E,'ПП Септември'!$C$33,разходи!$M:$M,'ПП Септември'!AH2)</f>
        <v>0</v>
      </c>
      <c r="AI33" s="61">
        <f t="shared" si="2"/>
        <v>5682.5399999999991</v>
      </c>
      <c r="AJ33" s="69">
        <f t="shared" si="3"/>
        <v>3851.4600000000009</v>
      </c>
    </row>
    <row r="34" spans="1:36" s="21" customFormat="1" ht="20.100000000000001" hidden="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Септември'!$C$34,разходи!$M:$M,'ПП Септември'!E2)</f>
        <v>0</v>
      </c>
      <c r="F34" s="74">
        <f>SUMIFS(разходи!$L:$L,разходи!$E:$E,'ПП Септември'!$C$34,разходи!$M:$M,'ПП Септември'!F2)</f>
        <v>0</v>
      </c>
      <c r="G34" s="74">
        <f>SUMIFS(разходи!$L:$L,разходи!$E:$E,'ПП Септември'!$C$34,разходи!$M:$M,'ПП Септември'!G2)</f>
        <v>0</v>
      </c>
      <c r="H34" s="74">
        <f>SUMIFS(разходи!$L:$L,разходи!$E:$E,'ПП Септември'!$C$34,разходи!$M:$M,'ПП Септември'!H2)</f>
        <v>0</v>
      </c>
      <c r="I34" s="74">
        <f>SUMIFS(разходи!$L:$L,разходи!$E:$E,'ПП Септември'!$C$34,разходи!$M:$M,'ПП Септември'!I2)</f>
        <v>0</v>
      </c>
      <c r="J34" s="76">
        <f>SUMIFS(разходи!$L:$L,разходи!$E:$E,'ПП Септември'!$C$34,разходи!$M:$M,'ПП Септември'!J2)</f>
        <v>0</v>
      </c>
      <c r="K34" s="76">
        <f>SUMIFS(разходи!$L:$L,разходи!$E:$E,'ПП Септември'!$C$34,разходи!$M:$M,'ПП Септември'!K2)</f>
        <v>0</v>
      </c>
      <c r="L34" s="76">
        <f>SUMIFS(разходи!$L:$L,разходи!$E:$E,'ПП Септември'!$C$34,разходи!$M:$M,'ПП Септември'!L2)</f>
        <v>0</v>
      </c>
      <c r="M34" s="74">
        <f>SUMIFS(разходи!$L:$L,разходи!$E:$E,'ПП Септември'!$C$34,разходи!$M:$M,'ПП Септември'!M2)</f>
        <v>0</v>
      </c>
      <c r="N34" s="74">
        <f>SUMIFS(разходи!$L:$L,разходи!$E:$E,'ПП Септември'!$C$34,разходи!$M:$M,'ПП Септември'!N2)</f>
        <v>0</v>
      </c>
      <c r="O34" s="74">
        <f>SUMIFS(разходи!$L:$L,разходи!$E:$E,'ПП Септември'!$C$34,разходи!$M:$M,'ПП Септември'!O2)</f>
        <v>5228.4479999999994</v>
      </c>
      <c r="P34" s="74">
        <f>SUMIFS(разходи!$L:$L,разходи!$E:$E,'ПП Септември'!$C$34,разходи!$M:$M,'ПП Септември'!P2)</f>
        <v>0</v>
      </c>
      <c r="Q34" s="74">
        <f>SUMIFS(разходи!$L:$L,разходи!$E:$E,'ПП Септември'!$C$34,разходи!$M:$M,'ПП Септември'!Q2)</f>
        <v>0</v>
      </c>
      <c r="R34" s="76">
        <f>SUMIFS(разходи!$L:$L,разходи!$E:$E,'ПП Септември'!$C$34,разходи!$M:$M,'ПП Септември'!R2)</f>
        <v>0</v>
      </c>
      <c r="S34" s="76">
        <f>SUMIFS(разходи!$L:$L,разходи!$E:$E,'ПП Септември'!$C$34,разходи!$M:$M,'ПП Септември'!S2)</f>
        <v>0</v>
      </c>
      <c r="T34" s="74">
        <f>SUMIFS(разходи!$L:$L,разходи!$E:$E,'ПП Септември'!$C$34,разходи!$M:$M,'ПП Септември'!T2)</f>
        <v>0</v>
      </c>
      <c r="U34" s="74">
        <f>SUMIFS(разходи!$L:$L,разходи!$E:$E,'ПП Септември'!$C$34,разходи!$M:$M,'ПП Септември'!U2)</f>
        <v>0</v>
      </c>
      <c r="V34" s="74">
        <f>SUMIFS(разходи!$L:$L,разходи!$E:$E,'ПП Септември'!$C$34,разходи!$M:$M,'ПП Септември'!V2)</f>
        <v>0</v>
      </c>
      <c r="W34" s="74">
        <f>SUMIFS(разходи!$L:$L,разходи!$E:$E,'ПП Септември'!$C$34,разходи!$M:$M,'ПП Септември'!W2)</f>
        <v>0</v>
      </c>
      <c r="X34" s="74">
        <f>SUMIFS(разходи!$L:$L,разходи!$E:$E,'ПП Септември'!$C$34,разходи!$M:$M,'ПП Септември'!X2)</f>
        <v>0</v>
      </c>
      <c r="Y34" s="76">
        <f>SUMIFS(разходи!$L:$L,разходи!$E:$E,'ПП Септември'!$C$34,разходи!$M:$M,'ПП Септември'!Y2)</f>
        <v>0</v>
      </c>
      <c r="Z34" s="76">
        <f>SUMIFS(разходи!$L:$L,разходи!$E:$E,'ПП Септември'!$C$34,разходи!$M:$M,'ПП Септември'!Z2)</f>
        <v>0</v>
      </c>
      <c r="AA34" s="76">
        <f>SUMIFS(разходи!$L:$L,разходи!$E:$E,'ПП Септември'!$C$34,разходи!$M:$M,'ПП Септември'!AA2)</f>
        <v>0</v>
      </c>
      <c r="AB34" s="74">
        <f>SUMIFS(разходи!$L:$L,разходи!$E:$E,'ПП Септември'!$C$34,разходи!$M:$M,'ПП Септември'!AB2)</f>
        <v>0</v>
      </c>
      <c r="AC34" s="74">
        <f>SUMIFS(разходи!$L:$L,разходи!$E:$E,'ПП Септември'!$C$34,разходи!$M:$M,'ПП Септември'!AC2)</f>
        <v>0</v>
      </c>
      <c r="AD34" s="74">
        <f>SUMIFS(разходи!$L:$L,разходи!$E:$E,'ПП Септември'!$C$34,разходи!$M:$M,'ПП Септември'!AD2)</f>
        <v>0</v>
      </c>
      <c r="AE34" s="74">
        <f>SUMIFS(разходи!$L:$L,разходи!$E:$E,'ПП Септември'!$C$34,разходи!$M:$M,'ПП Септември'!AE2)</f>
        <v>0</v>
      </c>
      <c r="AF34" s="76">
        <f>SUMIFS(разходи!$L:$L,разходи!$E:$E,'ПП Септември'!$C$34,разходи!$M:$M,'ПП Септември'!AF2)</f>
        <v>0</v>
      </c>
      <c r="AG34" s="76">
        <f>SUMIFS(разходи!$L:$L,разходи!$E:$E,'ПП Септември'!$C$34,разходи!$M:$M,'ПП Септември'!AG2)</f>
        <v>0</v>
      </c>
      <c r="AH34" s="74">
        <f>SUMIFS(разходи!$L:$L,разходи!$E:$E,'ПП Септември'!$C$34,разходи!$M:$M,'ПП Септември'!AH2)</f>
        <v>0</v>
      </c>
      <c r="AI34" s="61">
        <f t="shared" si="2"/>
        <v>5228.4479999999994</v>
      </c>
      <c r="AJ34" s="69">
        <f t="shared" si="3"/>
        <v>-5228.4479999999994</v>
      </c>
    </row>
    <row r="35" spans="1:36" s="21" customFormat="1" ht="20.100000000000001" hidden="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Септември'!$C$35,разходи!$M:$M,'ПП Септември'!E2)</f>
        <v>0</v>
      </c>
      <c r="F35" s="74">
        <f>SUMIFS(разходи!$L:$L,разходи!$E:$E,'ПП Септември'!$C$35,разходи!$M:$M,'ПП Септември'!F2)</f>
        <v>0</v>
      </c>
      <c r="G35" s="74">
        <f>SUMIFS(разходи!$L:$L,разходи!$E:$E,'ПП Септември'!$C$35,разходи!$M:$M,'ПП Септември'!G2)</f>
        <v>0</v>
      </c>
      <c r="H35" s="74">
        <f>SUMIFS(разходи!$L:$L,разходи!$E:$E,'ПП Септември'!$C$35,разходи!$M:$M,'ПП Септември'!H2)</f>
        <v>0</v>
      </c>
      <c r="I35" s="74">
        <f>SUMIFS(разходи!$L:$L,разходи!$E:$E,'ПП Септември'!$C$35,разходи!$M:$M,'ПП Септември'!I2)</f>
        <v>0</v>
      </c>
      <c r="J35" s="76">
        <f>SUMIFS(разходи!$L:$L,разходи!$E:$E,'ПП Септември'!$C$35,разходи!$M:$M,'ПП Септември'!J2)</f>
        <v>0</v>
      </c>
      <c r="K35" s="76">
        <f>SUMIFS(разходи!$L:$L,разходи!$E:$E,'ПП Септември'!$C$35,разходи!$M:$M,'ПП Септември'!K2)</f>
        <v>0</v>
      </c>
      <c r="L35" s="76">
        <f>SUMIFS(разходи!$L:$L,разходи!$E:$E,'ПП Септември'!$C$35,разходи!$M:$M,'ПП Септември'!L2)</f>
        <v>0</v>
      </c>
      <c r="M35" s="74">
        <f>SUMIFS(разходи!$L:$L,разходи!$E:$E,'ПП Септември'!$C$35,разходи!$M:$M,'ПП Септември'!M2)</f>
        <v>0</v>
      </c>
      <c r="N35" s="74">
        <f>SUMIFS(разходи!$L:$L,разходи!$E:$E,'ПП Септември'!$C$35,разходи!$M:$M,'ПП Септември'!N2)</f>
        <v>0</v>
      </c>
      <c r="O35" s="74">
        <f>SUMIFS(разходи!$L:$L,разходи!$E:$E,'ПП Септември'!$C$35,разходи!$M:$M,'ПП Септември'!O2)</f>
        <v>0</v>
      </c>
      <c r="P35" s="74">
        <f>SUMIFS(разходи!$L:$L,разходи!$E:$E,'ПП Септември'!$C$35,разходи!$M:$M,'ПП Септември'!P2)</f>
        <v>0</v>
      </c>
      <c r="Q35" s="74">
        <f>SUMIFS(разходи!$L:$L,разходи!$E:$E,'ПП Септември'!$C$35,разходи!$M:$M,'ПП Септември'!Q2)</f>
        <v>0</v>
      </c>
      <c r="R35" s="76">
        <f>SUMIFS(разходи!$L:$L,разходи!$E:$E,'ПП Септември'!$C$35,разходи!$M:$M,'ПП Септември'!R2)</f>
        <v>0</v>
      </c>
      <c r="S35" s="76">
        <f>SUMIFS(разходи!$L:$L,разходи!$E:$E,'ПП Септември'!$C$35,разходи!$M:$M,'ПП Септември'!S2)</f>
        <v>0</v>
      </c>
      <c r="T35" s="74">
        <f>SUMIFS(разходи!$L:$L,разходи!$E:$E,'ПП Септември'!$C$35,разходи!$M:$M,'ПП Септември'!T2)</f>
        <v>0</v>
      </c>
      <c r="U35" s="74">
        <f>SUMIFS(разходи!$L:$L,разходи!$E:$E,'ПП Септември'!$C$35,разходи!$M:$M,'ПП Септември'!U2)</f>
        <v>0</v>
      </c>
      <c r="V35" s="74">
        <f>SUMIFS(разходи!$L:$L,разходи!$E:$E,'ПП Септември'!$C$35,разходи!$M:$M,'ПП Септември'!V2)</f>
        <v>0</v>
      </c>
      <c r="W35" s="74">
        <f>SUMIFS(разходи!$L:$L,разходи!$E:$E,'ПП Септември'!$C$35,разходи!$M:$M,'ПП Септември'!W2)</f>
        <v>0</v>
      </c>
      <c r="X35" s="74">
        <f>SUMIFS(разходи!$L:$L,разходи!$E:$E,'ПП Септември'!$C$35,разходи!$M:$M,'ПП Септември'!X2)</f>
        <v>0</v>
      </c>
      <c r="Y35" s="76">
        <f>SUMIFS(разходи!$L:$L,разходи!$E:$E,'ПП Септември'!$C$35,разходи!$M:$M,'ПП Септември'!Y2)</f>
        <v>0</v>
      </c>
      <c r="Z35" s="76">
        <f>SUMIFS(разходи!$L:$L,разходи!$E:$E,'ПП Септември'!$C$35,разходи!$M:$M,'ПП Септември'!Z2)</f>
        <v>0</v>
      </c>
      <c r="AA35" s="76">
        <f>SUMIFS(разходи!$L:$L,разходи!$E:$E,'ПП Септември'!$C$35,разходи!$M:$M,'ПП Септември'!AA2)</f>
        <v>0</v>
      </c>
      <c r="AB35" s="74">
        <f>SUMIFS(разходи!$L:$L,разходи!$E:$E,'ПП Септември'!$C$35,разходи!$M:$M,'ПП Септември'!AB2)</f>
        <v>0</v>
      </c>
      <c r="AC35" s="74">
        <f>SUMIFS(разходи!$L:$L,разходи!$E:$E,'ПП Септември'!$C$35,разходи!$M:$M,'ПП Септември'!AC2)</f>
        <v>0</v>
      </c>
      <c r="AD35" s="74">
        <f>SUMIFS(разходи!$L:$L,разходи!$E:$E,'ПП Септември'!$C$35,разходи!$M:$M,'ПП Септември'!AD2)</f>
        <v>0</v>
      </c>
      <c r="AE35" s="74">
        <f>SUMIFS(разходи!$L:$L,разходи!$E:$E,'ПП Септември'!$C$35,разходи!$M:$M,'ПП Септември'!AE2)</f>
        <v>0</v>
      </c>
      <c r="AF35" s="76">
        <f>SUMIFS(разходи!$L:$L,разходи!$E:$E,'ПП Септември'!$C$35,разходи!$M:$M,'ПП Септември'!AF2)</f>
        <v>0</v>
      </c>
      <c r="AG35" s="76">
        <f>SUMIFS(разходи!$L:$L,разходи!$E:$E,'ПП Септември'!$C$35,разходи!$M:$M,'ПП Септември'!AG2)</f>
        <v>0</v>
      </c>
      <c r="AH35" s="74">
        <f>SUMIFS(разходи!$L:$L,разходи!$E:$E,'ПП Септември'!$C$35,разходи!$M:$M,'ПП Септември'!AH2)</f>
        <v>0</v>
      </c>
      <c r="AI35" s="61">
        <f t="shared" ref="AI35:AI66" si="16">SUM(E35:AH35)</f>
        <v>0</v>
      </c>
      <c r="AJ35" s="69">
        <f t="shared" ref="AJ35:AJ66" si="17">+D35-AI35</f>
        <v>0</v>
      </c>
    </row>
    <row r="36" spans="1:36" s="4" customFormat="1" ht="20.100000000000001" customHeight="1" collapsed="1" x14ac:dyDescent="0.3">
      <c r="A36" s="9"/>
      <c r="B36" s="7">
        <v>3</v>
      </c>
      <c r="C36" s="10" t="s">
        <v>861</v>
      </c>
      <c r="D36" s="74">
        <v>24728.824307039995</v>
      </c>
      <c r="E36" s="76">
        <f t="shared" ref="E36:AH36" si="18">SUM(E37:E40)</f>
        <v>0</v>
      </c>
      <c r="F36" s="74">
        <f t="shared" si="18"/>
        <v>0</v>
      </c>
      <c r="G36" s="74">
        <f t="shared" si="18"/>
        <v>0</v>
      </c>
      <c r="H36" s="74">
        <f t="shared" si="18"/>
        <v>0</v>
      </c>
      <c r="I36" s="74">
        <f t="shared" si="18"/>
        <v>0</v>
      </c>
      <c r="J36" s="76">
        <f t="shared" si="18"/>
        <v>0</v>
      </c>
      <c r="K36" s="76">
        <f t="shared" si="18"/>
        <v>0</v>
      </c>
      <c r="L36" s="76">
        <f t="shared" si="18"/>
        <v>0</v>
      </c>
      <c r="M36" s="74">
        <f t="shared" si="18"/>
        <v>0</v>
      </c>
      <c r="N36" s="74">
        <f t="shared" si="18"/>
        <v>0</v>
      </c>
      <c r="O36" s="74">
        <f t="shared" si="18"/>
        <v>58635.756000000001</v>
      </c>
      <c r="P36" s="74">
        <f t="shared" si="18"/>
        <v>0</v>
      </c>
      <c r="Q36" s="74">
        <f t="shared" si="18"/>
        <v>0</v>
      </c>
      <c r="R36" s="76">
        <f t="shared" si="18"/>
        <v>0</v>
      </c>
      <c r="S36" s="76">
        <f t="shared" si="18"/>
        <v>0</v>
      </c>
      <c r="T36" s="74">
        <f t="shared" si="18"/>
        <v>0</v>
      </c>
      <c r="U36" s="74">
        <f t="shared" si="18"/>
        <v>0</v>
      </c>
      <c r="V36" s="74">
        <f t="shared" si="18"/>
        <v>0</v>
      </c>
      <c r="W36" s="74">
        <f t="shared" si="18"/>
        <v>0</v>
      </c>
      <c r="X36" s="74">
        <f t="shared" si="18"/>
        <v>0</v>
      </c>
      <c r="Y36" s="76">
        <f t="shared" si="18"/>
        <v>0</v>
      </c>
      <c r="Z36" s="76">
        <f t="shared" si="18"/>
        <v>0</v>
      </c>
      <c r="AA36" s="76">
        <f t="shared" si="18"/>
        <v>0</v>
      </c>
      <c r="AB36" s="74">
        <f t="shared" si="18"/>
        <v>0</v>
      </c>
      <c r="AC36" s="74">
        <f t="shared" si="18"/>
        <v>0</v>
      </c>
      <c r="AD36" s="74">
        <f t="shared" si="18"/>
        <v>0</v>
      </c>
      <c r="AE36" s="74">
        <f t="shared" si="18"/>
        <v>0</v>
      </c>
      <c r="AF36" s="76">
        <f t="shared" si="18"/>
        <v>0</v>
      </c>
      <c r="AG36" s="76">
        <f t="shared" si="18"/>
        <v>0</v>
      </c>
      <c r="AH36" s="74">
        <f t="shared" si="18"/>
        <v>0</v>
      </c>
      <c r="AI36" s="61">
        <f t="shared" si="16"/>
        <v>58635.756000000001</v>
      </c>
      <c r="AJ36" s="62">
        <f t="shared" si="17"/>
        <v>-33906.931692960003</v>
      </c>
    </row>
    <row r="37" spans="1:36" s="21" customFormat="1" ht="20.100000000000001" hidden="1" customHeight="1" outlineLevel="1" x14ac:dyDescent="0.3">
      <c r="A37" s="27"/>
      <c r="B37" s="22"/>
      <c r="C37" s="8" t="s">
        <v>462</v>
      </c>
      <c r="D37" s="80"/>
      <c r="E37" s="76">
        <f>SUMIFS(разходи!$L:$L,разходи!$E:$E,'ПП Септември'!$C$37,разходи!$M:$M,'ПП Септември'!E2)</f>
        <v>0</v>
      </c>
      <c r="F37" s="74">
        <f>SUMIFS(разходи!$L:$L,разходи!$E:$E,'ПП Септември'!$C$37,разходи!$M:$M,'ПП Септември'!F2)</f>
        <v>0</v>
      </c>
      <c r="G37" s="74">
        <f>SUMIFS(разходи!$L:$L,разходи!$E:$E,'ПП Септември'!$C$37,разходи!$M:$M,'ПП Септември'!G2)</f>
        <v>0</v>
      </c>
      <c r="H37" s="74">
        <f>SUMIFS(разходи!$L:$L,разходи!$E:$E,'ПП Септември'!$C$37,разходи!$M:$M,'ПП Септември'!H2)</f>
        <v>0</v>
      </c>
      <c r="I37" s="74">
        <f>SUMIFS(разходи!$L:$L,разходи!$E:$E,'ПП Септември'!$C$37,разходи!$M:$M,'ПП Септември'!I2)</f>
        <v>0</v>
      </c>
      <c r="J37" s="76">
        <f>SUMIFS(разходи!$L:$L,разходи!$E:$E,'ПП Септември'!$C$37,разходи!$M:$M,'ПП Септември'!J2)</f>
        <v>0</v>
      </c>
      <c r="K37" s="76">
        <f>SUMIFS(разходи!$L:$L,разходи!$E:$E,'ПП Септември'!$C$37,разходи!$M:$M,'ПП Септември'!K2)</f>
        <v>0</v>
      </c>
      <c r="L37" s="76">
        <f>SUMIFS(разходи!$L:$L,разходи!$E:$E,'ПП Септември'!$C$37,разходи!$M:$M,'ПП Септември'!L2)</f>
        <v>0</v>
      </c>
      <c r="M37" s="74">
        <f>SUMIFS(разходи!$L:$L,разходи!$E:$E,'ПП Септември'!$C$37,разходи!$M:$M,'ПП Септември'!M2)</f>
        <v>0</v>
      </c>
      <c r="N37" s="74">
        <f>SUMIFS(разходи!$L:$L,разходи!$E:$E,'ПП Септември'!$C$37,разходи!$M:$M,'ПП Септември'!N2)</f>
        <v>0</v>
      </c>
      <c r="O37" s="74">
        <f>SUMIFS(разходи!$L:$L,разходи!$E:$E,'ПП Септември'!$C$37,разходи!$M:$M,'ПП Септември'!O2)</f>
        <v>25622.484</v>
      </c>
      <c r="P37" s="74">
        <f>SUMIFS(разходи!$L:$L,разходи!$E:$E,'ПП Септември'!$C$37,разходи!$M:$M,'ПП Септември'!P2)</f>
        <v>0</v>
      </c>
      <c r="Q37" s="74">
        <f>SUMIFS(разходи!$L:$L,разходи!$E:$E,'ПП Септември'!$C$37,разходи!$M:$M,'ПП Септември'!Q2)</f>
        <v>0</v>
      </c>
      <c r="R37" s="76">
        <f>SUMIFS(разходи!$L:$L,разходи!$E:$E,'ПП Септември'!$C$37,разходи!$M:$M,'ПП Септември'!R2)</f>
        <v>0</v>
      </c>
      <c r="S37" s="76">
        <f>SUMIFS(разходи!$L:$L,разходи!$E:$E,'ПП Септември'!$C$37,разходи!$M:$M,'ПП Септември'!S2)</f>
        <v>0</v>
      </c>
      <c r="T37" s="74">
        <f>SUMIFS(разходи!$L:$L,разходи!$E:$E,'ПП Септември'!$C$37,разходи!$M:$M,'ПП Септември'!T2)</f>
        <v>0</v>
      </c>
      <c r="U37" s="74">
        <f>SUMIFS(разходи!$L:$L,разходи!$E:$E,'ПП Септември'!$C$37,разходи!$M:$M,'ПП Септември'!U2)</f>
        <v>0</v>
      </c>
      <c r="V37" s="74">
        <f>SUMIFS(разходи!$L:$L,разходи!$E:$E,'ПП Септември'!$C$37,разходи!$M:$M,'ПП Септември'!V2)</f>
        <v>0</v>
      </c>
      <c r="W37" s="74">
        <f>SUMIFS(разходи!$L:$L,разходи!$E:$E,'ПП Септември'!$C$37,разходи!$M:$M,'ПП Септември'!W2)</f>
        <v>0</v>
      </c>
      <c r="X37" s="74">
        <f>SUMIFS(разходи!$L:$L,разходи!$E:$E,'ПП Септември'!$C$37,разходи!$M:$M,'ПП Септември'!X2)</f>
        <v>0</v>
      </c>
      <c r="Y37" s="76">
        <f>SUMIFS(разходи!$L:$L,разходи!$E:$E,'ПП Септември'!$C$37,разходи!$M:$M,'ПП Септември'!Y2)</f>
        <v>0</v>
      </c>
      <c r="Z37" s="76">
        <f>SUMIFS(разходи!$L:$L,разходи!$E:$E,'ПП Септември'!$C$37,разходи!$M:$M,'ПП Септември'!Z2)</f>
        <v>0</v>
      </c>
      <c r="AA37" s="76">
        <f>SUMIFS(разходи!$L:$L,разходи!$E:$E,'ПП Септември'!$C$37,разходи!$M:$M,'ПП Септември'!AA2)</f>
        <v>0</v>
      </c>
      <c r="AB37" s="74">
        <f>SUMIFS(разходи!$L:$L,разходи!$E:$E,'ПП Септември'!$C$37,разходи!$M:$M,'ПП Септември'!AB2)</f>
        <v>0</v>
      </c>
      <c r="AC37" s="74">
        <f>SUMIFS(разходи!$L:$L,разходи!$E:$E,'ПП Септември'!$C$37,разходи!$M:$M,'ПП Септември'!AC2)</f>
        <v>0</v>
      </c>
      <c r="AD37" s="74">
        <f>SUMIFS(разходи!$L:$L,разходи!$E:$E,'ПП Септември'!$C$37,разходи!$M:$M,'ПП Септември'!AD2)</f>
        <v>0</v>
      </c>
      <c r="AE37" s="74">
        <f>SUMIFS(разходи!$L:$L,разходи!$E:$E,'ПП Септември'!$C$37,разходи!$M:$M,'ПП Септември'!AE2)</f>
        <v>0</v>
      </c>
      <c r="AF37" s="76">
        <f>SUMIFS(разходи!$L:$L,разходи!$E:$E,'ПП Септември'!$C$37,разходи!$M:$M,'ПП Септември'!AF2)</f>
        <v>0</v>
      </c>
      <c r="AG37" s="76">
        <f>SUMIFS(разходи!$L:$L,разходи!$E:$E,'ПП Септември'!$C$37,разходи!$M:$M,'ПП Септември'!AG2)</f>
        <v>0</v>
      </c>
      <c r="AH37" s="74">
        <f>SUMIFS(разходи!$L:$L,разходи!$E:$E,'ПП Септември'!$C$37,разходи!$M:$M,'ПП Септември'!AH2)</f>
        <v>0</v>
      </c>
      <c r="AI37" s="61">
        <f t="shared" si="16"/>
        <v>25622.484</v>
      </c>
      <c r="AJ37" s="69">
        <f t="shared" si="17"/>
        <v>-25622.484</v>
      </c>
    </row>
    <row r="38" spans="1:36" s="21" customFormat="1" ht="20.100000000000001" hidden="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Септември'!$C$38,разходи!$M:$M,'ПП Септември'!E2)</f>
        <v>0</v>
      </c>
      <c r="F38" s="74">
        <f>SUMIFS(разходи!$L:$L,разходи!$E:$E,'ПП Септември'!$C$38,разходи!$M:$M,'ПП Септември'!F2)</f>
        <v>0</v>
      </c>
      <c r="G38" s="74">
        <f>SUMIFS(разходи!$L:$L,разходи!$E:$E,'ПП Септември'!$C$38,разходи!$M:$M,'ПП Септември'!G2)</f>
        <v>0</v>
      </c>
      <c r="H38" s="74">
        <f>SUMIFS(разходи!$L:$L,разходи!$E:$E,'ПП Септември'!$C$38,разходи!$M:$M,'ПП Септември'!H2)</f>
        <v>0</v>
      </c>
      <c r="I38" s="74">
        <f>SUMIFS(разходи!$L:$L,разходи!$E:$E,'ПП Септември'!$C$38,разходи!$M:$M,'ПП Септември'!I2)</f>
        <v>0</v>
      </c>
      <c r="J38" s="76">
        <f>SUMIFS(разходи!$L:$L,разходи!$E:$E,'ПП Септември'!$C$38,разходи!$M:$M,'ПП Септември'!J2)</f>
        <v>0</v>
      </c>
      <c r="K38" s="76">
        <f>SUMIFS(разходи!$L:$L,разходи!$E:$E,'ПП Септември'!$C$38,разходи!$M:$M,'ПП Септември'!K2)</f>
        <v>0</v>
      </c>
      <c r="L38" s="76">
        <f>SUMIFS(разходи!$L:$L,разходи!$E:$E,'ПП Септември'!$C$38,разходи!$M:$M,'ПП Септември'!L2)</f>
        <v>0</v>
      </c>
      <c r="M38" s="74">
        <f>SUMIFS(разходи!$L:$L,разходи!$E:$E,'ПП Септември'!$C$38,разходи!$M:$M,'ПП Септември'!M2)</f>
        <v>0</v>
      </c>
      <c r="N38" s="74">
        <f>SUMIFS(разходи!$L:$L,разходи!$E:$E,'ПП Септември'!$C$38,разходи!$M:$M,'ПП Септември'!N2)</f>
        <v>0</v>
      </c>
      <c r="O38" s="74">
        <f>SUMIFS(разходи!$L:$L,разходи!$E:$E,'ПП Септември'!$C$38,разходи!$M:$M,'ПП Септември'!O2)</f>
        <v>36222.743999999999</v>
      </c>
      <c r="P38" s="74">
        <f>SUMIFS(разходи!$L:$L,разходи!$E:$E,'ПП Септември'!$C$38,разходи!$M:$M,'ПП Септември'!P2)</f>
        <v>0</v>
      </c>
      <c r="Q38" s="74">
        <f>SUMIFS(разходи!$L:$L,разходи!$E:$E,'ПП Септември'!$C$38,разходи!$M:$M,'ПП Септември'!Q2)</f>
        <v>0</v>
      </c>
      <c r="R38" s="76">
        <f>SUMIFS(разходи!$L:$L,разходи!$E:$E,'ПП Септември'!$C$38,разходи!$M:$M,'ПП Септември'!R2)</f>
        <v>0</v>
      </c>
      <c r="S38" s="76">
        <f>SUMIFS(разходи!$L:$L,разходи!$E:$E,'ПП Септември'!$C$38,разходи!$M:$M,'ПП Септември'!S2)</f>
        <v>0</v>
      </c>
      <c r="T38" s="74">
        <f>SUMIFS(разходи!$L:$L,разходи!$E:$E,'ПП Септември'!$C$38,разходи!$M:$M,'ПП Септември'!T2)</f>
        <v>0</v>
      </c>
      <c r="U38" s="74">
        <f>SUMIFS(разходи!$L:$L,разходи!$E:$E,'ПП Септември'!$C$38,разходи!$M:$M,'ПП Септември'!U2)</f>
        <v>0</v>
      </c>
      <c r="V38" s="74">
        <f>SUMIFS(разходи!$L:$L,разходи!$E:$E,'ПП Септември'!$C$38,разходи!$M:$M,'ПП Септември'!V2)</f>
        <v>0</v>
      </c>
      <c r="W38" s="74">
        <f>SUMIFS(разходи!$L:$L,разходи!$E:$E,'ПП Септември'!$C$38,разходи!$M:$M,'ПП Септември'!W2)</f>
        <v>0</v>
      </c>
      <c r="X38" s="74">
        <f>SUMIFS(разходи!$L:$L,разходи!$E:$E,'ПП Септември'!$C$38,разходи!$M:$M,'ПП Септември'!X2)</f>
        <v>0</v>
      </c>
      <c r="Y38" s="76">
        <f>SUMIFS(разходи!$L:$L,разходи!$E:$E,'ПП Септември'!$C$38,разходи!$M:$M,'ПП Септември'!Y2)</f>
        <v>0</v>
      </c>
      <c r="Z38" s="76">
        <f>SUMIFS(разходи!$L:$L,разходи!$E:$E,'ПП Септември'!$C$38,разходи!$M:$M,'ПП Септември'!Z2)</f>
        <v>0</v>
      </c>
      <c r="AA38" s="76">
        <f>SUMIFS(разходи!$L:$L,разходи!$E:$E,'ПП Септември'!$C$38,разходи!$M:$M,'ПП Септември'!AA2)</f>
        <v>0</v>
      </c>
      <c r="AB38" s="74">
        <f>SUMIFS(разходи!$L:$L,разходи!$E:$E,'ПП Септември'!$C$38,разходи!$M:$M,'ПП Септември'!AB2)</f>
        <v>0</v>
      </c>
      <c r="AC38" s="74">
        <f>SUMIFS(разходи!$L:$L,разходи!$E:$E,'ПП Септември'!$C$38,разходи!$M:$M,'ПП Септември'!AC2)</f>
        <v>0</v>
      </c>
      <c r="AD38" s="74">
        <f>SUMIFS(разходи!$L:$L,разходи!$E:$E,'ПП Септември'!$C$38,разходи!$M:$M,'ПП Септември'!AD2)</f>
        <v>0</v>
      </c>
      <c r="AE38" s="74">
        <f>SUMIFS(разходи!$L:$L,разходи!$E:$E,'ПП Септември'!$C$38,разходи!$M:$M,'ПП Септември'!AE2)</f>
        <v>0</v>
      </c>
      <c r="AF38" s="76">
        <f>SUMIFS(разходи!$L:$L,разходи!$E:$E,'ПП Септември'!$C$38,разходи!$M:$M,'ПП Септември'!AF2)</f>
        <v>0</v>
      </c>
      <c r="AG38" s="76">
        <f>SUMIFS(разходи!$L:$L,разходи!$E:$E,'ПП Септември'!$C$38,разходи!$M:$M,'ПП Септември'!AG2)</f>
        <v>0</v>
      </c>
      <c r="AH38" s="74">
        <f>SUMIFS(разходи!$L:$L,разходи!$E:$E,'ПП Септември'!$C$38,разходи!$M:$M,'ПП Септември'!AH2)</f>
        <v>0</v>
      </c>
      <c r="AI38" s="61">
        <f t="shared" si="16"/>
        <v>36222.743999999999</v>
      </c>
      <c r="AJ38" s="69">
        <f t="shared" si="17"/>
        <v>-36222.743999999999</v>
      </c>
    </row>
    <row r="39" spans="1:36" s="21" customFormat="1" ht="20.100000000000001" hidden="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Септември'!$C$39,разходи!$M:$M,'ПП Септември'!E2)</f>
        <v>0</v>
      </c>
      <c r="F39" s="74">
        <f>SUMIFS(разходи!$L:$L,разходи!$E:$E,'ПП Септември'!$C$39,разходи!$M:$M,'ПП Септември'!F2)</f>
        <v>0</v>
      </c>
      <c r="G39" s="74">
        <f>SUMIFS(разходи!$L:$L,разходи!$E:$E,'ПП Септември'!$C$39,разходи!$M:$M,'ПП Септември'!G2)</f>
        <v>0</v>
      </c>
      <c r="H39" s="74">
        <f>SUMIFS(разходи!$L:$L,разходи!$E:$E,'ПП Септември'!$C$39,разходи!$M:$M,'ПП Септември'!H2)</f>
        <v>0</v>
      </c>
      <c r="I39" s="74">
        <f>SUMIFS(разходи!$L:$L,разходи!$E:$E,'ПП Септември'!$C$39,разходи!$M:$M,'ПП Септември'!I2)</f>
        <v>0</v>
      </c>
      <c r="J39" s="76">
        <f>SUMIFS(разходи!$L:$L,разходи!$E:$E,'ПП Септември'!$C$39,разходи!$M:$M,'ПП Септември'!J2)</f>
        <v>0</v>
      </c>
      <c r="K39" s="76">
        <f>SUMIFS(разходи!$L:$L,разходи!$E:$E,'ПП Септември'!$C$39,разходи!$M:$M,'ПП Септември'!K2)</f>
        <v>0</v>
      </c>
      <c r="L39" s="76">
        <f>SUMIFS(разходи!$L:$L,разходи!$E:$E,'ПП Септември'!$C$39,разходи!$M:$M,'ПП Септември'!L2)</f>
        <v>0</v>
      </c>
      <c r="M39" s="74">
        <f>SUMIFS(разходи!$L:$L,разходи!$E:$E,'ПП Септември'!$C$39,разходи!$M:$M,'ПП Септември'!M2)</f>
        <v>0</v>
      </c>
      <c r="N39" s="74">
        <f>SUMIFS(разходи!$L:$L,разходи!$E:$E,'ПП Септември'!$C$39,разходи!$M:$M,'ПП Септември'!N2)</f>
        <v>0</v>
      </c>
      <c r="O39" s="74">
        <f>SUMIFS(разходи!$L:$L,разходи!$E:$E,'ПП Септември'!$C$39,разходи!$M:$M,'ПП Септември'!O2)</f>
        <v>1125.288</v>
      </c>
      <c r="P39" s="74">
        <f>SUMIFS(разходи!$L:$L,разходи!$E:$E,'ПП Септември'!$C$39,разходи!$M:$M,'ПП Септември'!P2)</f>
        <v>0</v>
      </c>
      <c r="Q39" s="74">
        <f>SUMIFS(разходи!$L:$L,разходи!$E:$E,'ПП Септември'!$C$39,разходи!$M:$M,'ПП Септември'!Q2)</f>
        <v>0</v>
      </c>
      <c r="R39" s="76">
        <f>SUMIFS(разходи!$L:$L,разходи!$E:$E,'ПП Септември'!$C$39,разходи!$M:$M,'ПП Септември'!R2)</f>
        <v>0</v>
      </c>
      <c r="S39" s="76">
        <f>SUMIFS(разходи!$L:$L,разходи!$E:$E,'ПП Септември'!$C$39,разходи!$M:$M,'ПП Септември'!S2)</f>
        <v>0</v>
      </c>
      <c r="T39" s="74">
        <f>SUMIFS(разходи!$L:$L,разходи!$E:$E,'ПП Септември'!$C$39,разходи!$M:$M,'ПП Септември'!T2)</f>
        <v>0</v>
      </c>
      <c r="U39" s="74">
        <f>SUMIFS(разходи!$L:$L,разходи!$E:$E,'ПП Септември'!$C$39,разходи!$M:$M,'ПП Септември'!U2)</f>
        <v>0</v>
      </c>
      <c r="V39" s="74">
        <f>SUMIFS(разходи!$L:$L,разходи!$E:$E,'ПП Септември'!$C$39,разходи!$M:$M,'ПП Септември'!V2)</f>
        <v>0</v>
      </c>
      <c r="W39" s="74">
        <f>SUMIFS(разходи!$L:$L,разходи!$E:$E,'ПП Септември'!$C$39,разходи!$M:$M,'ПП Септември'!W2)</f>
        <v>0</v>
      </c>
      <c r="X39" s="74">
        <f>SUMIFS(разходи!$L:$L,разходи!$E:$E,'ПП Септември'!$C$39,разходи!$M:$M,'ПП Септември'!X2)</f>
        <v>0</v>
      </c>
      <c r="Y39" s="76">
        <f>SUMIFS(разходи!$L:$L,разходи!$E:$E,'ПП Септември'!$C$39,разходи!$M:$M,'ПП Септември'!Y2)</f>
        <v>0</v>
      </c>
      <c r="Z39" s="76">
        <f>SUMIFS(разходи!$L:$L,разходи!$E:$E,'ПП Септември'!$C$39,разходи!$M:$M,'ПП Септември'!Z2)</f>
        <v>0</v>
      </c>
      <c r="AA39" s="76">
        <f>SUMIFS(разходи!$L:$L,разходи!$E:$E,'ПП Септември'!$C$39,разходи!$M:$M,'ПП Септември'!AA2)</f>
        <v>0</v>
      </c>
      <c r="AB39" s="74">
        <f>SUMIFS(разходи!$L:$L,разходи!$E:$E,'ПП Септември'!$C$39,разходи!$M:$M,'ПП Септември'!AB2)</f>
        <v>0</v>
      </c>
      <c r="AC39" s="74">
        <f>SUMIFS(разходи!$L:$L,разходи!$E:$E,'ПП Септември'!$C$39,разходи!$M:$M,'ПП Септември'!AC2)</f>
        <v>0</v>
      </c>
      <c r="AD39" s="74">
        <f>SUMIFS(разходи!$L:$L,разходи!$E:$E,'ПП Септември'!$C$39,разходи!$M:$M,'ПП Септември'!AD2)</f>
        <v>0</v>
      </c>
      <c r="AE39" s="74">
        <f>SUMIFS(разходи!$L:$L,разходи!$E:$E,'ПП Септември'!$C$39,разходи!$M:$M,'ПП Септември'!AE2)</f>
        <v>0</v>
      </c>
      <c r="AF39" s="76">
        <f>SUMIFS(разходи!$L:$L,разходи!$E:$E,'ПП Септември'!$C$39,разходи!$M:$M,'ПП Септември'!AF2)</f>
        <v>0</v>
      </c>
      <c r="AG39" s="76">
        <f>SUMIFS(разходи!$L:$L,разходи!$E:$E,'ПП Септември'!$C$39,разходи!$M:$M,'ПП Септември'!AG2)</f>
        <v>0</v>
      </c>
      <c r="AH39" s="74">
        <f>SUMIFS(разходи!$L:$L,разходи!$E:$E,'ПП Септември'!$C$39,разходи!$M:$M,'ПП Септември'!AH2)</f>
        <v>0</v>
      </c>
      <c r="AI39" s="61">
        <f t="shared" si="16"/>
        <v>1125.288</v>
      </c>
      <c r="AJ39" s="69">
        <f t="shared" si="17"/>
        <v>-1125.288</v>
      </c>
    </row>
    <row r="40" spans="1:36" s="21" customFormat="1" ht="20.100000000000001" hidden="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Септември'!$C$40,разходи!$M:$M,'ПП Септември'!E2)</f>
        <v>0</v>
      </c>
      <c r="F40" s="74">
        <f>SUMIFS(разходи!$L:$L,разходи!$E:$E,'ПП Септември'!$C$40,разходи!$M:$M,'ПП Септември'!F2)</f>
        <v>0</v>
      </c>
      <c r="G40" s="74">
        <f>SUMIFS(разходи!$L:$L,разходи!$E:$E,'ПП Септември'!$C$40,разходи!$M:$M,'ПП Септември'!G2)</f>
        <v>0</v>
      </c>
      <c r="H40" s="74">
        <f>SUMIFS(разходи!$L:$L,разходи!$E:$E,'ПП Септември'!$C$40,разходи!$M:$M,'ПП Септември'!H2)</f>
        <v>0</v>
      </c>
      <c r="I40" s="74">
        <f>SUMIFS(разходи!$L:$L,разходи!$E:$E,'ПП Септември'!$C$40,разходи!$M:$M,'ПП Септември'!I2)</f>
        <v>0</v>
      </c>
      <c r="J40" s="76">
        <f>SUMIFS(разходи!$L:$L,разходи!$E:$E,'ПП Септември'!$C$40,разходи!$M:$M,'ПП Септември'!J2)</f>
        <v>0</v>
      </c>
      <c r="K40" s="76">
        <f>SUMIFS(разходи!$L:$L,разходи!$E:$E,'ПП Септември'!$C$40,разходи!$M:$M,'ПП Септември'!K2)</f>
        <v>0</v>
      </c>
      <c r="L40" s="76">
        <f>SUMIFS(разходи!$L:$L,разходи!$E:$E,'ПП Септември'!$C$40,разходи!$M:$M,'ПП Септември'!L2)</f>
        <v>0</v>
      </c>
      <c r="M40" s="74">
        <f>SUMIFS(разходи!$L:$L,разходи!$E:$E,'ПП Септември'!$C$40,разходи!$M:$M,'ПП Септември'!M2)</f>
        <v>0</v>
      </c>
      <c r="N40" s="74">
        <f>SUMIFS(разходи!$L:$L,разходи!$E:$E,'ПП Септември'!$C$40,разходи!$M:$M,'ПП Септември'!N2)</f>
        <v>0</v>
      </c>
      <c r="O40" s="74">
        <f>SUMIFS(разходи!$L:$L,разходи!$E:$E,'ПП Септември'!$C$40,разходи!$M:$M,'ПП Септември'!O2)</f>
        <v>-4334.76</v>
      </c>
      <c r="P40" s="74">
        <f>SUMIFS(разходи!$L:$L,разходи!$E:$E,'ПП Септември'!$C$40,разходи!$M:$M,'ПП Септември'!P2)</f>
        <v>0</v>
      </c>
      <c r="Q40" s="74">
        <f>SUMIFS(разходи!$L:$L,разходи!$E:$E,'ПП Септември'!$C$40,разходи!$M:$M,'ПП Септември'!Q2)</f>
        <v>0</v>
      </c>
      <c r="R40" s="76">
        <f>SUMIFS(разходи!$L:$L,разходи!$E:$E,'ПП Септември'!$C$40,разходи!$M:$M,'ПП Септември'!R2)</f>
        <v>0</v>
      </c>
      <c r="S40" s="76">
        <f>SUMIFS(разходи!$L:$L,разходи!$E:$E,'ПП Септември'!$C$40,разходи!$M:$M,'ПП Септември'!S2)</f>
        <v>0</v>
      </c>
      <c r="T40" s="74">
        <f>SUMIFS(разходи!$L:$L,разходи!$E:$E,'ПП Септември'!$C$40,разходи!$M:$M,'ПП Септември'!T2)</f>
        <v>0</v>
      </c>
      <c r="U40" s="74">
        <f>SUMIFS(разходи!$L:$L,разходи!$E:$E,'ПП Септември'!$C$40,разходи!$M:$M,'ПП Септември'!U2)</f>
        <v>0</v>
      </c>
      <c r="V40" s="74">
        <f>SUMIFS(разходи!$L:$L,разходи!$E:$E,'ПП Септември'!$C$40,разходи!$M:$M,'ПП Септември'!V2)</f>
        <v>0</v>
      </c>
      <c r="W40" s="74">
        <f>SUMIFS(разходи!$L:$L,разходи!$E:$E,'ПП Септември'!$C$40,разходи!$M:$M,'ПП Септември'!W2)</f>
        <v>0</v>
      </c>
      <c r="X40" s="74">
        <f>SUMIFS(разходи!$L:$L,разходи!$E:$E,'ПП Септември'!$C$40,разходи!$M:$M,'ПП Септември'!X2)</f>
        <v>0</v>
      </c>
      <c r="Y40" s="76">
        <f>SUMIFS(разходи!$L:$L,разходи!$E:$E,'ПП Септември'!$C$40,разходи!$M:$M,'ПП Септември'!Y2)</f>
        <v>0</v>
      </c>
      <c r="Z40" s="76">
        <f>SUMIFS(разходи!$L:$L,разходи!$E:$E,'ПП Септември'!$C$40,разходи!$M:$M,'ПП Септември'!Z2)</f>
        <v>0</v>
      </c>
      <c r="AA40" s="76">
        <f>SUMIFS(разходи!$L:$L,разходи!$E:$E,'ПП Септември'!$C$40,разходи!$M:$M,'ПП Септември'!AA2)</f>
        <v>0</v>
      </c>
      <c r="AB40" s="74">
        <f>SUMIFS(разходи!$L:$L,разходи!$E:$E,'ПП Септември'!$C$40,разходи!$M:$M,'ПП Септември'!AB2)</f>
        <v>0</v>
      </c>
      <c r="AC40" s="74">
        <f>SUMIFS(разходи!$L:$L,разходи!$E:$E,'ПП Септември'!$C$40,разходи!$M:$M,'ПП Септември'!AC2)</f>
        <v>0</v>
      </c>
      <c r="AD40" s="74">
        <f>SUMIFS(разходи!$L:$L,разходи!$E:$E,'ПП Септември'!$C$40,разходи!$M:$M,'ПП Септември'!AD2)</f>
        <v>0</v>
      </c>
      <c r="AE40" s="74">
        <f>SUMIFS(разходи!$L:$L,разходи!$E:$E,'ПП Септември'!$C$40,разходи!$M:$M,'ПП Септември'!AE2)</f>
        <v>0</v>
      </c>
      <c r="AF40" s="76">
        <f>SUMIFS(разходи!$L:$L,разходи!$E:$E,'ПП Септември'!$C$40,разходи!$M:$M,'ПП Септември'!AF2)</f>
        <v>0</v>
      </c>
      <c r="AG40" s="76">
        <f>SUMIFS(разходи!$L:$L,разходи!$E:$E,'ПП Септември'!$C$40,разходи!$M:$M,'ПП Септември'!AG2)</f>
        <v>0</v>
      </c>
      <c r="AH40" s="74">
        <f>SUMIFS(разходи!$L:$L,разходи!$E:$E,'ПП Септември'!$C$40,разходи!$M:$M,'ПП Септември'!AH2)</f>
        <v>0</v>
      </c>
      <c r="AI40" s="61">
        <f t="shared" si="16"/>
        <v>-4334.76</v>
      </c>
      <c r="AJ40" s="69">
        <f t="shared" si="17"/>
        <v>4334.76</v>
      </c>
    </row>
    <row r="41" spans="1:36" s="4" customFormat="1" ht="20.100000000000001" customHeight="1" collapsed="1" x14ac:dyDescent="0.3">
      <c r="A41" s="9"/>
      <c r="B41" s="7">
        <v>4</v>
      </c>
      <c r="C41" s="8" t="s">
        <v>54</v>
      </c>
      <c r="D41" s="80">
        <v>250317.59520000004</v>
      </c>
      <c r="E41" s="76">
        <f>SUMIFS(разходи!$L:$L,разходи!$E:$E,'ПП Септември'!$C$41,разходи!$M:$M,'ПП Септември'!E2)</f>
        <v>0</v>
      </c>
      <c r="F41" s="74">
        <f>SUMIFS(разходи!$L:$L,разходи!$E:$E,'ПП Септември'!$C$41,разходи!$M:$M,'ПП Септември'!F2)</f>
        <v>0</v>
      </c>
      <c r="G41" s="74">
        <f>SUMIFS(разходи!$L:$L,разходи!$E:$E,'ПП Септември'!$C$41,разходи!$M:$M,'ПП Септември'!G2)</f>
        <v>0</v>
      </c>
      <c r="H41" s="74">
        <f>SUMIFS(разходи!$L:$L,разходи!$E:$E,'ПП Септември'!$C$41,разходи!$M:$M,'ПП Септември'!H2)</f>
        <v>0</v>
      </c>
      <c r="I41" s="74">
        <f>SUMIFS(разходи!$L:$L,разходи!$E:$E,'ПП Септември'!$C$41,разходи!$M:$M,'ПП Септември'!I2)</f>
        <v>0</v>
      </c>
      <c r="J41" s="76">
        <f>SUMIFS(разходи!$L:$L,разходи!$E:$E,'ПП Септември'!$C$41,разходи!$M:$M,'ПП Септември'!J2)</f>
        <v>0</v>
      </c>
      <c r="K41" s="76">
        <f>SUMIFS(разходи!$L:$L,разходи!$E:$E,'ПП Септември'!$C$41,разходи!$M:$M,'ПП Септември'!K2)</f>
        <v>0</v>
      </c>
      <c r="L41" s="76">
        <f>SUMIFS(разходи!$L:$L,разходи!$E:$E,'ПП Септември'!$C$41,разходи!$M:$M,'ПП Септември'!L2)</f>
        <v>0</v>
      </c>
      <c r="M41" s="74">
        <f>SUMIFS(разходи!$L:$L,разходи!$E:$E,'ПП Септември'!$C$41,разходи!$M:$M,'ПП Септември'!M2)</f>
        <v>49162.63104</v>
      </c>
      <c r="N41" s="74">
        <f>SUMIFS(разходи!$L:$L,разходи!$E:$E,'ПП Септември'!$C$41,разходи!$M:$M,'ПП Септември'!N2)</f>
        <v>0</v>
      </c>
      <c r="O41" s="74">
        <f>SUMIFS(разходи!$L:$L,разходи!$E:$E,'ПП Септември'!$C$41,разходи!$M:$M,'ПП Септември'!O2)</f>
        <v>0</v>
      </c>
      <c r="P41" s="74">
        <f>SUMIFS(разходи!$L:$L,разходи!$E:$E,'ПП Септември'!$C$41,разходи!$M:$M,'ПП Септември'!P2)</f>
        <v>0</v>
      </c>
      <c r="Q41" s="74">
        <f>SUMIFS(разходи!$L:$L,разходи!$E:$E,'ПП Септември'!$C$41,разходи!$M:$M,'ПП Септември'!Q2)</f>
        <v>0</v>
      </c>
      <c r="R41" s="76">
        <f>SUMIFS(разходи!$L:$L,разходи!$E:$E,'ПП Септември'!$C$41,разходи!$M:$M,'ПП Септември'!R2)</f>
        <v>0</v>
      </c>
      <c r="S41" s="76">
        <f>SUMIFS(разходи!$L:$L,разходи!$E:$E,'ПП Септември'!$C$41,разходи!$M:$M,'ПП Септември'!S2)</f>
        <v>0</v>
      </c>
      <c r="T41" s="74">
        <f>SUMIFS(разходи!$L:$L,разходи!$E:$E,'ПП Септември'!$C$41,разходи!$M:$M,'ПП Септември'!T2)</f>
        <v>0</v>
      </c>
      <c r="U41" s="74">
        <f>SUMIFS(разходи!$L:$L,разходи!$E:$E,'ПП Септември'!$C$41,разходи!$M:$M,'ПП Септември'!U2)</f>
        <v>0</v>
      </c>
      <c r="V41" s="74">
        <f>SUMIFS(разходи!$L:$L,разходи!$E:$E,'ПП Септември'!$C$41,разходи!$M:$M,'ПП Септември'!V2)</f>
        <v>0</v>
      </c>
      <c r="W41" s="74">
        <f>SUMIFS(разходи!$L:$L,разходи!$E:$E,'ПП Септември'!$C$41,разходи!$M:$M,'ПП Септември'!W2)</f>
        <v>0</v>
      </c>
      <c r="X41" s="74">
        <f>SUMIFS(разходи!$L:$L,разходи!$E:$E,'ПП Септември'!$C$41,разходи!$M:$M,'ПП Септември'!X2)</f>
        <v>0</v>
      </c>
      <c r="Y41" s="76">
        <f>SUMIFS(разходи!$L:$L,разходи!$E:$E,'ПП Септември'!$C$41,разходи!$M:$M,'ПП Септември'!Y2)</f>
        <v>0</v>
      </c>
      <c r="Z41" s="76">
        <f>SUMIFS(разходи!$L:$L,разходи!$E:$E,'ПП Септември'!$C$41,разходи!$M:$M,'ПП Септември'!Z2)</f>
        <v>0</v>
      </c>
      <c r="AA41" s="76">
        <f>SUMIFS(разходи!$L:$L,разходи!$E:$E,'ПП Септември'!$C$41,разходи!$M:$M,'ПП Септември'!AA2)</f>
        <v>0</v>
      </c>
      <c r="AB41" s="74">
        <f>SUMIFS(разходи!$L:$L,разходи!$E:$E,'ПП Септември'!$C$41,разходи!$M:$M,'ПП Септември'!AB2)</f>
        <v>0</v>
      </c>
      <c r="AC41" s="74">
        <f>SUMIFS(разходи!$L:$L,разходи!$E:$E,'ПП Септември'!$C$41,разходи!$M:$M,'ПП Септември'!AC2)</f>
        <v>0</v>
      </c>
      <c r="AD41" s="74">
        <f>SUMIFS(разходи!$L:$L,разходи!$E:$E,'ПП Септември'!$C$41,разходи!$M:$M,'ПП Септември'!AD2)</f>
        <v>0</v>
      </c>
      <c r="AE41" s="74">
        <f>SUMIFS(разходи!$L:$L,разходи!$E:$E,'ПП Септември'!$C$41,разходи!$M:$M,'ПП Септември'!AE2)</f>
        <v>0</v>
      </c>
      <c r="AF41" s="76">
        <f>SUMIFS(разходи!$L:$L,разходи!$E:$E,'ПП Септември'!$C$41,разходи!$M:$M,'ПП Септември'!AF2)</f>
        <v>0</v>
      </c>
      <c r="AG41" s="76">
        <f>SUMIFS(разходи!$L:$L,разходи!$E:$E,'ПП Септември'!$C$41,разходи!$M:$M,'ПП Септември'!AG2)</f>
        <v>0</v>
      </c>
      <c r="AH41" s="74">
        <f>SUMIFS(разходи!$L:$L,разходи!$E:$E,'ПП Септември'!$C$41,разходи!$M:$M,'ПП Септември'!AH2)</f>
        <v>0</v>
      </c>
      <c r="AI41" s="61">
        <f t="shared" si="16"/>
        <v>49162.63104</v>
      </c>
      <c r="AJ41" s="69">
        <f t="shared" si="17"/>
        <v>201154.96416000003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4">
        <f>D43+D48+D53+D56+D63</f>
        <v>61440.139488000001</v>
      </c>
      <c r="E42" s="76">
        <f t="shared" ref="E42:AH42" si="19">+E43+E48+E53+E56+E62</f>
        <v>0</v>
      </c>
      <c r="F42" s="74">
        <f t="shared" si="19"/>
        <v>2065.85</v>
      </c>
      <c r="G42" s="74">
        <f t="shared" si="19"/>
        <v>1.88</v>
      </c>
      <c r="H42" s="74">
        <f t="shared" si="19"/>
        <v>0</v>
      </c>
      <c r="I42" s="74">
        <f t="shared" si="19"/>
        <v>0</v>
      </c>
      <c r="J42" s="76">
        <f t="shared" si="19"/>
        <v>0</v>
      </c>
      <c r="K42" s="76">
        <f t="shared" si="19"/>
        <v>0</v>
      </c>
      <c r="L42" s="76">
        <f t="shared" si="19"/>
        <v>0</v>
      </c>
      <c r="M42" s="74">
        <f t="shared" si="19"/>
        <v>182299.296</v>
      </c>
      <c r="N42" s="74">
        <f t="shared" si="19"/>
        <v>504.89</v>
      </c>
      <c r="O42" s="74">
        <f t="shared" si="19"/>
        <v>0</v>
      </c>
      <c r="P42" s="74">
        <f t="shared" si="19"/>
        <v>132.30000000000001</v>
      </c>
      <c r="Q42" s="74">
        <f t="shared" si="19"/>
        <v>0</v>
      </c>
      <c r="R42" s="76">
        <f t="shared" si="19"/>
        <v>0</v>
      </c>
      <c r="S42" s="76">
        <f t="shared" si="19"/>
        <v>0</v>
      </c>
      <c r="T42" s="74">
        <f t="shared" si="19"/>
        <v>0</v>
      </c>
      <c r="U42" s="74">
        <f t="shared" si="19"/>
        <v>0</v>
      </c>
      <c r="V42" s="74">
        <f t="shared" si="19"/>
        <v>0</v>
      </c>
      <c r="W42" s="74">
        <f t="shared" si="19"/>
        <v>720</v>
      </c>
      <c r="X42" s="74">
        <f t="shared" si="19"/>
        <v>346</v>
      </c>
      <c r="Y42" s="76">
        <f t="shared" si="19"/>
        <v>0</v>
      </c>
      <c r="Z42" s="76">
        <f t="shared" si="19"/>
        <v>0</v>
      </c>
      <c r="AA42" s="76">
        <f t="shared" si="19"/>
        <v>0</v>
      </c>
      <c r="AB42" s="74">
        <f t="shared" si="19"/>
        <v>14717.929999999998</v>
      </c>
      <c r="AC42" s="74">
        <f t="shared" si="19"/>
        <v>0</v>
      </c>
      <c r="AD42" s="74">
        <f t="shared" si="19"/>
        <v>0</v>
      </c>
      <c r="AE42" s="74">
        <f t="shared" si="19"/>
        <v>0</v>
      </c>
      <c r="AF42" s="76">
        <f t="shared" si="19"/>
        <v>0</v>
      </c>
      <c r="AG42" s="76">
        <f t="shared" si="19"/>
        <v>0</v>
      </c>
      <c r="AH42" s="74">
        <f t="shared" si="19"/>
        <v>0</v>
      </c>
      <c r="AI42" s="61">
        <f t="shared" si="16"/>
        <v>200788.14600000001</v>
      </c>
      <c r="AJ42" s="62">
        <f t="shared" si="17"/>
        <v>-139348.00651199999</v>
      </c>
    </row>
    <row r="43" spans="1:36" s="21" customFormat="1" ht="20.100000000000001" hidden="1" customHeight="1" outlineLevel="1" x14ac:dyDescent="0.3">
      <c r="A43" s="27"/>
      <c r="B43" s="22"/>
      <c r="C43" s="8" t="s">
        <v>863</v>
      </c>
      <c r="D43" s="80">
        <f>SUM(D44:D47)</f>
        <v>795</v>
      </c>
      <c r="E43" s="76">
        <f t="shared" ref="E43:AH43" si="20">SUM(E44:E47)</f>
        <v>0</v>
      </c>
      <c r="F43" s="74">
        <f t="shared" si="20"/>
        <v>0</v>
      </c>
      <c r="G43" s="74">
        <f t="shared" si="20"/>
        <v>0</v>
      </c>
      <c r="H43" s="74">
        <f t="shared" si="20"/>
        <v>0</v>
      </c>
      <c r="I43" s="74">
        <f t="shared" si="20"/>
        <v>0</v>
      </c>
      <c r="J43" s="76">
        <f t="shared" si="20"/>
        <v>0</v>
      </c>
      <c r="K43" s="76">
        <f t="shared" si="20"/>
        <v>0</v>
      </c>
      <c r="L43" s="76">
        <f t="shared" si="20"/>
        <v>0</v>
      </c>
      <c r="M43" s="74">
        <f t="shared" si="20"/>
        <v>0</v>
      </c>
      <c r="N43" s="74">
        <f t="shared" si="20"/>
        <v>504.89</v>
      </c>
      <c r="O43" s="74">
        <f t="shared" si="20"/>
        <v>0</v>
      </c>
      <c r="P43" s="74">
        <f t="shared" si="20"/>
        <v>132.30000000000001</v>
      </c>
      <c r="Q43" s="74">
        <f t="shared" si="20"/>
        <v>0</v>
      </c>
      <c r="R43" s="76">
        <f t="shared" si="20"/>
        <v>0</v>
      </c>
      <c r="S43" s="76">
        <f t="shared" si="20"/>
        <v>0</v>
      </c>
      <c r="T43" s="74">
        <f t="shared" si="20"/>
        <v>0</v>
      </c>
      <c r="U43" s="74">
        <f t="shared" si="20"/>
        <v>0</v>
      </c>
      <c r="V43" s="74">
        <f t="shared" si="20"/>
        <v>0</v>
      </c>
      <c r="W43" s="74">
        <f t="shared" si="20"/>
        <v>720</v>
      </c>
      <c r="X43" s="74">
        <f t="shared" si="20"/>
        <v>346</v>
      </c>
      <c r="Y43" s="76">
        <f t="shared" si="20"/>
        <v>0</v>
      </c>
      <c r="Z43" s="76">
        <f t="shared" si="20"/>
        <v>0</v>
      </c>
      <c r="AA43" s="76">
        <f t="shared" si="20"/>
        <v>0</v>
      </c>
      <c r="AB43" s="74">
        <f t="shared" si="20"/>
        <v>0</v>
      </c>
      <c r="AC43" s="74">
        <f t="shared" si="20"/>
        <v>0</v>
      </c>
      <c r="AD43" s="74">
        <f t="shared" si="20"/>
        <v>0</v>
      </c>
      <c r="AE43" s="74">
        <f t="shared" si="20"/>
        <v>0</v>
      </c>
      <c r="AF43" s="76">
        <f t="shared" si="20"/>
        <v>0</v>
      </c>
      <c r="AG43" s="76">
        <f t="shared" si="20"/>
        <v>0</v>
      </c>
      <c r="AH43" s="74">
        <f t="shared" si="20"/>
        <v>0</v>
      </c>
      <c r="AI43" s="61">
        <f t="shared" si="16"/>
        <v>1703.19</v>
      </c>
      <c r="AJ43" s="69">
        <f t="shared" si="17"/>
        <v>-908.19</v>
      </c>
    </row>
    <row r="44" spans="1:36" s="21" customFormat="1" ht="20.100000000000001" hidden="1" customHeight="1" outlineLevel="2" x14ac:dyDescent="0.3">
      <c r="A44" s="27"/>
      <c r="B44" s="22"/>
      <c r="C44" s="49" t="s">
        <v>422</v>
      </c>
      <c r="D44" s="80">
        <f>+'[1]изх паричен поток'!$I$13+'[1]изх паричен поток'!$I$14</f>
        <v>795</v>
      </c>
      <c r="E44" s="76">
        <f>SUMIFS(разходи!$L:$L,разходи!$E:$E,'ПП Септември'!$C$44,разходи!$M:$M,'ПП Септември'!E2)</f>
        <v>0</v>
      </c>
      <c r="F44" s="74">
        <f>SUMIFS(разходи!$L:$L,разходи!$E:$E,'ПП Септември'!$C$44,разходи!$M:$M,'ПП Септември'!F2)</f>
        <v>0</v>
      </c>
      <c r="G44" s="74">
        <f>SUMIFS(разходи!$L:$L,разходи!$E:$E,'ПП Септември'!$C$44,разходи!$M:$M,'ПП Септември'!G2)</f>
        <v>0</v>
      </c>
      <c r="H44" s="74">
        <f>SUMIFS(разходи!$L:$L,разходи!$E:$E,'ПП Септември'!$C$44,разходи!$M:$M,'ПП Септември'!H2)</f>
        <v>0</v>
      </c>
      <c r="I44" s="74">
        <f>SUMIFS(разходи!$L:$L,разходи!$E:$E,'ПП Септември'!$C$44,разходи!$M:$M,'ПП Септември'!I2)</f>
        <v>0</v>
      </c>
      <c r="J44" s="76">
        <f>SUMIFS(разходи!$L:$L,разходи!$E:$E,'ПП Септември'!$C$44,разходи!$M:$M,'ПП Септември'!J2)</f>
        <v>0</v>
      </c>
      <c r="K44" s="76">
        <f>SUMIFS(разходи!$L:$L,разходи!$E:$E,'ПП Септември'!$C$44,разходи!$M:$M,'ПП Септември'!K2)</f>
        <v>0</v>
      </c>
      <c r="L44" s="76">
        <f>SUMIFS(разходи!$L:$L,разходи!$E:$E,'ПП Септември'!$C$44,разходи!$M:$M,'ПП Септември'!L2)</f>
        <v>0</v>
      </c>
      <c r="M44" s="74">
        <f>SUMIFS(разходи!$L:$L,разходи!$E:$E,'ПП Септември'!$C$44,разходи!$M:$M,'ПП Септември'!M2)</f>
        <v>0</v>
      </c>
      <c r="N44" s="74">
        <f>SUMIFS(разходи!$L:$L,разходи!$E:$E,'ПП Септември'!$C$44,разходи!$M:$M,'ПП Септември'!N2)</f>
        <v>504.89</v>
      </c>
      <c r="O44" s="74">
        <f>SUMIFS(разходи!$L:$L,разходи!$E:$E,'ПП Септември'!$C$44,разходи!$M:$M,'ПП Септември'!O2)</f>
        <v>0</v>
      </c>
      <c r="P44" s="74">
        <f>SUMIFS(разходи!$L:$L,разходи!$E:$E,'ПП Септември'!$C$44,разходи!$M:$M,'ПП Септември'!P2)</f>
        <v>132.30000000000001</v>
      </c>
      <c r="Q44" s="74">
        <f>SUMIFS(разходи!$L:$L,разходи!$E:$E,'ПП Септември'!$C$44,разходи!$M:$M,'ПП Септември'!Q2)</f>
        <v>0</v>
      </c>
      <c r="R44" s="76">
        <f>SUMIFS(разходи!$L:$L,разходи!$E:$E,'ПП Септември'!$C$44,разходи!$M:$M,'ПП Септември'!R2)</f>
        <v>0</v>
      </c>
      <c r="S44" s="76">
        <f>SUMIFS(разходи!$L:$L,разходи!$E:$E,'ПП Септември'!$C$44,разходи!$M:$M,'ПП Септември'!S2)</f>
        <v>0</v>
      </c>
      <c r="T44" s="74">
        <f>SUMIFS(разходи!$L:$L,разходи!$E:$E,'ПП Септември'!$C$44,разходи!$M:$M,'ПП Септември'!T2)</f>
        <v>0</v>
      </c>
      <c r="U44" s="74">
        <f>SUMIFS(разходи!$L:$L,разходи!$E:$E,'ПП Септември'!$C$44,разходи!$M:$M,'ПП Септември'!U2)</f>
        <v>0</v>
      </c>
      <c r="V44" s="74">
        <f>SUMIFS(разходи!$L:$L,разходи!$E:$E,'ПП Септември'!$C$44,разходи!$M:$M,'ПП Септември'!V2)</f>
        <v>0</v>
      </c>
      <c r="W44" s="74">
        <f>SUMIFS(разходи!$L:$L,разходи!$E:$E,'ПП Септември'!$C$44,разходи!$M:$M,'ПП Септември'!W2)</f>
        <v>720</v>
      </c>
      <c r="X44" s="74">
        <f>SUMIFS(разходи!$L:$L,разходи!$E:$E,'ПП Септември'!$C$44,разходи!$M:$M,'ПП Септември'!X2)</f>
        <v>346</v>
      </c>
      <c r="Y44" s="76">
        <f>SUMIFS(разходи!$L:$L,разходи!$E:$E,'ПП Септември'!$C$44,разходи!$M:$M,'ПП Септември'!Y2)</f>
        <v>0</v>
      </c>
      <c r="Z44" s="76">
        <f>SUMIFS(разходи!$L:$L,разходи!$E:$E,'ПП Септември'!$C$44,разходи!$M:$M,'ПП Септември'!Z2)</f>
        <v>0</v>
      </c>
      <c r="AA44" s="76">
        <f>SUMIFS(разходи!$L:$L,разходи!$E:$E,'ПП Септември'!$C$44,разходи!$M:$M,'ПП Септември'!AA2)</f>
        <v>0</v>
      </c>
      <c r="AB44" s="74">
        <f>SUMIFS(разходи!$L:$L,разходи!$E:$E,'ПП Септември'!$C$44,разходи!$M:$M,'ПП Септември'!AB2)</f>
        <v>0</v>
      </c>
      <c r="AC44" s="74">
        <f>SUMIFS(разходи!$L:$L,разходи!$E:$E,'ПП Септември'!$C$44,разходи!$M:$M,'ПП Септември'!AC2)</f>
        <v>0</v>
      </c>
      <c r="AD44" s="74">
        <f>SUMIFS(разходи!$L:$L,разходи!$E:$E,'ПП Септември'!$C$44,разходи!$M:$M,'ПП Септември'!AD2)</f>
        <v>0</v>
      </c>
      <c r="AE44" s="74">
        <f>SUMIFS(разходи!$L:$L,разходи!$E:$E,'ПП Септември'!$C$44,разходи!$M:$M,'ПП Септември'!AE2)</f>
        <v>0</v>
      </c>
      <c r="AF44" s="76">
        <f>SUMIFS(разходи!$L:$L,разходи!$E:$E,'ПП Септември'!$C$44,разходи!$M:$M,'ПП Септември'!AF2)</f>
        <v>0</v>
      </c>
      <c r="AG44" s="76">
        <f>SUMIFS(разходи!$L:$L,разходи!$E:$E,'ПП Септември'!$C$44,разходи!$M:$M,'ПП Септември'!AG2)</f>
        <v>0</v>
      </c>
      <c r="AH44" s="74">
        <f>SUMIFS(разходи!$L:$L,разходи!$E:$E,'ПП Септември'!$C$44,разходи!$M:$M,'ПП Септември'!AH2)</f>
        <v>0</v>
      </c>
      <c r="AI44" s="61">
        <f t="shared" si="16"/>
        <v>1703.19</v>
      </c>
      <c r="AJ44" s="69">
        <f t="shared" si="17"/>
        <v>-908.19</v>
      </c>
    </row>
    <row r="45" spans="1:36" s="21" customFormat="1" ht="20.100000000000001" hidden="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Септември'!$C$45,разходи!$M:$M,'ПП Септември'!E2)</f>
        <v>0</v>
      </c>
      <c r="F45" s="74">
        <f>SUMIFS(разходи!$L:$L,разходи!$E:$E,'ПП Септември'!$C$45,разходи!$M:$M,'ПП Септември'!F2)</f>
        <v>0</v>
      </c>
      <c r="G45" s="74">
        <f>SUMIFS(разходи!$L:$L,разходи!$E:$E,'ПП Септември'!$C$45,разходи!$M:$M,'ПП Септември'!G2)</f>
        <v>0</v>
      </c>
      <c r="H45" s="74">
        <f>SUMIFS(разходи!$L:$L,разходи!$E:$E,'ПП Септември'!$C$45,разходи!$M:$M,'ПП Септември'!H2)</f>
        <v>0</v>
      </c>
      <c r="I45" s="74">
        <f>SUMIFS(разходи!$L:$L,разходи!$E:$E,'ПП Септември'!$C$45,разходи!$M:$M,'ПП Септември'!I2)</f>
        <v>0</v>
      </c>
      <c r="J45" s="76">
        <f>SUMIFS(разходи!$L:$L,разходи!$E:$E,'ПП Септември'!$C$45,разходи!$M:$M,'ПП Септември'!J2)</f>
        <v>0</v>
      </c>
      <c r="K45" s="76">
        <f>SUMIFS(разходи!$L:$L,разходи!$E:$E,'ПП Септември'!$C$45,разходи!$M:$M,'ПП Септември'!K2)</f>
        <v>0</v>
      </c>
      <c r="L45" s="76">
        <f>SUMIFS(разходи!$L:$L,разходи!$E:$E,'ПП Септември'!$C$45,разходи!$M:$M,'ПП Септември'!L2)</f>
        <v>0</v>
      </c>
      <c r="M45" s="74">
        <f>SUMIFS(разходи!$L:$L,разходи!$E:$E,'ПП Септември'!$C$45,разходи!$M:$M,'ПП Септември'!M2)</f>
        <v>0</v>
      </c>
      <c r="N45" s="74">
        <f>SUMIFS(разходи!$L:$L,разходи!$E:$E,'ПП Септември'!$C$45,разходи!$M:$M,'ПП Септември'!N2)</f>
        <v>0</v>
      </c>
      <c r="O45" s="74">
        <f>SUMIFS(разходи!$L:$L,разходи!$E:$E,'ПП Септември'!$C$45,разходи!$M:$M,'ПП Септември'!O2)</f>
        <v>0</v>
      </c>
      <c r="P45" s="74">
        <f>SUMIFS(разходи!$L:$L,разходи!$E:$E,'ПП Септември'!$C$45,разходи!$M:$M,'ПП Септември'!P2)</f>
        <v>0</v>
      </c>
      <c r="Q45" s="74">
        <f>SUMIFS(разходи!$L:$L,разходи!$E:$E,'ПП Септември'!$C$45,разходи!$M:$M,'ПП Септември'!Q2)</f>
        <v>0</v>
      </c>
      <c r="R45" s="76">
        <f>SUMIFS(разходи!$L:$L,разходи!$E:$E,'ПП Септември'!$C$45,разходи!$M:$M,'ПП Септември'!R2)</f>
        <v>0</v>
      </c>
      <c r="S45" s="76">
        <f>SUMIFS(разходи!$L:$L,разходи!$E:$E,'ПП Септември'!$C$45,разходи!$M:$M,'ПП Септември'!S2)</f>
        <v>0</v>
      </c>
      <c r="T45" s="74">
        <f>SUMIFS(разходи!$L:$L,разходи!$E:$E,'ПП Септември'!$C$45,разходи!$M:$M,'ПП Септември'!T2)</f>
        <v>0</v>
      </c>
      <c r="U45" s="74">
        <f>SUMIFS(разходи!$L:$L,разходи!$E:$E,'ПП Септември'!$C$45,разходи!$M:$M,'ПП Септември'!U2)</f>
        <v>0</v>
      </c>
      <c r="V45" s="74">
        <f>SUMIFS(разходи!$L:$L,разходи!$E:$E,'ПП Септември'!$C$45,разходи!$M:$M,'ПП Септември'!V2)</f>
        <v>0</v>
      </c>
      <c r="W45" s="74">
        <f>SUMIFS(разходи!$L:$L,разходи!$E:$E,'ПП Септември'!$C$45,разходи!$M:$M,'ПП Септември'!W2)</f>
        <v>0</v>
      </c>
      <c r="X45" s="74">
        <f>SUMIFS(разходи!$L:$L,разходи!$E:$E,'ПП Септември'!$C$45,разходи!$M:$M,'ПП Септември'!X2)</f>
        <v>0</v>
      </c>
      <c r="Y45" s="76">
        <f>SUMIFS(разходи!$L:$L,разходи!$E:$E,'ПП Септември'!$C$45,разходи!$M:$M,'ПП Септември'!Y2)</f>
        <v>0</v>
      </c>
      <c r="Z45" s="76">
        <f>SUMIFS(разходи!$L:$L,разходи!$E:$E,'ПП Септември'!$C$45,разходи!$M:$M,'ПП Септември'!Z2)</f>
        <v>0</v>
      </c>
      <c r="AA45" s="76">
        <f>SUMIFS(разходи!$L:$L,разходи!$E:$E,'ПП Септември'!$C$45,разходи!$M:$M,'ПП Септември'!AA2)</f>
        <v>0</v>
      </c>
      <c r="AB45" s="74">
        <f>SUMIFS(разходи!$L:$L,разходи!$E:$E,'ПП Септември'!$C$45,разходи!$M:$M,'ПП Септември'!AB2)</f>
        <v>0</v>
      </c>
      <c r="AC45" s="74">
        <f>SUMIFS(разходи!$L:$L,разходи!$E:$E,'ПП Септември'!$C$45,разходи!$M:$M,'ПП Септември'!AC2)</f>
        <v>0</v>
      </c>
      <c r="AD45" s="74">
        <f>SUMIFS(разходи!$L:$L,разходи!$E:$E,'ПП Септември'!$C$45,разходи!$M:$M,'ПП Септември'!AD2)</f>
        <v>0</v>
      </c>
      <c r="AE45" s="74">
        <f>SUMIFS(разходи!$L:$L,разходи!$E:$E,'ПП Септември'!$C$45,разходи!$M:$M,'ПП Септември'!AE2)</f>
        <v>0</v>
      </c>
      <c r="AF45" s="76">
        <f>SUMIFS(разходи!$L:$L,разходи!$E:$E,'ПП Септември'!$C$45,разходи!$M:$M,'ПП Септември'!AF2)</f>
        <v>0</v>
      </c>
      <c r="AG45" s="76">
        <f>SUMIFS(разходи!$L:$L,разходи!$E:$E,'ПП Септември'!$C$45,разходи!$M:$M,'ПП Септември'!AG2)</f>
        <v>0</v>
      </c>
      <c r="AH45" s="74">
        <f>SUMIFS(разходи!$L:$L,разходи!$E:$E,'ПП Септември'!$C$45,разходи!$M:$M,'ПП Септември'!AH2)</f>
        <v>0</v>
      </c>
      <c r="AI45" s="61">
        <f t="shared" si="16"/>
        <v>0</v>
      </c>
      <c r="AJ45" s="69">
        <f t="shared" si="17"/>
        <v>0</v>
      </c>
    </row>
    <row r="46" spans="1:36" s="21" customFormat="1" ht="20.100000000000001" hidden="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Септември'!$C$46,разходи!$M:$M,'ПП Септември'!E2)</f>
        <v>0</v>
      </c>
      <c r="F46" s="74">
        <f>SUMIFS(разходи!$L:$L,разходи!$E:$E,'ПП Септември'!$C$46,разходи!$M:$M,'ПП Септември'!F2)</f>
        <v>0</v>
      </c>
      <c r="G46" s="74">
        <f>SUMIFS(разходи!$L:$L,разходи!$E:$E,'ПП Септември'!$C$46,разходи!$M:$M,'ПП Септември'!G2)</f>
        <v>0</v>
      </c>
      <c r="H46" s="74">
        <f>SUMIFS(разходи!$L:$L,разходи!$E:$E,'ПП Септември'!$C$46,разходи!$M:$M,'ПП Септември'!H2)</f>
        <v>0</v>
      </c>
      <c r="I46" s="74">
        <f>SUMIFS(разходи!$L:$L,разходи!$E:$E,'ПП Септември'!$C$46,разходи!$M:$M,'ПП Септември'!I2)</f>
        <v>0</v>
      </c>
      <c r="J46" s="76">
        <f>SUMIFS(разходи!$L:$L,разходи!$E:$E,'ПП Септември'!$C$46,разходи!$M:$M,'ПП Септември'!J2)</f>
        <v>0</v>
      </c>
      <c r="K46" s="76">
        <f>SUMIFS(разходи!$L:$L,разходи!$E:$E,'ПП Септември'!$C$46,разходи!$M:$M,'ПП Септември'!K2)</f>
        <v>0</v>
      </c>
      <c r="L46" s="76">
        <f>SUMIFS(разходи!$L:$L,разходи!$E:$E,'ПП Септември'!$C$46,разходи!$M:$M,'ПП Септември'!L2)</f>
        <v>0</v>
      </c>
      <c r="M46" s="74">
        <f>SUMIFS(разходи!$L:$L,разходи!$E:$E,'ПП Септември'!$C$46,разходи!$M:$M,'ПП Септември'!M2)</f>
        <v>0</v>
      </c>
      <c r="N46" s="74">
        <f>SUMIFS(разходи!$L:$L,разходи!$E:$E,'ПП Септември'!$C$46,разходи!$M:$M,'ПП Септември'!N2)</f>
        <v>0</v>
      </c>
      <c r="O46" s="74">
        <f>SUMIFS(разходи!$L:$L,разходи!$E:$E,'ПП Септември'!$C$46,разходи!$M:$M,'ПП Септември'!O2)</f>
        <v>0</v>
      </c>
      <c r="P46" s="74">
        <f>SUMIFS(разходи!$L:$L,разходи!$E:$E,'ПП Септември'!$C$46,разходи!$M:$M,'ПП Септември'!P2)</f>
        <v>0</v>
      </c>
      <c r="Q46" s="74">
        <f>SUMIFS(разходи!$L:$L,разходи!$E:$E,'ПП Септември'!$C$46,разходи!$M:$M,'ПП Септември'!Q2)</f>
        <v>0</v>
      </c>
      <c r="R46" s="76">
        <f>SUMIFS(разходи!$L:$L,разходи!$E:$E,'ПП Септември'!$C$46,разходи!$M:$M,'ПП Септември'!R2)</f>
        <v>0</v>
      </c>
      <c r="S46" s="76">
        <f>SUMIFS(разходи!$L:$L,разходи!$E:$E,'ПП Септември'!$C$46,разходи!$M:$M,'ПП Септември'!S2)</f>
        <v>0</v>
      </c>
      <c r="T46" s="74">
        <f>SUMIFS(разходи!$L:$L,разходи!$E:$E,'ПП Септември'!$C$46,разходи!$M:$M,'ПП Септември'!T2)</f>
        <v>0</v>
      </c>
      <c r="U46" s="74">
        <f>SUMIFS(разходи!$L:$L,разходи!$E:$E,'ПП Септември'!$C$46,разходи!$M:$M,'ПП Септември'!U2)</f>
        <v>0</v>
      </c>
      <c r="V46" s="74">
        <f>SUMIFS(разходи!$L:$L,разходи!$E:$E,'ПП Септември'!$C$46,разходи!$M:$M,'ПП Септември'!V2)</f>
        <v>0</v>
      </c>
      <c r="W46" s="74">
        <f>SUMIFS(разходи!$L:$L,разходи!$E:$E,'ПП Септември'!$C$46,разходи!$M:$M,'ПП Септември'!W2)</f>
        <v>0</v>
      </c>
      <c r="X46" s="74">
        <f>SUMIFS(разходи!$L:$L,разходи!$E:$E,'ПП Септември'!$C$46,разходи!$M:$M,'ПП Септември'!X2)</f>
        <v>0</v>
      </c>
      <c r="Y46" s="76">
        <f>SUMIFS(разходи!$L:$L,разходи!$E:$E,'ПП Септември'!$C$46,разходи!$M:$M,'ПП Септември'!Y2)</f>
        <v>0</v>
      </c>
      <c r="Z46" s="76">
        <f>SUMIFS(разходи!$L:$L,разходи!$E:$E,'ПП Септември'!$C$46,разходи!$M:$M,'ПП Септември'!Z2)</f>
        <v>0</v>
      </c>
      <c r="AA46" s="76">
        <f>SUMIFS(разходи!$L:$L,разходи!$E:$E,'ПП Септември'!$C$46,разходи!$M:$M,'ПП Септември'!AA2)</f>
        <v>0</v>
      </c>
      <c r="AB46" s="74">
        <f>SUMIFS(разходи!$L:$L,разходи!$E:$E,'ПП Септември'!$C$46,разходи!$M:$M,'ПП Септември'!AB2)</f>
        <v>0</v>
      </c>
      <c r="AC46" s="74">
        <f>SUMIFS(разходи!$L:$L,разходи!$E:$E,'ПП Септември'!$C$46,разходи!$M:$M,'ПП Септември'!AC2)</f>
        <v>0</v>
      </c>
      <c r="AD46" s="74">
        <f>SUMIFS(разходи!$L:$L,разходи!$E:$E,'ПП Септември'!$C$46,разходи!$M:$M,'ПП Септември'!AD2)</f>
        <v>0</v>
      </c>
      <c r="AE46" s="74">
        <f>SUMIFS(разходи!$L:$L,разходи!$E:$E,'ПП Септември'!$C$46,разходи!$M:$M,'ПП Септември'!AE2)</f>
        <v>0</v>
      </c>
      <c r="AF46" s="76">
        <f>SUMIFS(разходи!$L:$L,разходи!$E:$E,'ПП Септември'!$C$46,разходи!$M:$M,'ПП Септември'!AF2)</f>
        <v>0</v>
      </c>
      <c r="AG46" s="76">
        <f>SUMIFS(разходи!$L:$L,разходи!$E:$E,'ПП Септември'!$C$46,разходи!$M:$M,'ПП Септември'!AG2)</f>
        <v>0</v>
      </c>
      <c r="AH46" s="74">
        <f>SUMIFS(разходи!$L:$L,разходи!$E:$E,'ПП Септември'!$C$46,разходи!$M:$M,'ПП Септември'!AH2)</f>
        <v>0</v>
      </c>
      <c r="AI46" s="61">
        <f t="shared" si="16"/>
        <v>0</v>
      </c>
      <c r="AJ46" s="69">
        <f t="shared" si="17"/>
        <v>0</v>
      </c>
    </row>
    <row r="47" spans="1:36" s="21" customFormat="1" ht="20.100000000000001" hidden="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Септември'!$C$47,разходи!$M:$M,'ПП Септември'!E2)</f>
        <v>0</v>
      </c>
      <c r="F47" s="74">
        <f>SUMIFS(разходи!$L:$L,разходи!$E:$E,'ПП Септември'!$C$47,разходи!$M:$M,'ПП Септември'!F2)</f>
        <v>0</v>
      </c>
      <c r="G47" s="74">
        <f>SUMIFS(разходи!$L:$L,разходи!$E:$E,'ПП Септември'!$C$47,разходи!$M:$M,'ПП Септември'!G2)</f>
        <v>0</v>
      </c>
      <c r="H47" s="74">
        <f>SUMIFS(разходи!$L:$L,разходи!$E:$E,'ПП Септември'!$C$47,разходи!$M:$M,'ПП Септември'!H2)</f>
        <v>0</v>
      </c>
      <c r="I47" s="74">
        <f>SUMIFS(разходи!$L:$L,разходи!$E:$E,'ПП Септември'!$C$47,разходи!$M:$M,'ПП Септември'!I2)</f>
        <v>0</v>
      </c>
      <c r="J47" s="76">
        <f>SUMIFS(разходи!$L:$L,разходи!$E:$E,'ПП Септември'!$C$47,разходи!$M:$M,'ПП Септември'!J2)</f>
        <v>0</v>
      </c>
      <c r="K47" s="76">
        <f>SUMIFS(разходи!$L:$L,разходи!$E:$E,'ПП Септември'!$C$47,разходи!$M:$M,'ПП Септември'!K2)</f>
        <v>0</v>
      </c>
      <c r="L47" s="76">
        <f>SUMIFS(разходи!$L:$L,разходи!$E:$E,'ПП Септември'!$C$47,разходи!$M:$M,'ПП Септември'!L2)</f>
        <v>0</v>
      </c>
      <c r="M47" s="74">
        <f>SUMIFS(разходи!$L:$L,разходи!$E:$E,'ПП Септември'!$C$47,разходи!$M:$M,'ПП Септември'!M2)</f>
        <v>0</v>
      </c>
      <c r="N47" s="74">
        <f>SUMIFS(разходи!$L:$L,разходи!$E:$E,'ПП Септември'!$C$47,разходи!$M:$M,'ПП Септември'!N2)</f>
        <v>0</v>
      </c>
      <c r="O47" s="74">
        <f>SUMIFS(разходи!$L:$L,разходи!$E:$E,'ПП Септември'!$C$47,разходи!$M:$M,'ПП Септември'!O2)</f>
        <v>0</v>
      </c>
      <c r="P47" s="74">
        <f>SUMIFS(разходи!$L:$L,разходи!$E:$E,'ПП Септември'!$C$47,разходи!$M:$M,'ПП Септември'!P2)</f>
        <v>0</v>
      </c>
      <c r="Q47" s="74">
        <f>SUMIFS(разходи!$L:$L,разходи!$E:$E,'ПП Септември'!$C$47,разходи!$M:$M,'ПП Септември'!Q2)</f>
        <v>0</v>
      </c>
      <c r="R47" s="76">
        <f>SUMIFS(разходи!$L:$L,разходи!$E:$E,'ПП Септември'!$C$47,разходи!$M:$M,'ПП Септември'!R2)</f>
        <v>0</v>
      </c>
      <c r="S47" s="76">
        <f>SUMIFS(разходи!$L:$L,разходи!$E:$E,'ПП Септември'!$C$47,разходи!$M:$M,'ПП Септември'!S2)</f>
        <v>0</v>
      </c>
      <c r="T47" s="74">
        <f>SUMIFS(разходи!$L:$L,разходи!$E:$E,'ПП Септември'!$C$47,разходи!$M:$M,'ПП Септември'!T2)</f>
        <v>0</v>
      </c>
      <c r="U47" s="74">
        <f>SUMIFS(разходи!$L:$L,разходи!$E:$E,'ПП Септември'!$C$47,разходи!$M:$M,'ПП Септември'!U2)</f>
        <v>0</v>
      </c>
      <c r="V47" s="74">
        <f>SUMIFS(разходи!$L:$L,разходи!$E:$E,'ПП Септември'!$C$47,разходи!$M:$M,'ПП Септември'!V2)</f>
        <v>0</v>
      </c>
      <c r="W47" s="74">
        <f>SUMIFS(разходи!$L:$L,разходи!$E:$E,'ПП Септември'!$C$47,разходи!$M:$M,'ПП Септември'!W2)</f>
        <v>0</v>
      </c>
      <c r="X47" s="74">
        <f>SUMIFS(разходи!$L:$L,разходи!$E:$E,'ПП Септември'!$C$47,разходи!$M:$M,'ПП Септември'!X2)</f>
        <v>0</v>
      </c>
      <c r="Y47" s="76">
        <f>SUMIFS(разходи!$L:$L,разходи!$E:$E,'ПП Септември'!$C$47,разходи!$M:$M,'ПП Септември'!Y2)</f>
        <v>0</v>
      </c>
      <c r="Z47" s="76">
        <f>SUMIFS(разходи!$L:$L,разходи!$E:$E,'ПП Септември'!$C$47,разходи!$M:$M,'ПП Септември'!Z2)</f>
        <v>0</v>
      </c>
      <c r="AA47" s="76">
        <f>SUMIFS(разходи!$L:$L,разходи!$E:$E,'ПП Септември'!$C$47,разходи!$M:$M,'ПП Септември'!AA2)</f>
        <v>0</v>
      </c>
      <c r="AB47" s="74">
        <f>SUMIFS(разходи!$L:$L,разходи!$E:$E,'ПП Септември'!$C$47,разходи!$M:$M,'ПП Септември'!AB2)</f>
        <v>0</v>
      </c>
      <c r="AC47" s="74">
        <f>SUMIFS(разходи!$L:$L,разходи!$E:$E,'ПП Септември'!$C$47,разходи!$M:$M,'ПП Септември'!AC2)</f>
        <v>0</v>
      </c>
      <c r="AD47" s="74">
        <f>SUMIFS(разходи!$L:$L,разходи!$E:$E,'ПП Септември'!$C$47,разходи!$M:$M,'ПП Септември'!AD2)</f>
        <v>0</v>
      </c>
      <c r="AE47" s="74">
        <f>SUMIFS(разходи!$L:$L,разходи!$E:$E,'ПП Септември'!$C$47,разходи!$M:$M,'ПП Септември'!AE2)</f>
        <v>0</v>
      </c>
      <c r="AF47" s="76">
        <f>SUMIFS(разходи!$L:$L,разходи!$E:$E,'ПП Септември'!$C$47,разходи!$M:$M,'ПП Септември'!AF2)</f>
        <v>0</v>
      </c>
      <c r="AG47" s="76">
        <f>SUMIFS(разходи!$L:$L,разходи!$E:$E,'ПП Септември'!$C$47,разходи!$M:$M,'ПП Септември'!AG2)</f>
        <v>0</v>
      </c>
      <c r="AH47" s="74">
        <f>SUMIFS(разходи!$L:$L,разходи!$E:$E,'ПП Септември'!$C$47,разходи!$M:$M,'ПП Септември'!AH2)</f>
        <v>0</v>
      </c>
      <c r="AI47" s="61">
        <f t="shared" si="16"/>
        <v>0</v>
      </c>
      <c r="AJ47" s="69">
        <f t="shared" si="17"/>
        <v>0</v>
      </c>
    </row>
    <row r="48" spans="1:36" s="21" customFormat="1" ht="20.100000000000001" hidden="1" customHeight="1" outlineLevel="1" collapsed="1" x14ac:dyDescent="0.3">
      <c r="A48" s="27"/>
      <c r="B48" s="22"/>
      <c r="C48" s="8" t="s">
        <v>866</v>
      </c>
      <c r="D48" s="80">
        <f>SUM(D49:D52)</f>
        <v>11445.139487999999</v>
      </c>
      <c r="E48" s="76">
        <f t="shared" ref="E48:AH48" si="21">SUM(E49:E52)</f>
        <v>0</v>
      </c>
      <c r="F48" s="74">
        <f t="shared" si="21"/>
        <v>0</v>
      </c>
      <c r="G48" s="74">
        <f t="shared" si="21"/>
        <v>1.88</v>
      </c>
      <c r="H48" s="74">
        <f t="shared" si="21"/>
        <v>0</v>
      </c>
      <c r="I48" s="74">
        <f t="shared" si="21"/>
        <v>0</v>
      </c>
      <c r="J48" s="76">
        <f t="shared" si="21"/>
        <v>0</v>
      </c>
      <c r="K48" s="76">
        <f t="shared" si="21"/>
        <v>0</v>
      </c>
      <c r="L48" s="76">
        <f t="shared" si="21"/>
        <v>0</v>
      </c>
      <c r="M48" s="74">
        <f t="shared" si="21"/>
        <v>182299.296</v>
      </c>
      <c r="N48" s="74">
        <f t="shared" si="21"/>
        <v>0</v>
      </c>
      <c r="O48" s="74">
        <f t="shared" si="21"/>
        <v>0</v>
      </c>
      <c r="P48" s="74">
        <f t="shared" si="21"/>
        <v>0</v>
      </c>
      <c r="Q48" s="74">
        <f t="shared" si="21"/>
        <v>0</v>
      </c>
      <c r="R48" s="76">
        <f t="shared" si="21"/>
        <v>0</v>
      </c>
      <c r="S48" s="76">
        <f t="shared" si="21"/>
        <v>0</v>
      </c>
      <c r="T48" s="74">
        <f t="shared" si="21"/>
        <v>0</v>
      </c>
      <c r="U48" s="74">
        <f t="shared" si="21"/>
        <v>0</v>
      </c>
      <c r="V48" s="74">
        <f t="shared" si="21"/>
        <v>0</v>
      </c>
      <c r="W48" s="74">
        <f t="shared" si="21"/>
        <v>0</v>
      </c>
      <c r="X48" s="74">
        <f t="shared" si="21"/>
        <v>0</v>
      </c>
      <c r="Y48" s="76">
        <f t="shared" si="21"/>
        <v>0</v>
      </c>
      <c r="Z48" s="76">
        <f t="shared" si="21"/>
        <v>0</v>
      </c>
      <c r="AA48" s="76">
        <f t="shared" si="21"/>
        <v>0</v>
      </c>
      <c r="AB48" s="74">
        <f t="shared" si="21"/>
        <v>1111.26</v>
      </c>
      <c r="AC48" s="74">
        <f t="shared" si="21"/>
        <v>0</v>
      </c>
      <c r="AD48" s="74">
        <f t="shared" si="21"/>
        <v>0</v>
      </c>
      <c r="AE48" s="74">
        <f t="shared" si="21"/>
        <v>0</v>
      </c>
      <c r="AF48" s="76">
        <f t="shared" si="21"/>
        <v>0</v>
      </c>
      <c r="AG48" s="76">
        <f t="shared" si="21"/>
        <v>0</v>
      </c>
      <c r="AH48" s="74">
        <f t="shared" si="21"/>
        <v>0</v>
      </c>
      <c r="AI48" s="61">
        <f t="shared" si="16"/>
        <v>183412.43600000002</v>
      </c>
      <c r="AJ48" s="69">
        <f t="shared" si="17"/>
        <v>-171967.29651200003</v>
      </c>
    </row>
    <row r="49" spans="1:36" s="21" customFormat="1" ht="20.100000000000001" hidden="1" customHeight="1" outlineLevel="2" x14ac:dyDescent="0.3">
      <c r="A49" s="27"/>
      <c r="B49" s="22"/>
      <c r="C49" s="49" t="s">
        <v>343</v>
      </c>
      <c r="D49" s="80">
        <f>+'[1]изх паричен поток'!$I$15+'[1]изх паричен поток'!$I$16+'[1]изх паричен поток'!$I$17</f>
        <v>11445.139487999999</v>
      </c>
      <c r="E49" s="76">
        <f>SUMIFS(разходи!$L:$L,разходи!$E:$E,'ПП Септември'!$C$49,разходи!$M:$M,'ПП Септември'!E2)</f>
        <v>0</v>
      </c>
      <c r="F49" s="74">
        <f>SUMIFS(разходи!$L:$L,разходи!$E:$E,'ПП Септември'!$C$49,разходи!$M:$M,'ПП Септември'!F2)</f>
        <v>0</v>
      </c>
      <c r="G49" s="74">
        <f>SUMIFS(разходи!$L:$L,разходи!$E:$E,'ПП Септември'!$C$49,разходи!$M:$M,'ПП Септември'!G2)</f>
        <v>0</v>
      </c>
      <c r="H49" s="74">
        <f>SUMIFS(разходи!$L:$L,разходи!$E:$E,'ПП Септември'!$C$49,разходи!$M:$M,'ПП Септември'!H2)</f>
        <v>0</v>
      </c>
      <c r="I49" s="74">
        <f>SUMIFS(разходи!$L:$L,разходи!$E:$E,'ПП Септември'!$C$49,разходи!$M:$M,'ПП Септември'!I2)</f>
        <v>0</v>
      </c>
      <c r="J49" s="76">
        <f>SUMIFS(разходи!$L:$L,разходи!$E:$E,'ПП Септември'!$C$49,разходи!$M:$M,'ПП Септември'!J2)</f>
        <v>0</v>
      </c>
      <c r="K49" s="76">
        <f>SUMIFS(разходи!$L:$L,разходи!$E:$E,'ПП Септември'!$C$49,разходи!$M:$M,'ПП Септември'!K2)</f>
        <v>0</v>
      </c>
      <c r="L49" s="76">
        <f>SUMIFS(разходи!$L:$L,разходи!$E:$E,'ПП Септември'!$C$49,разходи!$M:$M,'ПП Септември'!L2)</f>
        <v>0</v>
      </c>
      <c r="M49" s="74">
        <f>SUMIFS(разходи!$L:$L,разходи!$E:$E,'ПП Септември'!$C$49,разходи!$M:$M,'ПП Септември'!M2)</f>
        <v>182299.296</v>
      </c>
      <c r="N49" s="74">
        <f>SUMIFS(разходи!$L:$L,разходи!$E:$E,'ПП Септември'!$C$49,разходи!$M:$M,'ПП Септември'!N2)</f>
        <v>0</v>
      </c>
      <c r="O49" s="74">
        <f>SUMIFS(разходи!$L:$L,разходи!$E:$E,'ПП Септември'!$C$49,разходи!$M:$M,'ПП Септември'!O2)</f>
        <v>0</v>
      </c>
      <c r="P49" s="74">
        <f>SUMIFS(разходи!$L:$L,разходи!$E:$E,'ПП Септември'!$C$49,разходи!$M:$M,'ПП Септември'!P2)</f>
        <v>0</v>
      </c>
      <c r="Q49" s="74">
        <f>SUMIFS(разходи!$L:$L,разходи!$E:$E,'ПП Септември'!$C$49,разходи!$M:$M,'ПП Септември'!Q2)</f>
        <v>0</v>
      </c>
      <c r="R49" s="76">
        <f>SUMIFS(разходи!$L:$L,разходи!$E:$E,'ПП Септември'!$C$49,разходи!$M:$M,'ПП Септември'!R2)</f>
        <v>0</v>
      </c>
      <c r="S49" s="76">
        <f>SUMIFS(разходи!$L:$L,разходи!$E:$E,'ПП Септември'!$C$49,разходи!$M:$M,'ПП Септември'!S2)</f>
        <v>0</v>
      </c>
      <c r="T49" s="74">
        <f>SUMIFS(разходи!$L:$L,разходи!$E:$E,'ПП Септември'!$C$49,разходи!$M:$M,'ПП Септември'!T2)</f>
        <v>0</v>
      </c>
      <c r="U49" s="74">
        <f>SUMIFS(разходи!$L:$L,разходи!$E:$E,'ПП Септември'!$C$49,разходи!$M:$M,'ПП Септември'!U2)</f>
        <v>0</v>
      </c>
      <c r="V49" s="74">
        <f>SUMIFS(разходи!$L:$L,разходи!$E:$E,'ПП Септември'!$C$49,разходи!$M:$M,'ПП Септември'!V2)</f>
        <v>0</v>
      </c>
      <c r="W49" s="74">
        <f>SUMIFS(разходи!$L:$L,разходи!$E:$E,'ПП Септември'!$C$49,разходи!$M:$M,'ПП Септември'!W2)</f>
        <v>0</v>
      </c>
      <c r="X49" s="74">
        <f>SUMIFS(разходи!$L:$L,разходи!$E:$E,'ПП Септември'!$C$49,разходи!$M:$M,'ПП Септември'!X2)</f>
        <v>0</v>
      </c>
      <c r="Y49" s="76">
        <f>SUMIFS(разходи!$L:$L,разходи!$E:$E,'ПП Септември'!$C$49,разходи!$M:$M,'ПП Септември'!Y2)</f>
        <v>0</v>
      </c>
      <c r="Z49" s="76">
        <f>SUMIFS(разходи!$L:$L,разходи!$E:$E,'ПП Септември'!$C$49,разходи!$M:$M,'ПП Септември'!Z2)</f>
        <v>0</v>
      </c>
      <c r="AA49" s="76">
        <f>SUMIFS(разходи!$L:$L,разходи!$E:$E,'ПП Септември'!$C$49,разходи!$M:$M,'ПП Септември'!AA2)</f>
        <v>0</v>
      </c>
      <c r="AB49" s="74">
        <f>SUMIFS(разходи!$L:$L,разходи!$E:$E,'ПП Септември'!$C$49,разходи!$M:$M,'ПП Септември'!AB2)</f>
        <v>720</v>
      </c>
      <c r="AC49" s="74">
        <f>SUMIFS(разходи!$L:$L,разходи!$E:$E,'ПП Септември'!$C$49,разходи!$M:$M,'ПП Септември'!AC2)</f>
        <v>0</v>
      </c>
      <c r="AD49" s="74">
        <f>SUMIFS(разходи!$L:$L,разходи!$E:$E,'ПП Септември'!$C$49,разходи!$M:$M,'ПП Септември'!AD2)</f>
        <v>0</v>
      </c>
      <c r="AE49" s="74">
        <f>SUMIFS(разходи!$L:$L,разходи!$E:$E,'ПП Септември'!$C$49,разходи!$M:$M,'ПП Септември'!AE2)</f>
        <v>0</v>
      </c>
      <c r="AF49" s="76">
        <f>SUMIFS(разходи!$L:$L,разходи!$E:$E,'ПП Септември'!$C$49,разходи!$M:$M,'ПП Септември'!AF2)</f>
        <v>0</v>
      </c>
      <c r="AG49" s="76">
        <f>SUMIFS(разходи!$L:$L,разходи!$E:$E,'ПП Септември'!$C$49,разходи!$M:$M,'ПП Септември'!AG2)</f>
        <v>0</v>
      </c>
      <c r="AH49" s="74">
        <f>SUMIFS(разходи!$L:$L,разходи!$E:$E,'ПП Септември'!$C$49,разходи!$M:$M,'ПП Септември'!AH2)</f>
        <v>0</v>
      </c>
      <c r="AI49" s="61">
        <f t="shared" si="16"/>
        <v>183019.296</v>
      </c>
      <c r="AJ49" s="69">
        <f t="shared" si="17"/>
        <v>-171574.15651200002</v>
      </c>
    </row>
    <row r="50" spans="1:36" s="21" customFormat="1" ht="20.100000000000001" hidden="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Септември'!$C$50,разходи!$M:$M,'ПП Септември'!E2)</f>
        <v>0</v>
      </c>
      <c r="F50" s="74">
        <f>SUMIFS(разходи!$L:$L,разходи!$E:$E,'ПП Септември'!$C$50,разходи!$M:$M,'ПП Септември'!F2)</f>
        <v>0</v>
      </c>
      <c r="G50" s="74">
        <f>SUMIFS(разходи!$L:$L,разходи!$E:$E,'ПП Септември'!$C$50,разходи!$M:$M,'ПП Септември'!G2)</f>
        <v>0</v>
      </c>
      <c r="H50" s="74">
        <f>SUMIFS(разходи!$L:$L,разходи!$E:$E,'ПП Септември'!$C$50,разходи!$M:$M,'ПП Септември'!H2)</f>
        <v>0</v>
      </c>
      <c r="I50" s="74">
        <f>SUMIFS(разходи!$L:$L,разходи!$E:$E,'ПП Септември'!$C$50,разходи!$M:$M,'ПП Септември'!I2)</f>
        <v>0</v>
      </c>
      <c r="J50" s="76">
        <f>SUMIFS(разходи!$L:$L,разходи!$E:$E,'ПП Септември'!$C$50,разходи!$M:$M,'ПП Септември'!J2)</f>
        <v>0</v>
      </c>
      <c r="K50" s="76">
        <f>SUMIFS(разходи!$L:$L,разходи!$E:$E,'ПП Септември'!$C$50,разходи!$M:$M,'ПП Септември'!K2)</f>
        <v>0</v>
      </c>
      <c r="L50" s="76">
        <f>SUMIFS(разходи!$L:$L,разходи!$E:$E,'ПП Септември'!$C$50,разходи!$M:$M,'ПП Септември'!L2)</f>
        <v>0</v>
      </c>
      <c r="M50" s="74">
        <f>SUMIFS(разходи!$L:$L,разходи!$E:$E,'ПП Септември'!$C$50,разходи!$M:$M,'ПП Септември'!M2)</f>
        <v>0</v>
      </c>
      <c r="N50" s="74">
        <f>SUMIFS(разходи!$L:$L,разходи!$E:$E,'ПП Септември'!$C$50,разходи!$M:$M,'ПП Септември'!N2)</f>
        <v>0</v>
      </c>
      <c r="O50" s="74">
        <f>SUMIFS(разходи!$L:$L,разходи!$E:$E,'ПП Септември'!$C$50,разходи!$M:$M,'ПП Септември'!O2)</f>
        <v>0</v>
      </c>
      <c r="P50" s="74">
        <f>SUMIFS(разходи!$L:$L,разходи!$E:$E,'ПП Септември'!$C$50,разходи!$M:$M,'ПП Септември'!P2)</f>
        <v>0</v>
      </c>
      <c r="Q50" s="74">
        <f>SUMIFS(разходи!$L:$L,разходи!$E:$E,'ПП Септември'!$C$50,разходи!$M:$M,'ПП Септември'!Q2)</f>
        <v>0</v>
      </c>
      <c r="R50" s="76">
        <f>SUMIFS(разходи!$L:$L,разходи!$E:$E,'ПП Септември'!$C$50,разходи!$M:$M,'ПП Септември'!R2)</f>
        <v>0</v>
      </c>
      <c r="S50" s="76">
        <f>SUMIFS(разходи!$L:$L,разходи!$E:$E,'ПП Септември'!$C$50,разходи!$M:$M,'ПП Септември'!S2)</f>
        <v>0</v>
      </c>
      <c r="T50" s="74">
        <f>SUMIFS(разходи!$L:$L,разходи!$E:$E,'ПП Септември'!$C$50,разходи!$M:$M,'ПП Септември'!T2)</f>
        <v>0</v>
      </c>
      <c r="U50" s="74">
        <f>SUMIFS(разходи!$L:$L,разходи!$E:$E,'ПП Септември'!$C$50,разходи!$M:$M,'ПП Септември'!U2)</f>
        <v>0</v>
      </c>
      <c r="V50" s="74">
        <f>SUMIFS(разходи!$L:$L,разходи!$E:$E,'ПП Септември'!$C$50,разходи!$M:$M,'ПП Септември'!V2)</f>
        <v>0</v>
      </c>
      <c r="W50" s="74">
        <f>SUMIFS(разходи!$L:$L,разходи!$E:$E,'ПП Септември'!$C$50,разходи!$M:$M,'ПП Септември'!W2)</f>
        <v>0</v>
      </c>
      <c r="X50" s="74">
        <f>SUMIFS(разходи!$L:$L,разходи!$E:$E,'ПП Септември'!$C$50,разходи!$M:$M,'ПП Септември'!X2)</f>
        <v>0</v>
      </c>
      <c r="Y50" s="76">
        <f>SUMIFS(разходи!$L:$L,разходи!$E:$E,'ПП Септември'!$C$50,разходи!$M:$M,'ПП Септември'!Y2)</f>
        <v>0</v>
      </c>
      <c r="Z50" s="76">
        <f>SUMIFS(разходи!$L:$L,разходи!$E:$E,'ПП Септември'!$C$50,разходи!$M:$M,'ПП Септември'!Z2)</f>
        <v>0</v>
      </c>
      <c r="AA50" s="76">
        <f>SUMIFS(разходи!$L:$L,разходи!$E:$E,'ПП Септември'!$C$50,разходи!$M:$M,'ПП Септември'!AA2)</f>
        <v>0</v>
      </c>
      <c r="AB50" s="74">
        <f>SUMIFS(разходи!$L:$L,разходи!$E:$E,'ПП Септември'!$C$50,разходи!$M:$M,'ПП Септември'!AB2)</f>
        <v>391.26</v>
      </c>
      <c r="AC50" s="74">
        <f>SUMIFS(разходи!$L:$L,разходи!$E:$E,'ПП Септември'!$C$50,разходи!$M:$M,'ПП Септември'!AC2)</f>
        <v>0</v>
      </c>
      <c r="AD50" s="74">
        <f>SUMIFS(разходи!$L:$L,разходи!$E:$E,'ПП Септември'!$C$50,разходи!$M:$M,'ПП Септември'!AD2)</f>
        <v>0</v>
      </c>
      <c r="AE50" s="74">
        <f>SUMIFS(разходи!$L:$L,разходи!$E:$E,'ПП Септември'!$C$50,разходи!$M:$M,'ПП Септември'!AE2)</f>
        <v>0</v>
      </c>
      <c r="AF50" s="76">
        <f>SUMIFS(разходи!$L:$L,разходи!$E:$E,'ПП Септември'!$C$50,разходи!$M:$M,'ПП Септември'!AF2)</f>
        <v>0</v>
      </c>
      <c r="AG50" s="76">
        <f>SUMIFS(разходи!$L:$L,разходи!$E:$E,'ПП Септември'!$C$50,разходи!$M:$M,'ПП Септември'!AG2)</f>
        <v>0</v>
      </c>
      <c r="AH50" s="74">
        <f>SUMIFS(разходи!$L:$L,разходи!$E:$E,'ПП Септември'!$C$50,разходи!$M:$M,'ПП Септември'!AH2)</f>
        <v>0</v>
      </c>
      <c r="AI50" s="61">
        <f t="shared" si="16"/>
        <v>391.26</v>
      </c>
      <c r="AJ50" s="69">
        <f t="shared" si="17"/>
        <v>-391.26</v>
      </c>
    </row>
    <row r="51" spans="1:36" s="21" customFormat="1" ht="20.100000000000001" hidden="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Септември'!$C$51,разходи!$M:$M,'ПП Септември'!E2)</f>
        <v>0</v>
      </c>
      <c r="F51" s="74">
        <f>SUMIFS(разходи!$L:$L,разходи!$E:$E,'ПП Септември'!$C$51,разходи!$M:$M,'ПП Септември'!F2)</f>
        <v>0</v>
      </c>
      <c r="G51" s="74">
        <f>SUMIFS(разходи!$L:$L,разходи!$E:$E,'ПП Септември'!$C$51,разходи!$M:$M,'ПП Септември'!G2)</f>
        <v>1.88</v>
      </c>
      <c r="H51" s="74">
        <f>SUMIFS(разходи!$L:$L,разходи!$E:$E,'ПП Септември'!$C$51,разходи!$M:$M,'ПП Септември'!H2)</f>
        <v>0</v>
      </c>
      <c r="I51" s="74">
        <f>SUMIFS(разходи!$L:$L,разходи!$E:$E,'ПП Септември'!$C$51,разходи!$M:$M,'ПП Септември'!I2)</f>
        <v>0</v>
      </c>
      <c r="J51" s="76">
        <f>SUMIFS(разходи!$L:$L,разходи!$E:$E,'ПП Септември'!$C$51,разходи!$M:$M,'ПП Септември'!J2)</f>
        <v>0</v>
      </c>
      <c r="K51" s="76">
        <f>SUMIFS(разходи!$L:$L,разходи!$E:$E,'ПП Септември'!$C$51,разходи!$M:$M,'ПП Септември'!K2)</f>
        <v>0</v>
      </c>
      <c r="L51" s="76">
        <f>SUMIFS(разходи!$L:$L,разходи!$E:$E,'ПП Септември'!$C$51,разходи!$M:$M,'ПП Септември'!L2)</f>
        <v>0</v>
      </c>
      <c r="M51" s="74">
        <f>SUMIFS(разходи!$L:$L,разходи!$E:$E,'ПП Септември'!$C$51,разходи!$M:$M,'ПП Септември'!M2)</f>
        <v>0</v>
      </c>
      <c r="N51" s="74">
        <f>SUMIFS(разходи!$L:$L,разходи!$E:$E,'ПП Септември'!$C$51,разходи!$M:$M,'ПП Септември'!N2)</f>
        <v>0</v>
      </c>
      <c r="O51" s="74">
        <f>SUMIFS(разходи!$L:$L,разходи!$E:$E,'ПП Септември'!$C$51,разходи!$M:$M,'ПП Септември'!O2)</f>
        <v>0</v>
      </c>
      <c r="P51" s="74">
        <f>SUMIFS(разходи!$L:$L,разходи!$E:$E,'ПП Септември'!$C$51,разходи!$M:$M,'ПП Септември'!P2)</f>
        <v>0</v>
      </c>
      <c r="Q51" s="74">
        <f>SUMIFS(разходи!$L:$L,разходи!$E:$E,'ПП Септември'!$C$51,разходи!$M:$M,'ПП Септември'!Q2)</f>
        <v>0</v>
      </c>
      <c r="R51" s="76">
        <f>SUMIFS(разходи!$L:$L,разходи!$E:$E,'ПП Септември'!$C$51,разходи!$M:$M,'ПП Септември'!R2)</f>
        <v>0</v>
      </c>
      <c r="S51" s="76">
        <f>SUMIFS(разходи!$L:$L,разходи!$E:$E,'ПП Септември'!$C$51,разходи!$M:$M,'ПП Септември'!S2)</f>
        <v>0</v>
      </c>
      <c r="T51" s="74">
        <f>SUMIFS(разходи!$L:$L,разходи!$E:$E,'ПП Септември'!$C$51,разходи!$M:$M,'ПП Септември'!T2)</f>
        <v>0</v>
      </c>
      <c r="U51" s="74">
        <f>SUMIFS(разходи!$L:$L,разходи!$E:$E,'ПП Септември'!$C$51,разходи!$M:$M,'ПП Септември'!U2)</f>
        <v>0</v>
      </c>
      <c r="V51" s="74">
        <f>SUMIFS(разходи!$L:$L,разходи!$E:$E,'ПП Септември'!$C$51,разходи!$M:$M,'ПП Септември'!V2)</f>
        <v>0</v>
      </c>
      <c r="W51" s="74">
        <f>SUMIFS(разходи!$L:$L,разходи!$E:$E,'ПП Септември'!$C$51,разходи!$M:$M,'ПП Септември'!W2)</f>
        <v>0</v>
      </c>
      <c r="X51" s="74">
        <f>SUMIFS(разходи!$L:$L,разходи!$E:$E,'ПП Септември'!$C$51,разходи!$M:$M,'ПП Септември'!X2)</f>
        <v>0</v>
      </c>
      <c r="Y51" s="76">
        <f>SUMIFS(разходи!$L:$L,разходи!$E:$E,'ПП Септември'!$C$51,разходи!$M:$M,'ПП Септември'!Y2)</f>
        <v>0</v>
      </c>
      <c r="Z51" s="76">
        <f>SUMIFS(разходи!$L:$L,разходи!$E:$E,'ПП Септември'!$C$51,разходи!$M:$M,'ПП Септември'!Z2)</f>
        <v>0</v>
      </c>
      <c r="AA51" s="76">
        <f>SUMIFS(разходи!$L:$L,разходи!$E:$E,'ПП Септември'!$C$51,разходи!$M:$M,'ПП Септември'!AA2)</f>
        <v>0</v>
      </c>
      <c r="AB51" s="74">
        <f>SUMIFS(разходи!$L:$L,разходи!$E:$E,'ПП Септември'!$C$51,разходи!$M:$M,'ПП Септември'!AB2)</f>
        <v>0</v>
      </c>
      <c r="AC51" s="74">
        <f>SUMIFS(разходи!$L:$L,разходи!$E:$E,'ПП Септември'!$C$51,разходи!$M:$M,'ПП Септември'!AC2)</f>
        <v>0</v>
      </c>
      <c r="AD51" s="74">
        <f>SUMIFS(разходи!$L:$L,разходи!$E:$E,'ПП Септември'!$C$51,разходи!$M:$M,'ПП Септември'!AD2)</f>
        <v>0</v>
      </c>
      <c r="AE51" s="74">
        <f>SUMIFS(разходи!$L:$L,разходи!$E:$E,'ПП Септември'!$C$51,разходи!$M:$M,'ПП Септември'!AE2)</f>
        <v>0</v>
      </c>
      <c r="AF51" s="76">
        <f>SUMIFS(разходи!$L:$L,разходи!$E:$E,'ПП Септември'!$C$51,разходи!$M:$M,'ПП Септември'!AF2)</f>
        <v>0</v>
      </c>
      <c r="AG51" s="76">
        <f>SUMIFS(разходи!$L:$L,разходи!$E:$E,'ПП Септември'!$C$51,разходи!$M:$M,'ПП Септември'!AG2)</f>
        <v>0</v>
      </c>
      <c r="AH51" s="74">
        <f>SUMIFS(разходи!$L:$L,разходи!$E:$E,'ПП Септември'!$C$51,разходи!$M:$M,'ПП Септември'!AH2)</f>
        <v>0</v>
      </c>
      <c r="AI51" s="61">
        <f t="shared" si="16"/>
        <v>1.88</v>
      </c>
      <c r="AJ51" s="69">
        <f t="shared" si="17"/>
        <v>-1.88</v>
      </c>
    </row>
    <row r="52" spans="1:36" s="21" customFormat="1" ht="20.100000000000001" hidden="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Септември'!$C$52,разходи!$M:$M,'ПП Септември'!E2)</f>
        <v>0</v>
      </c>
      <c r="F52" s="74">
        <f>SUMIFS(разходи!$L:$L,разходи!$E:$E,'ПП Септември'!$C$52,разходи!$M:$M,'ПП Септември'!F2)</f>
        <v>0</v>
      </c>
      <c r="G52" s="74">
        <f>SUMIFS(разходи!$L:$L,разходи!$E:$E,'ПП Септември'!$C$52,разходи!$M:$M,'ПП Септември'!G2)</f>
        <v>0</v>
      </c>
      <c r="H52" s="74">
        <f>SUMIFS(разходи!$L:$L,разходи!$E:$E,'ПП Септември'!$C$52,разходи!$M:$M,'ПП Септември'!H2)</f>
        <v>0</v>
      </c>
      <c r="I52" s="74">
        <f>SUMIFS(разходи!$L:$L,разходи!$E:$E,'ПП Септември'!$C$52,разходи!$M:$M,'ПП Септември'!I2)</f>
        <v>0</v>
      </c>
      <c r="J52" s="76">
        <f>SUMIFS(разходи!$L:$L,разходи!$E:$E,'ПП Септември'!$C$52,разходи!$M:$M,'ПП Септември'!J2)</f>
        <v>0</v>
      </c>
      <c r="K52" s="76">
        <f>SUMIFS(разходи!$L:$L,разходи!$E:$E,'ПП Септември'!$C$52,разходи!$M:$M,'ПП Септември'!K2)</f>
        <v>0</v>
      </c>
      <c r="L52" s="76">
        <f>SUMIFS(разходи!$L:$L,разходи!$E:$E,'ПП Септември'!$C$52,разходи!$M:$M,'ПП Септември'!L2)</f>
        <v>0</v>
      </c>
      <c r="M52" s="74">
        <f>SUMIFS(разходи!$L:$L,разходи!$E:$E,'ПП Септември'!$C$52,разходи!$M:$M,'ПП Септември'!M2)</f>
        <v>0</v>
      </c>
      <c r="N52" s="74">
        <f>SUMIFS(разходи!$L:$L,разходи!$E:$E,'ПП Септември'!$C$52,разходи!$M:$M,'ПП Септември'!N2)</f>
        <v>0</v>
      </c>
      <c r="O52" s="74">
        <f>SUMIFS(разходи!$L:$L,разходи!$E:$E,'ПП Септември'!$C$52,разходи!$M:$M,'ПП Септември'!O2)</f>
        <v>0</v>
      </c>
      <c r="P52" s="74">
        <f>SUMIFS(разходи!$L:$L,разходи!$E:$E,'ПП Септември'!$C$52,разходи!$M:$M,'ПП Септември'!P2)</f>
        <v>0</v>
      </c>
      <c r="Q52" s="74">
        <f>SUMIFS(разходи!$L:$L,разходи!$E:$E,'ПП Септември'!$C$52,разходи!$M:$M,'ПП Септември'!Q2)</f>
        <v>0</v>
      </c>
      <c r="R52" s="76">
        <f>SUMIFS(разходи!$L:$L,разходи!$E:$E,'ПП Септември'!$C$52,разходи!$M:$M,'ПП Септември'!R2)</f>
        <v>0</v>
      </c>
      <c r="S52" s="76">
        <f>SUMIFS(разходи!$L:$L,разходи!$E:$E,'ПП Септември'!$C$52,разходи!$M:$M,'ПП Септември'!S2)</f>
        <v>0</v>
      </c>
      <c r="T52" s="74">
        <f>SUMIFS(разходи!$L:$L,разходи!$E:$E,'ПП Септември'!$C$52,разходи!$M:$M,'ПП Септември'!T2)</f>
        <v>0</v>
      </c>
      <c r="U52" s="74">
        <f>SUMIFS(разходи!$L:$L,разходи!$E:$E,'ПП Септември'!$C$52,разходи!$M:$M,'ПП Септември'!U2)</f>
        <v>0</v>
      </c>
      <c r="V52" s="74">
        <f>SUMIFS(разходи!$L:$L,разходи!$E:$E,'ПП Септември'!$C$52,разходи!$M:$M,'ПП Септември'!V2)</f>
        <v>0</v>
      </c>
      <c r="W52" s="74">
        <f>SUMIFS(разходи!$L:$L,разходи!$E:$E,'ПП Септември'!$C$52,разходи!$M:$M,'ПП Септември'!W2)</f>
        <v>0</v>
      </c>
      <c r="X52" s="74">
        <f>SUMIFS(разходи!$L:$L,разходи!$E:$E,'ПП Септември'!$C$52,разходи!$M:$M,'ПП Септември'!X2)</f>
        <v>0</v>
      </c>
      <c r="Y52" s="76">
        <f>SUMIFS(разходи!$L:$L,разходи!$E:$E,'ПП Септември'!$C$52,разходи!$M:$M,'ПП Септември'!Y2)</f>
        <v>0</v>
      </c>
      <c r="Z52" s="76">
        <f>SUMIFS(разходи!$L:$L,разходи!$E:$E,'ПП Септември'!$C$52,разходи!$M:$M,'ПП Септември'!Z2)</f>
        <v>0</v>
      </c>
      <c r="AA52" s="76">
        <f>SUMIFS(разходи!$L:$L,разходи!$E:$E,'ПП Септември'!$C$52,разходи!$M:$M,'ПП Септември'!AA2)</f>
        <v>0</v>
      </c>
      <c r="AB52" s="74">
        <f>SUMIFS(разходи!$L:$L,разходи!$E:$E,'ПП Септември'!$C$52,разходи!$M:$M,'ПП Септември'!AB2)</f>
        <v>0</v>
      </c>
      <c r="AC52" s="74">
        <f>SUMIFS(разходи!$L:$L,разходи!$E:$E,'ПП Септември'!$C$52,разходи!$M:$M,'ПП Септември'!AC2)</f>
        <v>0</v>
      </c>
      <c r="AD52" s="74">
        <f>SUMIFS(разходи!$L:$L,разходи!$E:$E,'ПП Септември'!$C$52,разходи!$M:$M,'ПП Септември'!AD2)</f>
        <v>0</v>
      </c>
      <c r="AE52" s="74">
        <f>SUMIFS(разходи!$L:$L,разходи!$E:$E,'ПП Септември'!$C$52,разходи!$M:$M,'ПП Септември'!AE2)</f>
        <v>0</v>
      </c>
      <c r="AF52" s="76">
        <f>SUMIFS(разходи!$L:$L,разходи!$E:$E,'ПП Септември'!$C$52,разходи!$M:$M,'ПП Септември'!AF2)</f>
        <v>0</v>
      </c>
      <c r="AG52" s="76">
        <f>SUMIFS(разходи!$L:$L,разходи!$E:$E,'ПП Септември'!$C$52,разходи!$M:$M,'ПП Септември'!AG2)</f>
        <v>0</v>
      </c>
      <c r="AH52" s="74">
        <f>SUMIFS(разходи!$L:$L,разходи!$E:$E,'ПП Септември'!$C$52,разходи!$M:$M,'ПП Септември'!AH2)</f>
        <v>0</v>
      </c>
      <c r="AI52" s="61">
        <f t="shared" si="16"/>
        <v>0</v>
      </c>
      <c r="AJ52" s="69">
        <f t="shared" si="17"/>
        <v>0</v>
      </c>
    </row>
    <row r="53" spans="1:36" s="21" customFormat="1" ht="20.100000000000001" hidden="1" customHeight="1" outlineLevel="1" x14ac:dyDescent="0.3">
      <c r="A53" s="27"/>
      <c r="B53" s="22"/>
      <c r="C53" s="8" t="s">
        <v>868</v>
      </c>
      <c r="D53" s="80">
        <f>SUM(D54:D55)</f>
        <v>3000</v>
      </c>
      <c r="E53" s="76">
        <f>SUMIFS(разходи!$L:$L,разходи!$E:$E,'ПП Септември'!$C$57,разходи!$M:$M,'ПП Септември'!E2)</f>
        <v>0</v>
      </c>
      <c r="F53" s="74">
        <f>SUMIFS(разходи!$L:$L,разходи!$E:$E,'ПП Септември'!$C$57,разходи!$M:$M,'ПП Септември'!F2)</f>
        <v>0</v>
      </c>
      <c r="G53" s="74">
        <f>SUMIFS(разходи!$L:$L,разходи!$E:$E,'ПП Септември'!$C$57,разходи!$M:$M,'ПП Септември'!G2)</f>
        <v>0</v>
      </c>
      <c r="H53" s="74">
        <f>SUMIFS(разходи!$L:$L,разходи!$E:$E,'ПП Септември'!$C$57,разходи!$M:$M,'ПП Септември'!H2)</f>
        <v>0</v>
      </c>
      <c r="I53" s="74">
        <f>SUMIFS(разходи!$L:$L,разходи!$E:$E,'ПП Септември'!$C$57,разходи!$M:$M,'ПП Септември'!I2)</f>
        <v>0</v>
      </c>
      <c r="J53" s="76">
        <f>SUMIFS(разходи!$L:$L,разходи!$E:$E,'ПП Септември'!$C$57,разходи!$M:$M,'ПП Септември'!J2)</f>
        <v>0</v>
      </c>
      <c r="K53" s="76">
        <f>SUMIFS(разходи!$L:$L,разходи!$E:$E,'ПП Септември'!$C$57,разходи!$M:$M,'ПП Септември'!K2)</f>
        <v>0</v>
      </c>
      <c r="L53" s="76">
        <f>SUMIFS(разходи!$L:$L,разходи!$E:$E,'ПП Септември'!$C$57,разходи!$M:$M,'ПП Септември'!L2)</f>
        <v>0</v>
      </c>
      <c r="M53" s="74">
        <f>SUMIFS(разходи!$L:$L,разходи!$E:$E,'ПП Септември'!$C$57,разходи!$M:$M,'ПП Септември'!M2)</f>
        <v>0</v>
      </c>
      <c r="N53" s="74">
        <f>SUMIFS(разходи!$L:$L,разходи!$E:$E,'ПП Септември'!$C$57,разходи!$M:$M,'ПП Септември'!N2)</f>
        <v>0</v>
      </c>
      <c r="O53" s="74">
        <f>SUMIFS(разходи!$L:$L,разходи!$E:$E,'ПП Септември'!$C$57,разходи!$M:$M,'ПП Септември'!O2)</f>
        <v>0</v>
      </c>
      <c r="P53" s="74">
        <f>SUMIFS(разходи!$L:$L,разходи!$E:$E,'ПП Септември'!$C$57,разходи!$M:$M,'ПП Септември'!P2)</f>
        <v>0</v>
      </c>
      <c r="Q53" s="74">
        <f>SUMIFS(разходи!$L:$L,разходи!$E:$E,'ПП Септември'!$C$57,разходи!$M:$M,'ПП Септември'!Q2)</f>
        <v>0</v>
      </c>
      <c r="R53" s="76">
        <f>SUMIFS(разходи!$L:$L,разходи!$E:$E,'ПП Септември'!$C$57,разходи!$M:$M,'ПП Септември'!R2)</f>
        <v>0</v>
      </c>
      <c r="S53" s="76">
        <f>SUMIFS(разходи!$L:$L,разходи!$E:$E,'ПП Септември'!$C$57,разходи!$M:$M,'ПП Септември'!S2)</f>
        <v>0</v>
      </c>
      <c r="T53" s="74">
        <f>SUMIFS(разходи!$L:$L,разходи!$E:$E,'ПП Септември'!$C$57,разходи!$M:$M,'ПП Септември'!T2)</f>
        <v>0</v>
      </c>
      <c r="U53" s="74">
        <f>SUMIFS(разходи!$L:$L,разходи!$E:$E,'ПП Септември'!$C$57,разходи!$M:$M,'ПП Септември'!U2)</f>
        <v>0</v>
      </c>
      <c r="V53" s="74">
        <f>SUMIFS(разходи!$L:$L,разходи!$E:$E,'ПП Септември'!$C$57,разходи!$M:$M,'ПП Септември'!V2)</f>
        <v>0</v>
      </c>
      <c r="W53" s="74">
        <f>SUMIFS(разходи!$L:$L,разходи!$E:$E,'ПП Септември'!$C$57,разходи!$M:$M,'ПП Септември'!W2)</f>
        <v>0</v>
      </c>
      <c r="X53" s="74">
        <f>SUMIFS(разходи!$L:$L,разходи!$E:$E,'ПП Септември'!$C$57,разходи!$M:$M,'ПП Септември'!X2)</f>
        <v>0</v>
      </c>
      <c r="Y53" s="76">
        <f>SUMIFS(разходи!$L:$L,разходи!$E:$E,'ПП Септември'!$C$57,разходи!$M:$M,'ПП Септември'!Y2)</f>
        <v>0</v>
      </c>
      <c r="Z53" s="76">
        <f>SUMIFS(разходи!$L:$L,разходи!$E:$E,'ПП Септември'!$C$57,разходи!$M:$M,'ПП Септември'!Z2)</f>
        <v>0</v>
      </c>
      <c r="AA53" s="76">
        <f>SUMIFS(разходи!$L:$L,разходи!$E:$E,'ПП Септември'!$C$57,разходи!$M:$M,'ПП Септември'!AA2)</f>
        <v>0</v>
      </c>
      <c r="AB53" s="74">
        <f>SUMIFS(разходи!$L:$L,разходи!$E:$E,'ПП Септември'!$C$57,разходи!$M:$M,'ПП Септември'!AB2)</f>
        <v>0</v>
      </c>
      <c r="AC53" s="74">
        <f>SUMIFS(разходи!$L:$L,разходи!$E:$E,'ПП Септември'!$C$57,разходи!$M:$M,'ПП Септември'!AC2)</f>
        <v>0</v>
      </c>
      <c r="AD53" s="74">
        <f>SUMIFS(разходи!$L:$L,разходи!$E:$E,'ПП Септември'!$C$57,разходи!$M:$M,'ПП Септември'!AD2)</f>
        <v>0</v>
      </c>
      <c r="AE53" s="74">
        <f>SUMIFS(разходи!$L:$L,разходи!$E:$E,'ПП Септември'!$C$57,разходи!$M:$M,'ПП Септември'!AE2)</f>
        <v>0</v>
      </c>
      <c r="AF53" s="76">
        <f>SUMIFS(разходи!$L:$L,разходи!$E:$E,'ПП Септември'!$C$57,разходи!$M:$M,'ПП Септември'!AF2)</f>
        <v>0</v>
      </c>
      <c r="AG53" s="76">
        <f>SUMIFS(разходи!$L:$L,разходи!$E:$E,'ПП Септември'!$C$57,разходи!$M:$M,'ПП Септември'!AG2)</f>
        <v>0</v>
      </c>
      <c r="AH53" s="74">
        <f>SUMIFS(разходи!$L:$L,разходи!$E:$E,'ПП Септември'!$C$57,разходи!$M:$M,'ПП Септември'!AH2)</f>
        <v>0</v>
      </c>
      <c r="AI53" s="61">
        <f t="shared" si="16"/>
        <v>0</v>
      </c>
      <c r="AJ53" s="69">
        <f t="shared" si="17"/>
        <v>3000</v>
      </c>
    </row>
    <row r="54" spans="1:36" s="53" customFormat="1" ht="20.100000000000001" hidden="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Септември'!$C$54,разходи!$M:$M,'ПП Септември'!E2)</f>
        <v>0</v>
      </c>
      <c r="F54" s="74">
        <f>SUMIFS(разходи!$L:$L,разходи!$E:$E,'ПП Септември'!$C$54,разходи!$M:$M,'ПП Септември'!F2)</f>
        <v>0</v>
      </c>
      <c r="G54" s="74">
        <f>SUMIFS(разходи!$L:$L,разходи!$E:$E,'ПП Септември'!$C$54,разходи!$M:$M,'ПП Септември'!G2)</f>
        <v>0</v>
      </c>
      <c r="H54" s="74">
        <f>SUMIFS(разходи!$L:$L,разходи!$E:$E,'ПП Септември'!$C$54,разходи!$M:$M,'ПП Септември'!H2)</f>
        <v>0</v>
      </c>
      <c r="I54" s="74">
        <f>SUMIFS(разходи!$L:$L,разходи!$E:$E,'ПП Септември'!$C$54,разходи!$M:$M,'ПП Септември'!I2)</f>
        <v>0</v>
      </c>
      <c r="J54" s="76">
        <f>SUMIFS(разходи!$L:$L,разходи!$E:$E,'ПП Септември'!$C$54,разходи!$M:$M,'ПП Септември'!J2)</f>
        <v>0</v>
      </c>
      <c r="K54" s="76">
        <f>SUMIFS(разходи!$L:$L,разходи!$E:$E,'ПП Септември'!$C$54,разходи!$M:$M,'ПП Септември'!K2)</f>
        <v>0</v>
      </c>
      <c r="L54" s="76">
        <f>SUMIFS(разходи!$L:$L,разходи!$E:$E,'ПП Септември'!$C$54,разходи!$M:$M,'ПП Септември'!L2)</f>
        <v>0</v>
      </c>
      <c r="M54" s="74">
        <f>SUMIFS(разходи!$L:$L,разходи!$E:$E,'ПП Септември'!$C$54,разходи!$M:$M,'ПП Септември'!M2)</f>
        <v>0</v>
      </c>
      <c r="N54" s="74">
        <f>SUMIFS(разходи!$L:$L,разходи!$E:$E,'ПП Септември'!$C$54,разходи!$M:$M,'ПП Септември'!N2)</f>
        <v>0</v>
      </c>
      <c r="O54" s="74">
        <f>SUMIFS(разходи!$L:$L,разходи!$E:$E,'ПП Септември'!$C$54,разходи!$M:$M,'ПП Септември'!O2)</f>
        <v>0</v>
      </c>
      <c r="P54" s="74">
        <f>SUMIFS(разходи!$L:$L,разходи!$E:$E,'ПП Септември'!$C$54,разходи!$M:$M,'ПП Септември'!P2)</f>
        <v>0</v>
      </c>
      <c r="Q54" s="74">
        <f>SUMIFS(разходи!$L:$L,разходи!$E:$E,'ПП Септември'!$C$54,разходи!$M:$M,'ПП Септември'!Q2)</f>
        <v>0</v>
      </c>
      <c r="R54" s="76">
        <f>SUMIFS(разходи!$L:$L,разходи!$E:$E,'ПП Септември'!$C$54,разходи!$M:$M,'ПП Септември'!R2)</f>
        <v>0</v>
      </c>
      <c r="S54" s="76">
        <f>SUMIFS(разходи!$L:$L,разходи!$E:$E,'ПП Септември'!$C$54,разходи!$M:$M,'ПП Септември'!S2)</f>
        <v>0</v>
      </c>
      <c r="T54" s="74">
        <f>SUMIFS(разходи!$L:$L,разходи!$E:$E,'ПП Септември'!$C$54,разходи!$M:$M,'ПП Септември'!T2)</f>
        <v>0</v>
      </c>
      <c r="U54" s="74">
        <f>SUMIFS(разходи!$L:$L,разходи!$E:$E,'ПП Септември'!$C$54,разходи!$M:$M,'ПП Септември'!U2)</f>
        <v>0</v>
      </c>
      <c r="V54" s="74">
        <f>SUMIFS(разходи!$L:$L,разходи!$E:$E,'ПП Септември'!$C$54,разходи!$M:$M,'ПП Септември'!V2)</f>
        <v>0</v>
      </c>
      <c r="W54" s="74">
        <f>SUMIFS(разходи!$L:$L,разходи!$E:$E,'ПП Септември'!$C$54,разходи!$M:$M,'ПП Септември'!W2)</f>
        <v>0</v>
      </c>
      <c r="X54" s="74">
        <f>SUMIFS(разходи!$L:$L,разходи!$E:$E,'ПП Септември'!$C$54,разходи!$M:$M,'ПП Септември'!X2)</f>
        <v>0</v>
      </c>
      <c r="Y54" s="76">
        <f>SUMIFS(разходи!$L:$L,разходи!$E:$E,'ПП Септември'!$C$54,разходи!$M:$M,'ПП Септември'!Y2)</f>
        <v>0</v>
      </c>
      <c r="Z54" s="76">
        <f>SUMIFS(разходи!$L:$L,разходи!$E:$E,'ПП Септември'!$C$54,разходи!$M:$M,'ПП Септември'!Z2)</f>
        <v>0</v>
      </c>
      <c r="AA54" s="76">
        <f>SUMIFS(разходи!$L:$L,разходи!$E:$E,'ПП Септември'!$C$54,разходи!$M:$M,'ПП Септември'!AA2)</f>
        <v>0</v>
      </c>
      <c r="AB54" s="74">
        <f>SUMIFS(разходи!$L:$L,разходи!$E:$E,'ПП Септември'!$C$54,разходи!$M:$M,'ПП Септември'!AB2)</f>
        <v>0</v>
      </c>
      <c r="AC54" s="74">
        <f>SUMIFS(разходи!$L:$L,разходи!$E:$E,'ПП Септември'!$C$54,разходи!$M:$M,'ПП Септември'!AC2)</f>
        <v>0</v>
      </c>
      <c r="AD54" s="74">
        <f>SUMIFS(разходи!$L:$L,разходи!$E:$E,'ПП Септември'!$C$54,разходи!$M:$M,'ПП Септември'!AD2)</f>
        <v>0</v>
      </c>
      <c r="AE54" s="74">
        <f>SUMIFS(разходи!$L:$L,разходи!$E:$E,'ПП Септември'!$C$54,разходи!$M:$M,'ПП Септември'!AE2)</f>
        <v>0</v>
      </c>
      <c r="AF54" s="76">
        <f>SUMIFS(разходи!$L:$L,разходи!$E:$E,'ПП Септември'!$C$54,разходи!$M:$M,'ПП Септември'!AF2)</f>
        <v>0</v>
      </c>
      <c r="AG54" s="76">
        <f>SUMIFS(разходи!$L:$L,разходи!$E:$E,'ПП Септември'!$C$54,разходи!$M:$M,'ПП Септември'!AG2)</f>
        <v>0</v>
      </c>
      <c r="AH54" s="74">
        <f>SUMIFS(разходи!$L:$L,разходи!$E:$E,'ПП Септември'!$C$54,разходи!$M:$M,'ПП Септември'!AH2)</f>
        <v>0</v>
      </c>
      <c r="AI54" s="61">
        <f t="shared" si="16"/>
        <v>0</v>
      </c>
      <c r="AJ54" s="69">
        <f t="shared" si="17"/>
        <v>0</v>
      </c>
    </row>
    <row r="55" spans="1:36" s="53" customFormat="1" ht="20.100000000000001" hidden="1" customHeight="1" outlineLevel="2" x14ac:dyDescent="0.3">
      <c r="A55" s="51"/>
      <c r="B55" s="52"/>
      <c r="C55" s="49" t="s">
        <v>415</v>
      </c>
      <c r="D55" s="80">
        <f>+'[1]изх паричен поток'!$I$18</f>
        <v>3000</v>
      </c>
      <c r="E55" s="76">
        <f>SUMIFS(разходи!$L:$L,разходи!$E:$E,'ПП Септември'!$C$55,разходи!$M:$M,'ПП Септември'!E2)</f>
        <v>0</v>
      </c>
      <c r="F55" s="74">
        <f>SUMIFS(разходи!$L:$L,разходи!$E:$E,'ПП Септември'!$C$55,разходи!$M:$M,'ПП Септември'!F2)</f>
        <v>0</v>
      </c>
      <c r="G55" s="74">
        <f>SUMIFS(разходи!$L:$L,разходи!$E:$E,'ПП Септември'!$C$55,разходи!$M:$M,'ПП Септември'!G2)</f>
        <v>0</v>
      </c>
      <c r="H55" s="74">
        <f>SUMIFS(разходи!$L:$L,разходи!$E:$E,'ПП Септември'!$C$55,разходи!$M:$M,'ПП Септември'!H2)</f>
        <v>0</v>
      </c>
      <c r="I55" s="74">
        <f>SUMIFS(разходи!$L:$L,разходи!$E:$E,'ПП Септември'!$C$55,разходи!$M:$M,'ПП Септември'!I2)</f>
        <v>0</v>
      </c>
      <c r="J55" s="76">
        <f>SUMIFS(разходи!$L:$L,разходи!$E:$E,'ПП Септември'!$C$55,разходи!$M:$M,'ПП Септември'!J2)</f>
        <v>0</v>
      </c>
      <c r="K55" s="76">
        <f>SUMIFS(разходи!$L:$L,разходи!$E:$E,'ПП Септември'!$C$55,разходи!$M:$M,'ПП Септември'!K2)</f>
        <v>0</v>
      </c>
      <c r="L55" s="76">
        <f>SUMIFS(разходи!$L:$L,разходи!$E:$E,'ПП Септември'!$C$55,разходи!$M:$M,'ПП Септември'!L2)</f>
        <v>0</v>
      </c>
      <c r="M55" s="74">
        <f>SUMIFS(разходи!$L:$L,разходи!$E:$E,'ПП Септември'!$C$55,разходи!$M:$M,'ПП Септември'!M2)</f>
        <v>0</v>
      </c>
      <c r="N55" s="74">
        <f>SUMIFS(разходи!$L:$L,разходи!$E:$E,'ПП Септември'!$C$55,разходи!$M:$M,'ПП Септември'!N2)</f>
        <v>0</v>
      </c>
      <c r="O55" s="74">
        <f>SUMIFS(разходи!$L:$L,разходи!$E:$E,'ПП Септември'!$C$55,разходи!$M:$M,'ПП Септември'!O2)</f>
        <v>0</v>
      </c>
      <c r="P55" s="74">
        <f>SUMIFS(разходи!$L:$L,разходи!$E:$E,'ПП Септември'!$C$55,разходи!$M:$M,'ПП Септември'!P2)</f>
        <v>0</v>
      </c>
      <c r="Q55" s="74">
        <f>SUMIFS(разходи!$L:$L,разходи!$E:$E,'ПП Септември'!$C$55,разходи!$M:$M,'ПП Септември'!Q2)</f>
        <v>3000.7294440000001</v>
      </c>
      <c r="R55" s="76">
        <f>SUMIFS(разходи!$L:$L,разходи!$E:$E,'ПП Септември'!$C$55,разходи!$M:$M,'ПП Септември'!R2)</f>
        <v>0</v>
      </c>
      <c r="S55" s="76">
        <f>SUMIFS(разходи!$L:$L,разходи!$E:$E,'ПП Септември'!$C$55,разходи!$M:$M,'ПП Септември'!S2)</f>
        <v>0</v>
      </c>
      <c r="T55" s="74">
        <f>SUMIFS(разходи!$L:$L,разходи!$E:$E,'ПП Септември'!$C$55,разходи!$M:$M,'ПП Септември'!T2)</f>
        <v>0</v>
      </c>
      <c r="U55" s="74">
        <f>SUMIFS(разходи!$L:$L,разходи!$E:$E,'ПП Септември'!$C$55,разходи!$M:$M,'ПП Септември'!U2)</f>
        <v>0</v>
      </c>
      <c r="V55" s="74">
        <f>SUMIFS(разходи!$L:$L,разходи!$E:$E,'ПП Септември'!$C$55,разходи!$M:$M,'ПП Септември'!V2)</f>
        <v>0</v>
      </c>
      <c r="W55" s="74">
        <f>SUMIFS(разходи!$L:$L,разходи!$E:$E,'ПП Септември'!$C$55,разходи!$M:$M,'ПП Септември'!W2)</f>
        <v>0</v>
      </c>
      <c r="X55" s="74">
        <f>SUMIFS(разходи!$L:$L,разходи!$E:$E,'ПП Септември'!$C$55,разходи!$M:$M,'ПП Септември'!X2)</f>
        <v>0</v>
      </c>
      <c r="Y55" s="76">
        <f>SUMIFS(разходи!$L:$L,разходи!$E:$E,'ПП Септември'!$C$55,разходи!$M:$M,'ПП Септември'!Y2)</f>
        <v>0</v>
      </c>
      <c r="Z55" s="76">
        <f>SUMIFS(разходи!$L:$L,разходи!$E:$E,'ПП Септември'!$C$55,разходи!$M:$M,'ПП Септември'!Z2)</f>
        <v>0</v>
      </c>
      <c r="AA55" s="76">
        <f>SUMIFS(разходи!$L:$L,разходи!$E:$E,'ПП Септември'!$C$55,разходи!$M:$M,'ПП Септември'!AA2)</f>
        <v>0</v>
      </c>
      <c r="AB55" s="74">
        <f>SUMIFS(разходи!$L:$L,разходи!$E:$E,'ПП Септември'!$C$55,разходи!$M:$M,'ПП Септември'!AB2)</f>
        <v>0</v>
      </c>
      <c r="AC55" s="74">
        <f>SUMIFS(разходи!$L:$L,разходи!$E:$E,'ПП Септември'!$C$55,разходи!$M:$M,'ПП Септември'!AC2)</f>
        <v>0</v>
      </c>
      <c r="AD55" s="74">
        <f>SUMIFS(разходи!$L:$L,разходи!$E:$E,'ПП Септември'!$C$55,разходи!$M:$M,'ПП Септември'!AD2)</f>
        <v>0</v>
      </c>
      <c r="AE55" s="74">
        <f>SUMIFS(разходи!$L:$L,разходи!$E:$E,'ПП Септември'!$C$55,разходи!$M:$M,'ПП Септември'!AE2)</f>
        <v>0</v>
      </c>
      <c r="AF55" s="76">
        <f>SUMIFS(разходи!$L:$L,разходи!$E:$E,'ПП Септември'!$C$55,разходи!$M:$M,'ПП Септември'!AF2)</f>
        <v>0</v>
      </c>
      <c r="AG55" s="76">
        <f>SUMIFS(разходи!$L:$L,разходи!$E:$E,'ПП Септември'!$C$55,разходи!$M:$M,'ПП Септември'!AG2)</f>
        <v>0</v>
      </c>
      <c r="AH55" s="74">
        <f>SUMIFS(разходи!$L:$L,разходи!$E:$E,'ПП Септември'!$C$55,разходи!$M:$M,'ПП Септември'!AH2)</f>
        <v>0</v>
      </c>
      <c r="AI55" s="61">
        <f t="shared" si="16"/>
        <v>3000.7294440000001</v>
      </c>
      <c r="AJ55" s="69">
        <f t="shared" si="17"/>
        <v>-0.72944400000005771</v>
      </c>
    </row>
    <row r="56" spans="1:36" s="39" customFormat="1" ht="20.100000000000001" hidden="1" customHeight="1" outlineLevel="1" x14ac:dyDescent="0.3">
      <c r="A56" s="37"/>
      <c r="B56" s="38"/>
      <c r="C56" s="48" t="s">
        <v>870</v>
      </c>
      <c r="D56" s="80">
        <f>SUM(D57:D61)</f>
        <v>3200</v>
      </c>
      <c r="E56" s="76">
        <f t="shared" ref="E56:AH56" si="22">SUM(E57:E61)</f>
        <v>0</v>
      </c>
      <c r="F56" s="74">
        <f t="shared" si="22"/>
        <v>2065.85</v>
      </c>
      <c r="G56" s="74">
        <f t="shared" si="22"/>
        <v>0</v>
      </c>
      <c r="H56" s="74">
        <f t="shared" si="22"/>
        <v>0</v>
      </c>
      <c r="I56" s="74">
        <f t="shared" si="22"/>
        <v>0</v>
      </c>
      <c r="J56" s="76">
        <f t="shared" si="22"/>
        <v>0</v>
      </c>
      <c r="K56" s="76">
        <f t="shared" si="22"/>
        <v>0</v>
      </c>
      <c r="L56" s="76">
        <f t="shared" si="22"/>
        <v>0</v>
      </c>
      <c r="M56" s="74">
        <f t="shared" si="22"/>
        <v>0</v>
      </c>
      <c r="N56" s="74">
        <f t="shared" si="22"/>
        <v>0</v>
      </c>
      <c r="O56" s="74">
        <f t="shared" si="22"/>
        <v>0</v>
      </c>
      <c r="P56" s="74">
        <f t="shared" si="22"/>
        <v>0</v>
      </c>
      <c r="Q56" s="74">
        <f t="shared" si="22"/>
        <v>0</v>
      </c>
      <c r="R56" s="76">
        <f t="shared" si="22"/>
        <v>0</v>
      </c>
      <c r="S56" s="76">
        <f t="shared" si="22"/>
        <v>0</v>
      </c>
      <c r="T56" s="74">
        <f t="shared" si="22"/>
        <v>0</v>
      </c>
      <c r="U56" s="74">
        <f t="shared" si="22"/>
        <v>0</v>
      </c>
      <c r="V56" s="74">
        <f t="shared" si="22"/>
        <v>0</v>
      </c>
      <c r="W56" s="74">
        <f t="shared" si="22"/>
        <v>0</v>
      </c>
      <c r="X56" s="74">
        <f t="shared" si="22"/>
        <v>0</v>
      </c>
      <c r="Y56" s="76">
        <f t="shared" si="22"/>
        <v>0</v>
      </c>
      <c r="Z56" s="76">
        <f t="shared" si="22"/>
        <v>0</v>
      </c>
      <c r="AA56" s="76">
        <f t="shared" si="22"/>
        <v>0</v>
      </c>
      <c r="AB56" s="74">
        <f t="shared" si="22"/>
        <v>0</v>
      </c>
      <c r="AC56" s="74">
        <f t="shared" si="22"/>
        <v>0</v>
      </c>
      <c r="AD56" s="74">
        <f t="shared" si="22"/>
        <v>0</v>
      </c>
      <c r="AE56" s="74">
        <f t="shared" si="22"/>
        <v>0</v>
      </c>
      <c r="AF56" s="76">
        <f t="shared" si="22"/>
        <v>0</v>
      </c>
      <c r="AG56" s="76">
        <f t="shared" si="22"/>
        <v>0</v>
      </c>
      <c r="AH56" s="74">
        <f t="shared" si="22"/>
        <v>0</v>
      </c>
      <c r="AI56" s="61">
        <f t="shared" si="16"/>
        <v>2065.85</v>
      </c>
      <c r="AJ56" s="69">
        <f t="shared" si="17"/>
        <v>1134.1500000000001</v>
      </c>
    </row>
    <row r="57" spans="1:36" s="39" customFormat="1" ht="20.100000000000001" hidden="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Септември'!$C$57,разходи!$M:$M,'ПП Септември'!E2)</f>
        <v>0</v>
      </c>
      <c r="F57" s="74">
        <f>SUMIFS(разходи!$L:$L,разходи!$E:$E,'ПП Септември'!$C$57,разходи!$M:$M,'ПП Септември'!F2)</f>
        <v>0</v>
      </c>
      <c r="G57" s="74">
        <f>SUMIFS(разходи!$L:$L,разходи!$E:$E,'ПП Септември'!$C$57,разходи!$M:$M,'ПП Септември'!G2)</f>
        <v>0</v>
      </c>
      <c r="H57" s="74">
        <f>SUMIFS(разходи!$L:$L,разходи!$E:$E,'ПП Септември'!$C$57,разходи!$M:$M,'ПП Септември'!H2)</f>
        <v>0</v>
      </c>
      <c r="I57" s="74">
        <f>SUMIFS(разходи!$L:$L,разходи!$E:$E,'ПП Септември'!$C$57,разходи!$M:$M,'ПП Септември'!I2)</f>
        <v>0</v>
      </c>
      <c r="J57" s="76">
        <f>SUMIFS(разходи!$L:$L,разходи!$E:$E,'ПП Септември'!$C$57,разходи!$M:$M,'ПП Септември'!J2)</f>
        <v>0</v>
      </c>
      <c r="K57" s="76">
        <f>SUMIFS(разходи!$L:$L,разходи!$E:$E,'ПП Септември'!$C$57,разходи!$M:$M,'ПП Септември'!K2)</f>
        <v>0</v>
      </c>
      <c r="L57" s="76">
        <f>SUMIFS(разходи!$L:$L,разходи!$E:$E,'ПП Септември'!$C$57,разходи!$M:$M,'ПП Септември'!L2)</f>
        <v>0</v>
      </c>
      <c r="M57" s="74">
        <f>SUMIFS(разходи!$L:$L,разходи!$E:$E,'ПП Септември'!$C$57,разходи!$M:$M,'ПП Септември'!M2)</f>
        <v>0</v>
      </c>
      <c r="N57" s="74">
        <f>SUMIFS(разходи!$L:$L,разходи!$E:$E,'ПП Септември'!$C$57,разходи!$M:$M,'ПП Септември'!N2)</f>
        <v>0</v>
      </c>
      <c r="O57" s="74">
        <f>SUMIFS(разходи!$L:$L,разходи!$E:$E,'ПП Септември'!$C$57,разходи!$M:$M,'ПП Септември'!O2)</f>
        <v>0</v>
      </c>
      <c r="P57" s="74">
        <f>SUMIFS(разходи!$L:$L,разходи!$E:$E,'ПП Септември'!$C$57,разходи!$M:$M,'ПП Септември'!P2)</f>
        <v>0</v>
      </c>
      <c r="Q57" s="74">
        <f>SUMIFS(разходи!$L:$L,разходи!$E:$E,'ПП Септември'!$C$57,разходи!$M:$M,'ПП Септември'!Q2)</f>
        <v>0</v>
      </c>
      <c r="R57" s="76">
        <f>SUMIFS(разходи!$L:$L,разходи!$E:$E,'ПП Септември'!$C$57,разходи!$M:$M,'ПП Септември'!R2)</f>
        <v>0</v>
      </c>
      <c r="S57" s="76">
        <f>SUMIFS(разходи!$L:$L,разходи!$E:$E,'ПП Септември'!$C$57,разходи!$M:$M,'ПП Септември'!S2)</f>
        <v>0</v>
      </c>
      <c r="T57" s="74">
        <f>SUMIFS(разходи!$L:$L,разходи!$E:$E,'ПП Септември'!$C$57,разходи!$M:$M,'ПП Септември'!T2)</f>
        <v>0</v>
      </c>
      <c r="U57" s="74">
        <f>SUMIFS(разходи!$L:$L,разходи!$E:$E,'ПП Септември'!$C$57,разходи!$M:$M,'ПП Септември'!U2)</f>
        <v>0</v>
      </c>
      <c r="V57" s="74">
        <f>SUMIFS(разходи!$L:$L,разходи!$E:$E,'ПП Септември'!$C$57,разходи!$M:$M,'ПП Септември'!V2)</f>
        <v>0</v>
      </c>
      <c r="W57" s="74">
        <f>SUMIFS(разходи!$L:$L,разходи!$E:$E,'ПП Септември'!$C$57,разходи!$M:$M,'ПП Септември'!W2)</f>
        <v>0</v>
      </c>
      <c r="X57" s="74">
        <f>SUMIFS(разходи!$L:$L,разходи!$E:$E,'ПП Септември'!$C$57,разходи!$M:$M,'ПП Септември'!X2)</f>
        <v>0</v>
      </c>
      <c r="Y57" s="76">
        <f>SUMIFS(разходи!$L:$L,разходи!$E:$E,'ПП Септември'!$C$57,разходи!$M:$M,'ПП Септември'!Y2)</f>
        <v>0</v>
      </c>
      <c r="Z57" s="76">
        <f>SUMIFS(разходи!$L:$L,разходи!$E:$E,'ПП Септември'!$C$57,разходи!$M:$M,'ПП Септември'!Z2)</f>
        <v>0</v>
      </c>
      <c r="AA57" s="76">
        <f>SUMIFS(разходи!$L:$L,разходи!$E:$E,'ПП Септември'!$C$57,разходи!$M:$M,'ПП Септември'!AA2)</f>
        <v>0</v>
      </c>
      <c r="AB57" s="74">
        <f>SUMIFS(разходи!$L:$L,разходи!$E:$E,'ПП Септември'!$C$57,разходи!$M:$M,'ПП Септември'!AB2)</f>
        <v>0</v>
      </c>
      <c r="AC57" s="74">
        <f>SUMIFS(разходи!$L:$L,разходи!$E:$E,'ПП Септември'!$C$57,разходи!$M:$M,'ПП Септември'!AC2)</f>
        <v>0</v>
      </c>
      <c r="AD57" s="74">
        <f>SUMIFS(разходи!$L:$L,разходи!$E:$E,'ПП Септември'!$C$57,разходи!$M:$M,'ПП Септември'!AD2)</f>
        <v>0</v>
      </c>
      <c r="AE57" s="74">
        <f>SUMIFS(разходи!$L:$L,разходи!$E:$E,'ПП Септември'!$C$57,разходи!$M:$M,'ПП Септември'!AE2)</f>
        <v>0</v>
      </c>
      <c r="AF57" s="76">
        <f>SUMIFS(разходи!$L:$L,разходи!$E:$E,'ПП Септември'!$C$57,разходи!$M:$M,'ПП Септември'!AF2)</f>
        <v>0</v>
      </c>
      <c r="AG57" s="76">
        <f>SUMIFS(разходи!$L:$L,разходи!$E:$E,'ПП Септември'!$C$57,разходи!$M:$M,'ПП Септември'!AG2)</f>
        <v>0</v>
      </c>
      <c r="AH57" s="74">
        <f>SUMIFS(разходи!$L:$L,разходи!$E:$E,'ПП Септември'!$C$57,разходи!$M:$M,'ПП Септември'!AH2)</f>
        <v>0</v>
      </c>
      <c r="AI57" s="61">
        <f t="shared" si="16"/>
        <v>0</v>
      </c>
      <c r="AJ57" s="69">
        <f t="shared" si="17"/>
        <v>0</v>
      </c>
    </row>
    <row r="58" spans="1:36" s="39" customFormat="1" ht="20.100000000000001" hidden="1" customHeight="1" outlineLevel="2" x14ac:dyDescent="0.3">
      <c r="A58" s="37"/>
      <c r="B58" s="38"/>
      <c r="C58" s="49" t="s">
        <v>872</v>
      </c>
      <c r="D58" s="80">
        <f>+'[1]изх паричен поток'!$I$19</f>
        <v>3200</v>
      </c>
      <c r="E58" s="76">
        <f>SUMIFS(разходи!$L:$L,разходи!$E:$E,'ПП Септември'!$C$58,разходи!$M:$M,'ПП Септември'!E2)</f>
        <v>0</v>
      </c>
      <c r="F58" s="74">
        <f>SUMIFS(разходи!$L:$L,разходи!$E:$E,'ПП Септември'!$C$58,разходи!$M:$M,'ПП Септември'!F2)</f>
        <v>0</v>
      </c>
      <c r="G58" s="74">
        <f>SUMIFS(разходи!$L:$L,разходи!$E:$E,'ПП Септември'!$C$58,разходи!$M:$M,'ПП Септември'!G2)</f>
        <v>0</v>
      </c>
      <c r="H58" s="74">
        <f>SUMIFS(разходи!$L:$L,разходи!$E:$E,'ПП Септември'!$C$58,разходи!$M:$M,'ПП Септември'!H2)</f>
        <v>0</v>
      </c>
      <c r="I58" s="74">
        <f>SUMIFS(разходи!$L:$L,разходи!$E:$E,'ПП Септември'!$C$58,разходи!$M:$M,'ПП Септември'!I2)</f>
        <v>0</v>
      </c>
      <c r="J58" s="76">
        <f>SUMIFS(разходи!$L:$L,разходи!$E:$E,'ПП Септември'!$C$58,разходи!$M:$M,'ПП Септември'!J2)</f>
        <v>0</v>
      </c>
      <c r="K58" s="76">
        <f>SUMIFS(разходи!$L:$L,разходи!$E:$E,'ПП Септември'!$C$58,разходи!$M:$M,'ПП Септември'!K2)</f>
        <v>0</v>
      </c>
      <c r="L58" s="76">
        <f>SUMIFS(разходи!$L:$L,разходи!$E:$E,'ПП Септември'!$C$58,разходи!$M:$M,'ПП Септември'!L2)</f>
        <v>0</v>
      </c>
      <c r="M58" s="74">
        <f>SUMIFS(разходи!$L:$L,разходи!$E:$E,'ПП Септември'!$C$58,разходи!$M:$M,'ПП Септември'!M2)</f>
        <v>0</v>
      </c>
      <c r="N58" s="74">
        <f>SUMIFS(разходи!$L:$L,разходи!$E:$E,'ПП Септември'!$C$58,разходи!$M:$M,'ПП Септември'!N2)</f>
        <v>0</v>
      </c>
      <c r="O58" s="74">
        <f>SUMIFS(разходи!$L:$L,разходи!$E:$E,'ПП Септември'!$C$58,разходи!$M:$M,'ПП Септември'!O2)</f>
        <v>0</v>
      </c>
      <c r="P58" s="74">
        <f>SUMIFS(разходи!$L:$L,разходи!$E:$E,'ПП Септември'!$C$58,разходи!$M:$M,'ПП Септември'!P2)</f>
        <v>0</v>
      </c>
      <c r="Q58" s="74">
        <f>SUMIFS(разходи!$L:$L,разходи!$E:$E,'ПП Септември'!$C$58,разходи!$M:$M,'ПП Септември'!Q2)</f>
        <v>0</v>
      </c>
      <c r="R58" s="76">
        <f>SUMIFS(разходи!$L:$L,разходи!$E:$E,'ПП Септември'!$C$58,разходи!$M:$M,'ПП Септември'!R2)</f>
        <v>0</v>
      </c>
      <c r="S58" s="76">
        <f>SUMIFS(разходи!$L:$L,разходи!$E:$E,'ПП Септември'!$C$58,разходи!$M:$M,'ПП Септември'!S2)</f>
        <v>0</v>
      </c>
      <c r="T58" s="74">
        <f>SUMIFS(разходи!$L:$L,разходи!$E:$E,'ПП Септември'!$C$58,разходи!$M:$M,'ПП Септември'!T2)</f>
        <v>0</v>
      </c>
      <c r="U58" s="74">
        <f>SUMIFS(разходи!$L:$L,разходи!$E:$E,'ПП Септември'!$C$58,разходи!$M:$M,'ПП Септември'!U2)</f>
        <v>0</v>
      </c>
      <c r="V58" s="74">
        <f>SUMIFS(разходи!$L:$L,разходи!$E:$E,'ПП Септември'!$C$58,разходи!$M:$M,'ПП Септември'!V2)</f>
        <v>0</v>
      </c>
      <c r="W58" s="74">
        <f>SUMIFS(разходи!$L:$L,разходи!$E:$E,'ПП Септември'!$C$58,разходи!$M:$M,'ПП Септември'!W2)</f>
        <v>0</v>
      </c>
      <c r="X58" s="74">
        <f>SUMIFS(разходи!$L:$L,разходи!$E:$E,'ПП Септември'!$C$58,разходи!$M:$M,'ПП Септември'!X2)</f>
        <v>0</v>
      </c>
      <c r="Y58" s="76">
        <f>SUMIFS(разходи!$L:$L,разходи!$E:$E,'ПП Септември'!$C$58,разходи!$M:$M,'ПП Септември'!Y2)</f>
        <v>0</v>
      </c>
      <c r="Z58" s="76">
        <f>SUMIFS(разходи!$L:$L,разходи!$E:$E,'ПП Септември'!$C$58,разходи!$M:$M,'ПП Септември'!Z2)</f>
        <v>0</v>
      </c>
      <c r="AA58" s="76">
        <f>SUMIFS(разходи!$L:$L,разходи!$E:$E,'ПП Септември'!$C$58,разходи!$M:$M,'ПП Септември'!AA2)</f>
        <v>0</v>
      </c>
      <c r="AB58" s="74">
        <f>SUMIFS(разходи!$L:$L,разходи!$E:$E,'ПП Септември'!$C$58,разходи!$M:$M,'ПП Септември'!AB2)</f>
        <v>0</v>
      </c>
      <c r="AC58" s="74">
        <f>SUMIFS(разходи!$L:$L,разходи!$E:$E,'ПП Септември'!$C$58,разходи!$M:$M,'ПП Септември'!AC2)</f>
        <v>0</v>
      </c>
      <c r="AD58" s="74">
        <f>SUMIFS(разходи!$L:$L,разходи!$E:$E,'ПП Септември'!$C$58,разходи!$M:$M,'ПП Септември'!AD2)</f>
        <v>0</v>
      </c>
      <c r="AE58" s="74">
        <f>SUMIFS(разходи!$L:$L,разходи!$E:$E,'ПП Септември'!$C$58,разходи!$M:$M,'ПП Септември'!AE2)</f>
        <v>0</v>
      </c>
      <c r="AF58" s="76">
        <f>SUMIFS(разходи!$L:$L,разходи!$E:$E,'ПП Септември'!$C$58,разходи!$M:$M,'ПП Септември'!AF2)</f>
        <v>0</v>
      </c>
      <c r="AG58" s="76">
        <f>SUMIFS(разходи!$L:$L,разходи!$E:$E,'ПП Септември'!$C$58,разходи!$M:$M,'ПП Септември'!AG2)</f>
        <v>0</v>
      </c>
      <c r="AH58" s="74">
        <f>SUMIFS(разходи!$L:$L,разходи!$E:$E,'ПП Септември'!$C$58,разходи!$M:$M,'ПП Септември'!AH2)</f>
        <v>0</v>
      </c>
      <c r="AI58" s="61">
        <f t="shared" si="16"/>
        <v>0</v>
      </c>
      <c r="AJ58" s="69">
        <f t="shared" si="17"/>
        <v>3200</v>
      </c>
    </row>
    <row r="59" spans="1:36" s="39" customFormat="1" ht="20.100000000000001" hidden="1" customHeight="1" outlineLevel="2" x14ac:dyDescent="0.3">
      <c r="A59" s="37"/>
      <c r="B59" s="38"/>
      <c r="C59" s="49" t="s">
        <v>786</v>
      </c>
      <c r="D59" s="80"/>
      <c r="E59" s="76">
        <f>SUMIFS(разходи!$L:$L,разходи!$E:$E,'ПП Септември'!$C$59,разходи!$M:$M,'ПП Септември'!E2)</f>
        <v>0</v>
      </c>
      <c r="F59" s="74">
        <f>SUMIFS(разходи!$L:$L,разходи!$E:$E,'ПП Септември'!$C$59,разходи!$M:$M,'ПП Септември'!F2)</f>
        <v>2065.85</v>
      </c>
      <c r="G59" s="74">
        <f>SUMIFS(разходи!$L:$L,разходи!$E:$E,'ПП Септември'!$C$59,разходи!$M:$M,'ПП Септември'!G2)</f>
        <v>0</v>
      </c>
      <c r="H59" s="74">
        <f>SUMIFS(разходи!$L:$L,разходи!$E:$E,'ПП Септември'!$C$59,разходи!$M:$M,'ПП Септември'!H2)</f>
        <v>0</v>
      </c>
      <c r="I59" s="74">
        <f>SUMIFS(разходи!$L:$L,разходи!$E:$E,'ПП Септември'!$C$59,разходи!$M:$M,'ПП Септември'!I2)</f>
        <v>0</v>
      </c>
      <c r="J59" s="76">
        <f>SUMIFS(разходи!$L:$L,разходи!$E:$E,'ПП Септември'!$C$59,разходи!$M:$M,'ПП Септември'!J2)</f>
        <v>0</v>
      </c>
      <c r="K59" s="76">
        <f>SUMIFS(разходи!$L:$L,разходи!$E:$E,'ПП Септември'!$C$59,разходи!$M:$M,'ПП Септември'!K2)</f>
        <v>0</v>
      </c>
      <c r="L59" s="76">
        <f>SUMIFS(разходи!$L:$L,разходи!$E:$E,'ПП Септември'!$C$59,разходи!$M:$M,'ПП Септември'!L2)</f>
        <v>0</v>
      </c>
      <c r="M59" s="74">
        <f>SUMIFS(разходи!$L:$L,разходи!$E:$E,'ПП Септември'!$C$59,разходи!$M:$M,'ПП Септември'!M2)</f>
        <v>0</v>
      </c>
      <c r="N59" s="74">
        <f>SUMIFS(разходи!$L:$L,разходи!$E:$E,'ПП Септември'!$C$59,разходи!$M:$M,'ПП Септември'!N2)</f>
        <v>0</v>
      </c>
      <c r="O59" s="74">
        <f>SUMIFS(разходи!$L:$L,разходи!$E:$E,'ПП Септември'!$C$59,разходи!$M:$M,'ПП Септември'!O2)</f>
        <v>0</v>
      </c>
      <c r="P59" s="74">
        <f>SUMIFS(разходи!$L:$L,разходи!$E:$E,'ПП Септември'!$C$59,разходи!$M:$M,'ПП Септември'!P2)</f>
        <v>0</v>
      </c>
      <c r="Q59" s="74">
        <f>SUMIFS(разходи!$L:$L,разходи!$E:$E,'ПП Септември'!$C$59,разходи!$M:$M,'ПП Септември'!Q2)</f>
        <v>0</v>
      </c>
      <c r="R59" s="76">
        <f>SUMIFS(разходи!$L:$L,разходи!$E:$E,'ПП Септември'!$C$59,разходи!$M:$M,'ПП Септември'!R2)</f>
        <v>0</v>
      </c>
      <c r="S59" s="76">
        <f>SUMIFS(разходи!$L:$L,разходи!$E:$E,'ПП Септември'!$C$59,разходи!$M:$M,'ПП Септември'!S2)</f>
        <v>0</v>
      </c>
      <c r="T59" s="74">
        <f>SUMIFS(разходи!$L:$L,разходи!$E:$E,'ПП Септември'!$C$59,разходи!$M:$M,'ПП Септември'!T2)</f>
        <v>0</v>
      </c>
      <c r="U59" s="74">
        <f>SUMIFS(разходи!$L:$L,разходи!$E:$E,'ПП Септември'!$C$59,разходи!$M:$M,'ПП Септември'!U2)</f>
        <v>0</v>
      </c>
      <c r="V59" s="74">
        <f>SUMIFS(разходи!$L:$L,разходи!$E:$E,'ПП Септември'!$C$59,разходи!$M:$M,'ПП Септември'!V2)</f>
        <v>0</v>
      </c>
      <c r="W59" s="74">
        <f>SUMIFS(разходи!$L:$L,разходи!$E:$E,'ПП Септември'!$C$59,разходи!$M:$M,'ПП Септември'!W2)</f>
        <v>0</v>
      </c>
      <c r="X59" s="74">
        <f>SUMIFS(разходи!$L:$L,разходи!$E:$E,'ПП Септември'!$C$59,разходи!$M:$M,'ПП Септември'!X2)</f>
        <v>0</v>
      </c>
      <c r="Y59" s="76">
        <f>SUMIFS(разходи!$L:$L,разходи!$E:$E,'ПП Септември'!$C$59,разходи!$M:$M,'ПП Септември'!Y2)</f>
        <v>0</v>
      </c>
      <c r="Z59" s="76">
        <f>SUMIFS(разходи!$L:$L,разходи!$E:$E,'ПП Септември'!$C$59,разходи!$M:$M,'ПП Септември'!Z2)</f>
        <v>0</v>
      </c>
      <c r="AA59" s="76">
        <f>SUMIFS(разходи!$L:$L,разходи!$E:$E,'ПП Септември'!$C$59,разходи!$M:$M,'ПП Септември'!AA2)</f>
        <v>0</v>
      </c>
      <c r="AB59" s="74">
        <f>SUMIFS(разходи!$L:$L,разходи!$E:$E,'ПП Септември'!$C$59,разходи!$M:$M,'ПП Септември'!AB2)</f>
        <v>0</v>
      </c>
      <c r="AC59" s="74">
        <f>SUMIFS(разходи!$L:$L,разходи!$E:$E,'ПП Септември'!$C$59,разходи!$M:$M,'ПП Септември'!AC2)</f>
        <v>0</v>
      </c>
      <c r="AD59" s="74">
        <f>SUMIFS(разходи!$L:$L,разходи!$E:$E,'ПП Септември'!$C$59,разходи!$M:$M,'ПП Септември'!AD2)</f>
        <v>0</v>
      </c>
      <c r="AE59" s="74">
        <f>SUMIFS(разходи!$L:$L,разходи!$E:$E,'ПП Септември'!$C$59,разходи!$M:$M,'ПП Септември'!AE2)</f>
        <v>0</v>
      </c>
      <c r="AF59" s="76">
        <f>SUMIFS(разходи!$L:$L,разходи!$E:$E,'ПП Септември'!$C$59,разходи!$M:$M,'ПП Септември'!AF2)</f>
        <v>0</v>
      </c>
      <c r="AG59" s="76">
        <f>SUMIFS(разходи!$L:$L,разходи!$E:$E,'ПП Септември'!$C$59,разходи!$M:$M,'ПП Септември'!AG2)</f>
        <v>0</v>
      </c>
      <c r="AH59" s="74">
        <f>SUMIFS(разходи!$L:$L,разходи!$E:$E,'ПП Септември'!$C$59,разходи!$M:$M,'ПП Септември'!AH2)</f>
        <v>0</v>
      </c>
      <c r="AI59" s="61">
        <f t="shared" si="16"/>
        <v>2065.85</v>
      </c>
      <c r="AJ59" s="69">
        <f t="shared" si="17"/>
        <v>-2065.85</v>
      </c>
    </row>
    <row r="60" spans="1:36" s="39" customFormat="1" ht="20.100000000000001" hidden="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Септември'!$C$60,разходи!$M:$M,'ПП Септември'!E2)</f>
        <v>0</v>
      </c>
      <c r="F60" s="74">
        <f>SUMIFS(разходи!$L:$L,разходи!$E:$E,'ПП Септември'!$C$60,разходи!$M:$M,'ПП Септември'!F2)</f>
        <v>0</v>
      </c>
      <c r="G60" s="74">
        <f>SUMIFS(разходи!$L:$L,разходи!$E:$E,'ПП Септември'!$C$60,разходи!$M:$M,'ПП Септември'!G2)</f>
        <v>0</v>
      </c>
      <c r="H60" s="74">
        <f>SUMIFS(разходи!$L:$L,разходи!$E:$E,'ПП Септември'!$C$60,разходи!$M:$M,'ПП Септември'!H2)</f>
        <v>0</v>
      </c>
      <c r="I60" s="74">
        <f>SUMIFS(разходи!$L:$L,разходи!$E:$E,'ПП Септември'!$C$60,разходи!$M:$M,'ПП Септември'!I2)</f>
        <v>0</v>
      </c>
      <c r="J60" s="76">
        <f>SUMIFS(разходи!$L:$L,разходи!$E:$E,'ПП Септември'!$C$60,разходи!$M:$M,'ПП Септември'!J2)</f>
        <v>0</v>
      </c>
      <c r="K60" s="76">
        <f>SUMIFS(разходи!$L:$L,разходи!$E:$E,'ПП Септември'!$C$60,разходи!$M:$M,'ПП Септември'!K2)</f>
        <v>0</v>
      </c>
      <c r="L60" s="76">
        <f>SUMIFS(разходи!$L:$L,разходи!$E:$E,'ПП Септември'!$C$60,разходи!$M:$M,'ПП Септември'!L2)</f>
        <v>0</v>
      </c>
      <c r="M60" s="74">
        <f>SUMIFS(разходи!$L:$L,разходи!$E:$E,'ПП Септември'!$C$60,разходи!$M:$M,'ПП Септември'!M2)</f>
        <v>0</v>
      </c>
      <c r="N60" s="74">
        <f>SUMIFS(разходи!$L:$L,разходи!$E:$E,'ПП Септември'!$C$60,разходи!$M:$M,'ПП Септември'!N2)</f>
        <v>0</v>
      </c>
      <c r="O60" s="74">
        <f>SUMIFS(разходи!$L:$L,разходи!$E:$E,'ПП Септември'!$C$60,разходи!$M:$M,'ПП Септември'!O2)</f>
        <v>0</v>
      </c>
      <c r="P60" s="74">
        <f>SUMIFS(разходи!$L:$L,разходи!$E:$E,'ПП Септември'!$C$60,разходи!$M:$M,'ПП Септември'!P2)</f>
        <v>0</v>
      </c>
      <c r="Q60" s="74">
        <f>SUMIFS(разходи!$L:$L,разходи!$E:$E,'ПП Септември'!$C$60,разходи!$M:$M,'ПП Септември'!Q2)</f>
        <v>0</v>
      </c>
      <c r="R60" s="76">
        <f>SUMIFS(разходи!$L:$L,разходи!$E:$E,'ПП Септември'!$C$60,разходи!$M:$M,'ПП Септември'!R2)</f>
        <v>0</v>
      </c>
      <c r="S60" s="76">
        <f>SUMIFS(разходи!$L:$L,разходи!$E:$E,'ПП Септември'!$C$60,разходи!$M:$M,'ПП Септември'!S2)</f>
        <v>0</v>
      </c>
      <c r="T60" s="74">
        <f>SUMIFS(разходи!$L:$L,разходи!$E:$E,'ПП Септември'!$C$60,разходи!$M:$M,'ПП Септември'!T2)</f>
        <v>0</v>
      </c>
      <c r="U60" s="74">
        <f>SUMIFS(разходи!$L:$L,разходи!$E:$E,'ПП Септември'!$C$60,разходи!$M:$M,'ПП Септември'!U2)</f>
        <v>0</v>
      </c>
      <c r="V60" s="74">
        <f>SUMIFS(разходи!$L:$L,разходи!$E:$E,'ПП Септември'!$C$60,разходи!$M:$M,'ПП Септември'!V2)</f>
        <v>0</v>
      </c>
      <c r="W60" s="74">
        <f>SUMIFS(разходи!$L:$L,разходи!$E:$E,'ПП Септември'!$C$60,разходи!$M:$M,'ПП Септември'!W2)</f>
        <v>0</v>
      </c>
      <c r="X60" s="74">
        <f>SUMIFS(разходи!$L:$L,разходи!$E:$E,'ПП Септември'!$C$60,разходи!$M:$M,'ПП Септември'!X2)</f>
        <v>0</v>
      </c>
      <c r="Y60" s="76">
        <f>SUMIFS(разходи!$L:$L,разходи!$E:$E,'ПП Септември'!$C$60,разходи!$M:$M,'ПП Септември'!Y2)</f>
        <v>0</v>
      </c>
      <c r="Z60" s="76">
        <f>SUMIFS(разходи!$L:$L,разходи!$E:$E,'ПП Септември'!$C$60,разходи!$M:$M,'ПП Септември'!Z2)</f>
        <v>0</v>
      </c>
      <c r="AA60" s="76">
        <f>SUMIFS(разходи!$L:$L,разходи!$E:$E,'ПП Септември'!$C$60,разходи!$M:$M,'ПП Септември'!AA2)</f>
        <v>0</v>
      </c>
      <c r="AB60" s="74">
        <f>SUMIFS(разходи!$L:$L,разходи!$E:$E,'ПП Септември'!$C$60,разходи!$M:$M,'ПП Септември'!AB2)</f>
        <v>0</v>
      </c>
      <c r="AC60" s="74">
        <f>SUMIFS(разходи!$L:$L,разходи!$E:$E,'ПП Септември'!$C$60,разходи!$M:$M,'ПП Септември'!AC2)</f>
        <v>0</v>
      </c>
      <c r="AD60" s="74">
        <f>SUMIFS(разходи!$L:$L,разходи!$E:$E,'ПП Септември'!$C$60,разходи!$M:$M,'ПП Септември'!AD2)</f>
        <v>0</v>
      </c>
      <c r="AE60" s="74">
        <f>SUMIFS(разходи!$L:$L,разходи!$E:$E,'ПП Септември'!$C$60,разходи!$M:$M,'ПП Септември'!AE2)</f>
        <v>0</v>
      </c>
      <c r="AF60" s="76">
        <f>SUMIFS(разходи!$L:$L,разходи!$E:$E,'ПП Септември'!$C$60,разходи!$M:$M,'ПП Септември'!AF2)</f>
        <v>0</v>
      </c>
      <c r="AG60" s="76">
        <f>SUMIFS(разходи!$L:$L,разходи!$E:$E,'ПП Септември'!$C$60,разходи!$M:$M,'ПП Септември'!AG2)</f>
        <v>0</v>
      </c>
      <c r="AH60" s="74">
        <f>SUMIFS(разходи!$L:$L,разходи!$E:$E,'ПП Септември'!$C$60,разходи!$M:$M,'ПП Септември'!AH2)</f>
        <v>0</v>
      </c>
      <c r="AI60" s="61">
        <f t="shared" si="16"/>
        <v>0</v>
      </c>
      <c r="AJ60" s="69">
        <f t="shared" si="17"/>
        <v>0</v>
      </c>
    </row>
    <row r="61" spans="1:36" s="39" customFormat="1" ht="20.100000000000001" hidden="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Септември'!$C$61,разходи!$M:$M,'ПП Септември'!E2)</f>
        <v>0</v>
      </c>
      <c r="F61" s="74">
        <f>SUMIFS(разходи!$L:$L,разходи!$E:$E,'ПП Септември'!$C$61,разходи!$M:$M,'ПП Септември'!F2)</f>
        <v>0</v>
      </c>
      <c r="G61" s="74">
        <f>SUMIFS(разходи!$L:$L,разходи!$E:$E,'ПП Септември'!$C$61,разходи!$M:$M,'ПП Септември'!G2)</f>
        <v>0</v>
      </c>
      <c r="H61" s="74">
        <f>SUMIFS(разходи!$L:$L,разходи!$E:$E,'ПП Септември'!$C$61,разходи!$M:$M,'ПП Септември'!H2)</f>
        <v>0</v>
      </c>
      <c r="I61" s="74">
        <f>SUMIFS(разходи!$L:$L,разходи!$E:$E,'ПП Септември'!$C$61,разходи!$M:$M,'ПП Септември'!I2)</f>
        <v>0</v>
      </c>
      <c r="J61" s="76">
        <f>SUMIFS(разходи!$L:$L,разходи!$E:$E,'ПП Септември'!$C$61,разходи!$M:$M,'ПП Септември'!J2)</f>
        <v>0</v>
      </c>
      <c r="K61" s="76">
        <f>SUMIFS(разходи!$L:$L,разходи!$E:$E,'ПП Септември'!$C$61,разходи!$M:$M,'ПП Септември'!K2)</f>
        <v>0</v>
      </c>
      <c r="L61" s="76">
        <f>SUMIFS(разходи!$L:$L,разходи!$E:$E,'ПП Септември'!$C$61,разходи!$M:$M,'ПП Септември'!L2)</f>
        <v>0</v>
      </c>
      <c r="M61" s="74">
        <f>SUMIFS(разходи!$L:$L,разходи!$E:$E,'ПП Септември'!$C$61,разходи!$M:$M,'ПП Септември'!M2)</f>
        <v>0</v>
      </c>
      <c r="N61" s="74">
        <f>SUMIFS(разходи!$L:$L,разходи!$E:$E,'ПП Септември'!$C$61,разходи!$M:$M,'ПП Септември'!N2)</f>
        <v>0</v>
      </c>
      <c r="O61" s="74">
        <f>SUMIFS(разходи!$L:$L,разходи!$E:$E,'ПП Септември'!$C$61,разходи!$M:$M,'ПП Септември'!O2)</f>
        <v>0</v>
      </c>
      <c r="P61" s="74">
        <f>SUMIFS(разходи!$L:$L,разходи!$E:$E,'ПП Септември'!$C$61,разходи!$M:$M,'ПП Септември'!P2)</f>
        <v>0</v>
      </c>
      <c r="Q61" s="74">
        <f>SUMIFS(разходи!$L:$L,разходи!$E:$E,'ПП Септември'!$C$61,разходи!$M:$M,'ПП Септември'!Q2)</f>
        <v>0</v>
      </c>
      <c r="R61" s="76">
        <f>SUMIFS(разходи!$L:$L,разходи!$E:$E,'ПП Септември'!$C$61,разходи!$M:$M,'ПП Септември'!R2)</f>
        <v>0</v>
      </c>
      <c r="S61" s="76">
        <f>SUMIFS(разходи!$L:$L,разходи!$E:$E,'ПП Септември'!$C$61,разходи!$M:$M,'ПП Септември'!S2)</f>
        <v>0</v>
      </c>
      <c r="T61" s="74">
        <f>SUMIFS(разходи!$L:$L,разходи!$E:$E,'ПП Септември'!$C$61,разходи!$M:$M,'ПП Септември'!T2)</f>
        <v>0</v>
      </c>
      <c r="U61" s="74">
        <f>SUMIFS(разходи!$L:$L,разходи!$E:$E,'ПП Септември'!$C$61,разходи!$M:$M,'ПП Септември'!U2)</f>
        <v>0</v>
      </c>
      <c r="V61" s="74">
        <f>SUMIFS(разходи!$L:$L,разходи!$E:$E,'ПП Септември'!$C$61,разходи!$M:$M,'ПП Септември'!V2)</f>
        <v>0</v>
      </c>
      <c r="W61" s="74">
        <f>SUMIFS(разходи!$L:$L,разходи!$E:$E,'ПП Септември'!$C$61,разходи!$M:$M,'ПП Септември'!W2)</f>
        <v>0</v>
      </c>
      <c r="X61" s="74">
        <f>SUMIFS(разходи!$L:$L,разходи!$E:$E,'ПП Септември'!$C$61,разходи!$M:$M,'ПП Септември'!X2)</f>
        <v>0</v>
      </c>
      <c r="Y61" s="76">
        <f>SUMIFS(разходи!$L:$L,разходи!$E:$E,'ПП Септември'!$C$61,разходи!$M:$M,'ПП Септември'!Y2)</f>
        <v>0</v>
      </c>
      <c r="Z61" s="76">
        <f>SUMIFS(разходи!$L:$L,разходи!$E:$E,'ПП Септември'!$C$61,разходи!$M:$M,'ПП Септември'!Z2)</f>
        <v>0</v>
      </c>
      <c r="AA61" s="76">
        <f>SUMIFS(разходи!$L:$L,разходи!$E:$E,'ПП Септември'!$C$61,разходи!$M:$M,'ПП Септември'!AA2)</f>
        <v>0</v>
      </c>
      <c r="AB61" s="74">
        <f>SUMIFS(разходи!$L:$L,разходи!$E:$E,'ПП Септември'!$C$61,разходи!$M:$M,'ПП Септември'!AB2)</f>
        <v>0</v>
      </c>
      <c r="AC61" s="74">
        <f>SUMIFS(разходи!$L:$L,разходи!$E:$E,'ПП Септември'!$C$61,разходи!$M:$M,'ПП Септември'!AC2)</f>
        <v>0</v>
      </c>
      <c r="AD61" s="74">
        <f>SUMIFS(разходи!$L:$L,разходи!$E:$E,'ПП Септември'!$C$61,разходи!$M:$M,'ПП Септември'!AD2)</f>
        <v>0</v>
      </c>
      <c r="AE61" s="74">
        <f>SUMIFS(разходи!$L:$L,разходи!$E:$E,'ПП Септември'!$C$61,разходи!$M:$M,'ПП Септември'!AE2)</f>
        <v>0</v>
      </c>
      <c r="AF61" s="76">
        <f>SUMIFS(разходи!$L:$L,разходи!$E:$E,'ПП Септември'!$C$61,разходи!$M:$M,'ПП Септември'!AF2)</f>
        <v>0</v>
      </c>
      <c r="AG61" s="76">
        <f>SUMIFS(разходи!$L:$L,разходи!$E:$E,'ПП Септември'!$C$61,разходи!$M:$M,'ПП Септември'!AG2)</f>
        <v>0</v>
      </c>
      <c r="AH61" s="74">
        <f>SUMIFS(разходи!$L:$L,разходи!$E:$E,'ПП Септември'!$C$61,разходи!$M:$M,'ПП Септември'!AH2)</f>
        <v>0</v>
      </c>
      <c r="AI61" s="61">
        <f t="shared" si="16"/>
        <v>0</v>
      </c>
      <c r="AJ61" s="69">
        <f t="shared" si="17"/>
        <v>0</v>
      </c>
    </row>
    <row r="62" spans="1:36" s="39" customFormat="1" ht="20.100000000000001" hidden="1" customHeight="1" outlineLevel="1" collapsed="1" x14ac:dyDescent="0.3">
      <c r="A62" s="37"/>
      <c r="B62" s="38"/>
      <c r="C62" s="32" t="s">
        <v>875</v>
      </c>
      <c r="D62" s="80"/>
      <c r="E62" s="76">
        <f t="shared" ref="E62:AH62" si="23">SUM(E63:E65)</f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6">
        <f t="shared" si="23"/>
        <v>0</v>
      </c>
      <c r="K62" s="76">
        <f t="shared" si="23"/>
        <v>0</v>
      </c>
      <c r="L62" s="76">
        <f t="shared" si="23"/>
        <v>0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0</v>
      </c>
      <c r="Q62" s="74">
        <f t="shared" si="23"/>
        <v>0</v>
      </c>
      <c r="R62" s="76">
        <f t="shared" si="23"/>
        <v>0</v>
      </c>
      <c r="S62" s="76">
        <f t="shared" si="23"/>
        <v>0</v>
      </c>
      <c r="T62" s="74">
        <f t="shared" si="23"/>
        <v>0</v>
      </c>
      <c r="U62" s="74">
        <f t="shared" si="23"/>
        <v>0</v>
      </c>
      <c r="V62" s="74">
        <f t="shared" si="23"/>
        <v>0</v>
      </c>
      <c r="W62" s="74">
        <f t="shared" si="23"/>
        <v>0</v>
      </c>
      <c r="X62" s="74">
        <f t="shared" si="23"/>
        <v>0</v>
      </c>
      <c r="Y62" s="76">
        <f t="shared" si="23"/>
        <v>0</v>
      </c>
      <c r="Z62" s="76">
        <f t="shared" si="23"/>
        <v>0</v>
      </c>
      <c r="AA62" s="76">
        <f t="shared" si="23"/>
        <v>0</v>
      </c>
      <c r="AB62" s="74">
        <f t="shared" si="23"/>
        <v>13606.669999999998</v>
      </c>
      <c r="AC62" s="74">
        <f t="shared" si="23"/>
        <v>0</v>
      </c>
      <c r="AD62" s="74">
        <f t="shared" si="23"/>
        <v>0</v>
      </c>
      <c r="AE62" s="74">
        <f t="shared" si="23"/>
        <v>0</v>
      </c>
      <c r="AF62" s="76">
        <f t="shared" si="23"/>
        <v>0</v>
      </c>
      <c r="AG62" s="76">
        <f t="shared" si="23"/>
        <v>0</v>
      </c>
      <c r="AH62" s="74">
        <f t="shared" si="23"/>
        <v>0</v>
      </c>
      <c r="AI62" s="61">
        <f t="shared" si="16"/>
        <v>13606.669999999998</v>
      </c>
      <c r="AJ62" s="69">
        <f t="shared" si="17"/>
        <v>-13606.669999999998</v>
      </c>
    </row>
    <row r="63" spans="1:36" s="39" customFormat="1" ht="20.100000000000001" hidden="1" customHeight="1" outlineLevel="2" x14ac:dyDescent="0.3">
      <c r="A63" s="37"/>
      <c r="B63" s="38"/>
      <c r="C63" s="50" t="s">
        <v>876</v>
      </c>
      <c r="D63" s="80">
        <v>43000</v>
      </c>
      <c r="E63" s="76">
        <f>SUMIFS(разходи!$L:$L,разходи!$E:$E,'ПП Септември'!$C$63,разходи!$M:$M,'ПП Септември'!E2)</f>
        <v>0</v>
      </c>
      <c r="F63" s="74">
        <f>SUMIFS(разходи!$L:$L,разходи!$E:$E,'ПП Септември'!$C$63,разходи!$M:$M,'ПП Септември'!F2)</f>
        <v>0</v>
      </c>
      <c r="G63" s="74">
        <f>SUMIFS(разходи!$L:$L,разходи!$E:$E,'ПП Септември'!$C$63,разходи!$M:$M,'ПП Септември'!G2)</f>
        <v>0</v>
      </c>
      <c r="H63" s="74">
        <f>SUMIFS(разходи!$L:$L,разходи!$E:$E,'ПП Септември'!$C$63,разходи!$M:$M,'ПП Септември'!H2)</f>
        <v>0</v>
      </c>
      <c r="I63" s="74">
        <f>SUMIFS(разходи!$L:$L,разходи!$E:$E,'ПП Септември'!$C$63,разходи!$M:$M,'ПП Септември'!I2)</f>
        <v>0</v>
      </c>
      <c r="J63" s="76">
        <f>SUMIFS(разходи!$L:$L,разходи!$E:$E,'ПП Септември'!$C$63,разходи!$M:$M,'ПП Септември'!J2)</f>
        <v>0</v>
      </c>
      <c r="K63" s="76">
        <f>SUMIFS(разходи!$L:$L,разходи!$E:$E,'ПП Септември'!$C$63,разходи!$M:$M,'ПП Септември'!K2)</f>
        <v>0</v>
      </c>
      <c r="L63" s="76">
        <f>SUMIFS(разходи!$L:$L,разходи!$E:$E,'ПП Септември'!$C$63,разходи!$M:$M,'ПП Септември'!L2)</f>
        <v>0</v>
      </c>
      <c r="M63" s="74">
        <f>SUMIFS(разходи!$L:$L,разходи!$E:$E,'ПП Септември'!$C$63,разходи!$M:$M,'ПП Септември'!M2)</f>
        <v>0</v>
      </c>
      <c r="N63" s="74">
        <f>SUMIFS(разходи!$L:$L,разходи!$E:$E,'ПП Септември'!$C$63,разходи!$M:$M,'ПП Септември'!N2)</f>
        <v>0</v>
      </c>
      <c r="O63" s="74">
        <f>SUMIFS(разходи!$L:$L,разходи!$E:$E,'ПП Септември'!$C$63,разходи!$M:$M,'ПП Септември'!O2)</f>
        <v>0</v>
      </c>
      <c r="P63" s="74">
        <f>SUMIFS(разходи!$L:$L,разходи!$E:$E,'ПП Септември'!$C$63,разходи!$M:$M,'ПП Септември'!P2)</f>
        <v>0</v>
      </c>
      <c r="Q63" s="74">
        <f>SUMIFS(разходи!$L:$L,разходи!$E:$E,'ПП Септември'!$C$63,разходи!$M:$M,'ПП Септември'!Q2)</f>
        <v>0</v>
      </c>
      <c r="R63" s="76">
        <f>SUMIFS(разходи!$L:$L,разходи!$E:$E,'ПП Септември'!$C$63,разходи!$M:$M,'ПП Септември'!R2)</f>
        <v>0</v>
      </c>
      <c r="S63" s="76">
        <f>SUMIFS(разходи!$L:$L,разходи!$E:$E,'ПП Септември'!$C$63,разходи!$M:$M,'ПП Септември'!S2)</f>
        <v>0</v>
      </c>
      <c r="T63" s="74">
        <f>SUMIFS(разходи!$L:$L,разходи!$E:$E,'ПП Септември'!$C$63,разходи!$M:$M,'ПП Септември'!T2)</f>
        <v>0</v>
      </c>
      <c r="U63" s="74">
        <f>SUMIFS(разходи!$L:$L,разходи!$E:$E,'ПП Септември'!$C$63,разходи!$M:$M,'ПП Септември'!U2)</f>
        <v>0</v>
      </c>
      <c r="V63" s="74">
        <f>SUMIFS(разходи!$L:$L,разходи!$E:$E,'ПП Септември'!$C$63,разходи!$M:$M,'ПП Септември'!V2)</f>
        <v>0</v>
      </c>
      <c r="W63" s="74">
        <f>SUMIFS(разходи!$L:$L,разходи!$E:$E,'ПП Септември'!$C$63,разходи!$M:$M,'ПП Септември'!W2)</f>
        <v>0</v>
      </c>
      <c r="X63" s="74">
        <f>SUMIFS(разходи!$L:$L,разходи!$E:$E,'ПП Септември'!$C$63,разходи!$M:$M,'ПП Септември'!X2)</f>
        <v>0</v>
      </c>
      <c r="Y63" s="76">
        <f>SUMIFS(разходи!$L:$L,разходи!$E:$E,'ПП Септември'!$C$63,разходи!$M:$M,'ПП Септември'!Y2)</f>
        <v>0</v>
      </c>
      <c r="Z63" s="76">
        <f>SUMIFS(разходи!$L:$L,разходи!$E:$E,'ПП Септември'!$C$63,разходи!$M:$M,'ПП Септември'!Z2)</f>
        <v>0</v>
      </c>
      <c r="AA63" s="76">
        <f>SUMIFS(разходи!$L:$L,разходи!$E:$E,'ПП Септември'!$C$63,разходи!$M:$M,'ПП Септември'!AA2)</f>
        <v>0</v>
      </c>
      <c r="AB63" s="74">
        <f>SUMIFS(разходи!$L:$L,разходи!$E:$E,'ПП Септември'!$C$63,разходи!$M:$M,'ПП Септември'!AB2)</f>
        <v>0</v>
      </c>
      <c r="AC63" s="74">
        <f>SUMIFS(разходи!$L:$L,разходи!$E:$E,'ПП Септември'!$C$63,разходи!$M:$M,'ПП Септември'!AC2)</f>
        <v>0</v>
      </c>
      <c r="AD63" s="74">
        <f>SUMIFS(разходи!$L:$L,разходи!$E:$E,'ПП Септември'!$C$63,разходи!$M:$M,'ПП Септември'!AD2)</f>
        <v>0</v>
      </c>
      <c r="AE63" s="74">
        <f>SUMIFS(разходи!$L:$L,разходи!$E:$E,'ПП Септември'!$C$63,разходи!$M:$M,'ПП Септември'!AE2)</f>
        <v>0</v>
      </c>
      <c r="AF63" s="76">
        <f>SUMIFS(разходи!$L:$L,разходи!$E:$E,'ПП Септември'!$C$63,разходи!$M:$M,'ПП Септември'!AF2)</f>
        <v>0</v>
      </c>
      <c r="AG63" s="76">
        <f>SUMIFS(разходи!$L:$L,разходи!$E:$E,'ПП Септември'!$C$63,разходи!$M:$M,'ПП Септември'!AG2)</f>
        <v>0</v>
      </c>
      <c r="AH63" s="74">
        <f>SUMIFS(разходи!$L:$L,разходи!$E:$E,'ПП Септември'!$C$63,разходи!$M:$M,'ПП Септември'!AH2)</f>
        <v>0</v>
      </c>
      <c r="AI63" s="61">
        <f t="shared" si="16"/>
        <v>0</v>
      </c>
      <c r="AJ63" s="69">
        <f t="shared" si="17"/>
        <v>43000</v>
      </c>
    </row>
    <row r="64" spans="1:36" s="39" customFormat="1" ht="20.100000000000001" hidden="1" customHeight="1" outlineLevel="2" x14ac:dyDescent="0.3">
      <c r="A64" s="37"/>
      <c r="B64" s="38"/>
      <c r="C64" s="50" t="s">
        <v>623</v>
      </c>
      <c r="D64" s="80"/>
      <c r="E64" s="76">
        <f>SUMIFS(разходи!$L:$L,разходи!$E:$E,'ПП Септември'!$C$64,разходи!$M:$M,'ПП Септември'!E2)</f>
        <v>0</v>
      </c>
      <c r="F64" s="74">
        <f>SUMIFS(разходи!$L:$L,разходи!$E:$E,'ПП Септември'!$C$64,разходи!$M:$M,'ПП Септември'!F2)</f>
        <v>0</v>
      </c>
      <c r="G64" s="74">
        <f>SUMIFS(разходи!$L:$L,разходи!$E:$E,'ПП Септември'!$C$64,разходи!$M:$M,'ПП Септември'!G2)</f>
        <v>0</v>
      </c>
      <c r="H64" s="74">
        <f>SUMIFS(разходи!$L:$L,разходи!$E:$E,'ПП Септември'!$C$64,разходи!$M:$M,'ПП Септември'!H2)</f>
        <v>0</v>
      </c>
      <c r="I64" s="74">
        <f>SUMIFS(разходи!$L:$L,разходи!$E:$E,'ПП Септември'!$C$64,разходи!$M:$M,'ПП Септември'!I2)</f>
        <v>0</v>
      </c>
      <c r="J64" s="76">
        <f>SUMIFS(разходи!$L:$L,разходи!$E:$E,'ПП Септември'!$C$64,разходи!$M:$M,'ПП Септември'!J2)</f>
        <v>0</v>
      </c>
      <c r="K64" s="76">
        <f>SUMIFS(разходи!$L:$L,разходи!$E:$E,'ПП Септември'!$C$64,разходи!$M:$M,'ПП Септември'!K2)</f>
        <v>0</v>
      </c>
      <c r="L64" s="76">
        <f>SUMIFS(разходи!$L:$L,разходи!$E:$E,'ПП Септември'!$C$64,разходи!$M:$M,'ПП Септември'!L2)</f>
        <v>0</v>
      </c>
      <c r="M64" s="74">
        <f>SUMIFS(разходи!$L:$L,разходи!$E:$E,'ПП Септември'!$C$64,разходи!$M:$M,'ПП Септември'!M2)</f>
        <v>0</v>
      </c>
      <c r="N64" s="74">
        <f>SUMIFS(разходи!$L:$L,разходи!$E:$E,'ПП Септември'!$C$64,разходи!$M:$M,'ПП Септември'!N2)</f>
        <v>0</v>
      </c>
      <c r="O64" s="74">
        <f>SUMIFS(разходи!$L:$L,разходи!$E:$E,'ПП Септември'!$C$64,разходи!$M:$M,'ПП Септември'!O2)</f>
        <v>0</v>
      </c>
      <c r="P64" s="74">
        <f>SUMIFS(разходи!$L:$L,разходи!$E:$E,'ПП Септември'!$C$64,разходи!$M:$M,'ПП Септември'!P2)</f>
        <v>0</v>
      </c>
      <c r="Q64" s="74">
        <f>SUMIFS(разходи!$L:$L,разходи!$E:$E,'ПП Септември'!$C$64,разходи!$M:$M,'ПП Септември'!Q2)</f>
        <v>0</v>
      </c>
      <c r="R64" s="76">
        <f>SUMIFS(разходи!$L:$L,разходи!$E:$E,'ПП Септември'!$C$64,разходи!$M:$M,'ПП Септември'!R2)</f>
        <v>0</v>
      </c>
      <c r="S64" s="76">
        <f>SUMIFS(разходи!$L:$L,разходи!$E:$E,'ПП Септември'!$C$64,разходи!$M:$M,'ПП Септември'!S2)</f>
        <v>0</v>
      </c>
      <c r="T64" s="74">
        <f>SUMIFS(разходи!$L:$L,разходи!$E:$E,'ПП Септември'!$C$64,разходи!$M:$M,'ПП Септември'!T2)</f>
        <v>0</v>
      </c>
      <c r="U64" s="74">
        <f>SUMIFS(разходи!$L:$L,разходи!$E:$E,'ПП Септември'!$C$64,разходи!$M:$M,'ПП Септември'!U2)</f>
        <v>0</v>
      </c>
      <c r="V64" s="74">
        <f>SUMIFS(разходи!$L:$L,разходи!$E:$E,'ПП Септември'!$C$64,разходи!$M:$M,'ПП Септември'!V2)</f>
        <v>0</v>
      </c>
      <c r="W64" s="74">
        <f>SUMIFS(разходи!$L:$L,разходи!$E:$E,'ПП Септември'!$C$64,разходи!$M:$M,'ПП Септември'!W2)</f>
        <v>0</v>
      </c>
      <c r="X64" s="74">
        <f>SUMIFS(разходи!$L:$L,разходи!$E:$E,'ПП Септември'!$C$64,разходи!$M:$M,'ПП Септември'!X2)</f>
        <v>0</v>
      </c>
      <c r="Y64" s="76">
        <f>SUMIFS(разходи!$L:$L,разходи!$E:$E,'ПП Септември'!$C$64,разходи!$M:$M,'ПП Септември'!Y2)</f>
        <v>0</v>
      </c>
      <c r="Z64" s="76">
        <f>SUMIFS(разходи!$L:$L,разходи!$E:$E,'ПП Септември'!$C$64,разходи!$M:$M,'ПП Септември'!Z2)</f>
        <v>0</v>
      </c>
      <c r="AA64" s="76">
        <f>SUMIFS(разходи!$L:$L,разходи!$E:$E,'ПП Септември'!$C$64,разходи!$M:$M,'ПП Септември'!AA2)</f>
        <v>0</v>
      </c>
      <c r="AB64" s="74">
        <f>SUMIFS(разходи!$L:$L,разходи!$E:$E,'ПП Септември'!$C$64,разходи!$M:$M,'ПП Септември'!AB2)</f>
        <v>13606.669999999998</v>
      </c>
      <c r="AC64" s="74">
        <f>SUMIFS(разходи!$L:$L,разходи!$E:$E,'ПП Септември'!$C$64,разходи!$M:$M,'ПП Септември'!AC2)</f>
        <v>0</v>
      </c>
      <c r="AD64" s="74">
        <f>SUMIFS(разходи!$L:$L,разходи!$E:$E,'ПП Септември'!$C$64,разходи!$M:$M,'ПП Септември'!AD2)</f>
        <v>0</v>
      </c>
      <c r="AE64" s="74">
        <f>SUMIFS(разходи!$L:$L,разходи!$E:$E,'ПП Септември'!$C$64,разходи!$M:$M,'ПП Септември'!AE2)</f>
        <v>0</v>
      </c>
      <c r="AF64" s="76">
        <f>SUMIFS(разходи!$L:$L,разходи!$E:$E,'ПП Септември'!$C$64,разходи!$M:$M,'ПП Септември'!AF2)</f>
        <v>0</v>
      </c>
      <c r="AG64" s="76">
        <f>SUMIFS(разходи!$L:$L,разходи!$E:$E,'ПП Септември'!$C$64,разходи!$M:$M,'ПП Септември'!AG2)</f>
        <v>0</v>
      </c>
      <c r="AH64" s="74">
        <f>SUMIFS(разходи!$L:$L,разходи!$E:$E,'ПП Септември'!$C$64,разходи!$M:$M,'ПП Септември'!AH2)</f>
        <v>0</v>
      </c>
      <c r="AI64" s="61">
        <f t="shared" si="16"/>
        <v>13606.669999999998</v>
      </c>
      <c r="AJ64" s="69">
        <f t="shared" si="17"/>
        <v>-13606.669999999998</v>
      </c>
    </row>
    <row r="65" spans="1:37" s="39" customFormat="1" ht="20.100000000000001" hidden="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Септември'!$C$65,разходи!$M:$M,'ПП Септември'!E2)</f>
        <v>0</v>
      </c>
      <c r="F65" s="74">
        <f>SUMIFS(разходи!$L:$L,разходи!$E:$E,'ПП Септември'!$C$65,разходи!$M:$M,'ПП Септември'!F2)</f>
        <v>0</v>
      </c>
      <c r="G65" s="74">
        <f>SUMIFS(разходи!$L:$L,разходи!$E:$E,'ПП Септември'!$C$65,разходи!$M:$M,'ПП Септември'!G2)</f>
        <v>0</v>
      </c>
      <c r="H65" s="74">
        <f>SUMIFS(разходи!$L:$L,разходи!$E:$E,'ПП Септември'!$C$65,разходи!$M:$M,'ПП Септември'!H2)</f>
        <v>0</v>
      </c>
      <c r="I65" s="74">
        <f>SUMIFS(разходи!$L:$L,разходи!$E:$E,'ПП Септември'!$C$65,разходи!$M:$M,'ПП Септември'!I2)</f>
        <v>0</v>
      </c>
      <c r="J65" s="76">
        <f>SUMIFS(разходи!$L:$L,разходи!$E:$E,'ПП Септември'!$C$65,разходи!$M:$M,'ПП Септември'!J2)</f>
        <v>0</v>
      </c>
      <c r="K65" s="76">
        <f>SUMIFS(разходи!$L:$L,разходи!$E:$E,'ПП Септември'!$C$65,разходи!$M:$M,'ПП Септември'!K2)</f>
        <v>0</v>
      </c>
      <c r="L65" s="76">
        <f>SUMIFS(разходи!$L:$L,разходи!$E:$E,'ПП Септември'!$C$65,разходи!$M:$M,'ПП Септември'!L2)</f>
        <v>0</v>
      </c>
      <c r="M65" s="74">
        <f>SUMIFS(разходи!$L:$L,разходи!$E:$E,'ПП Септември'!$C$65,разходи!$M:$M,'ПП Септември'!M2)</f>
        <v>0</v>
      </c>
      <c r="N65" s="74">
        <f>SUMIFS(разходи!$L:$L,разходи!$E:$E,'ПП Септември'!$C$65,разходи!$M:$M,'ПП Септември'!N2)</f>
        <v>0</v>
      </c>
      <c r="O65" s="74">
        <f>SUMIFS(разходи!$L:$L,разходи!$E:$E,'ПП Септември'!$C$65,разходи!$M:$M,'ПП Септември'!O2)</f>
        <v>0</v>
      </c>
      <c r="P65" s="74">
        <f>SUMIFS(разходи!$L:$L,разходи!$E:$E,'ПП Септември'!$C$65,разходи!$M:$M,'ПП Септември'!P2)</f>
        <v>0</v>
      </c>
      <c r="Q65" s="74">
        <f>SUMIFS(разходи!$L:$L,разходи!$E:$E,'ПП Септември'!$C$65,разходи!$M:$M,'ПП Септември'!Q2)</f>
        <v>0</v>
      </c>
      <c r="R65" s="76">
        <f>SUMIFS(разходи!$L:$L,разходи!$E:$E,'ПП Септември'!$C$65,разходи!$M:$M,'ПП Септември'!R2)</f>
        <v>0</v>
      </c>
      <c r="S65" s="76">
        <f>SUMIFS(разходи!$L:$L,разходи!$E:$E,'ПП Септември'!$C$65,разходи!$M:$M,'ПП Септември'!S2)</f>
        <v>0</v>
      </c>
      <c r="T65" s="74">
        <f>SUMIFS(разходи!$L:$L,разходи!$E:$E,'ПП Септември'!$C$65,разходи!$M:$M,'ПП Септември'!T2)</f>
        <v>0</v>
      </c>
      <c r="U65" s="74">
        <f>SUMIFS(разходи!$L:$L,разходи!$E:$E,'ПП Септември'!$C$65,разходи!$M:$M,'ПП Септември'!U2)</f>
        <v>0</v>
      </c>
      <c r="V65" s="74">
        <f>SUMIFS(разходи!$L:$L,разходи!$E:$E,'ПП Септември'!$C$65,разходи!$M:$M,'ПП Септември'!V2)</f>
        <v>0</v>
      </c>
      <c r="W65" s="74">
        <f>SUMIFS(разходи!$L:$L,разходи!$E:$E,'ПП Септември'!$C$65,разходи!$M:$M,'ПП Септември'!W2)</f>
        <v>0</v>
      </c>
      <c r="X65" s="74">
        <f>SUMIFS(разходи!$L:$L,разходи!$E:$E,'ПП Септември'!$C$65,разходи!$M:$M,'ПП Септември'!X2)</f>
        <v>0</v>
      </c>
      <c r="Y65" s="76">
        <f>SUMIFS(разходи!$L:$L,разходи!$E:$E,'ПП Септември'!$C$65,разходи!$M:$M,'ПП Септември'!Y2)</f>
        <v>0</v>
      </c>
      <c r="Z65" s="76">
        <f>SUMIFS(разходи!$L:$L,разходи!$E:$E,'ПП Септември'!$C$65,разходи!$M:$M,'ПП Септември'!Z2)</f>
        <v>0</v>
      </c>
      <c r="AA65" s="76">
        <f>SUMIFS(разходи!$L:$L,разходи!$E:$E,'ПП Септември'!$C$65,разходи!$M:$M,'ПП Септември'!AA2)</f>
        <v>0</v>
      </c>
      <c r="AB65" s="74">
        <f>SUMIFS(разходи!$L:$L,разходи!$E:$E,'ПП Септември'!$C$65,разходи!$M:$M,'ПП Септември'!AB2)</f>
        <v>0</v>
      </c>
      <c r="AC65" s="74">
        <f>SUMIFS(разходи!$L:$L,разходи!$E:$E,'ПП Септември'!$C$65,разходи!$M:$M,'ПП Септември'!AC2)</f>
        <v>0</v>
      </c>
      <c r="AD65" s="74">
        <f>SUMIFS(разходи!$L:$L,разходи!$E:$E,'ПП Септември'!$C$65,разходи!$M:$M,'ПП Септември'!AD2)</f>
        <v>0</v>
      </c>
      <c r="AE65" s="74">
        <f>SUMIFS(разходи!$L:$L,разходи!$E:$E,'ПП Септември'!$C$65,разходи!$M:$M,'ПП Септември'!AE2)</f>
        <v>0</v>
      </c>
      <c r="AF65" s="76">
        <f>SUMIFS(разходи!$L:$L,разходи!$E:$E,'ПП Септември'!$C$65,разходи!$M:$M,'ПП Септември'!AF2)</f>
        <v>0</v>
      </c>
      <c r="AG65" s="76">
        <f>SUMIFS(разходи!$L:$L,разходи!$E:$E,'ПП Септември'!$C$65,разходи!$M:$M,'ПП Септември'!AG2)</f>
        <v>0</v>
      </c>
      <c r="AH65" s="74">
        <f>SUMIFS(разходи!$L:$L,разходи!$E:$E,'ПП Септември'!$C$65,разходи!$M:$M,'ПП Септември'!AH2)</f>
        <v>0</v>
      </c>
      <c r="AI65" s="61">
        <f t="shared" si="16"/>
        <v>0</v>
      </c>
      <c r="AJ65" s="69">
        <f t="shared" si="17"/>
        <v>0</v>
      </c>
    </row>
    <row r="66" spans="1:37" s="47" customFormat="1" ht="20.100000000000001" customHeight="1" collapsed="1" x14ac:dyDescent="0.25">
      <c r="A66" s="44"/>
      <c r="B66" s="45" t="s">
        <v>878</v>
      </c>
      <c r="C66" s="46" t="s">
        <v>879</v>
      </c>
      <c r="D66" s="54">
        <f t="shared" ref="D66:AH66" si="24">D3-D23</f>
        <v>7347957.5381099582</v>
      </c>
      <c r="E66" s="54">
        <f t="shared" si="24"/>
        <v>4691.1000000000004</v>
      </c>
      <c r="F66" s="54">
        <f t="shared" si="24"/>
        <v>-2065.85</v>
      </c>
      <c r="G66" s="54">
        <f t="shared" si="24"/>
        <v>-17431.88</v>
      </c>
      <c r="H66" s="54">
        <f t="shared" si="24"/>
        <v>-22569.09</v>
      </c>
      <c r="I66" s="54">
        <f t="shared" si="24"/>
        <v>-33420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-231985.12703999999</v>
      </c>
      <c r="N66" s="54">
        <f t="shared" si="24"/>
        <v>-8359.64</v>
      </c>
      <c r="O66" s="54">
        <f t="shared" si="24"/>
        <v>-574388.06400000001</v>
      </c>
      <c r="P66" s="54">
        <f t="shared" si="24"/>
        <v>-129090.91374779999</v>
      </c>
      <c r="Q66" s="54">
        <f t="shared" si="24"/>
        <v>-1049494.554</v>
      </c>
      <c r="R66" s="54">
        <f t="shared" si="24"/>
        <v>0</v>
      </c>
      <c r="S66" s="54">
        <f t="shared" si="24"/>
        <v>1784.2439999999999</v>
      </c>
      <c r="T66" s="54">
        <f t="shared" si="24"/>
        <v>-25254.98697795</v>
      </c>
      <c r="U66" s="54">
        <f t="shared" si="24"/>
        <v>-200162.52000000002</v>
      </c>
      <c r="V66" s="54">
        <f t="shared" si="24"/>
        <v>-77966.959999999992</v>
      </c>
      <c r="W66" s="54">
        <f t="shared" si="24"/>
        <v>-215950.25372061902</v>
      </c>
      <c r="X66" s="54">
        <f t="shared" si="24"/>
        <v>-83879.88</v>
      </c>
      <c r="Y66" s="54">
        <f t="shared" si="24"/>
        <v>0</v>
      </c>
      <c r="Z66" s="54">
        <f t="shared" si="24"/>
        <v>0</v>
      </c>
      <c r="AA66" s="54">
        <f t="shared" si="24"/>
        <v>1617.396</v>
      </c>
      <c r="AB66" s="54">
        <f t="shared" si="24"/>
        <v>-262275.88999999996</v>
      </c>
      <c r="AC66" s="54">
        <f t="shared" si="24"/>
        <v>1065940.9819999998</v>
      </c>
      <c r="AD66" s="54">
        <f t="shared" si="24"/>
        <v>-421837.179</v>
      </c>
      <c r="AE66" s="54">
        <f t="shared" si="24"/>
        <v>-263682</v>
      </c>
      <c r="AF66" s="54">
        <f t="shared" si="24"/>
        <v>0</v>
      </c>
      <c r="AG66" s="54">
        <f t="shared" si="24"/>
        <v>0</v>
      </c>
      <c r="AH66" s="54">
        <f t="shared" si="24"/>
        <v>-62972.639999999999</v>
      </c>
      <c r="AI66" s="54">
        <f t="shared" si="16"/>
        <v>-2608753.7064863695</v>
      </c>
      <c r="AJ66" s="54">
        <f t="shared" si="17"/>
        <v>9956711.2445963286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72" spans="1:37" s="225" customFormat="1" ht="18.75" x14ac:dyDescent="0.3">
      <c r="C72" s="276" t="s">
        <v>1191</v>
      </c>
      <c r="D72" s="277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9"/>
      <c r="R72" s="279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0"/>
      <c r="AK72" s="238"/>
    </row>
    <row r="73" spans="1:37" s="225" customFormat="1" x14ac:dyDescent="0.25">
      <c r="A73" s="226"/>
      <c r="B73" s="227"/>
      <c r="C73" s="228" t="s">
        <v>842</v>
      </c>
      <c r="D73" s="228" t="s">
        <v>843</v>
      </c>
      <c r="E73" s="229">
        <v>45536</v>
      </c>
      <c r="F73" s="230">
        <f t="shared" ref="F73:AH73" si="25">+E73+1</f>
        <v>45537</v>
      </c>
      <c r="G73" s="230">
        <f t="shared" si="25"/>
        <v>45538</v>
      </c>
      <c r="H73" s="230">
        <f t="shared" si="25"/>
        <v>45539</v>
      </c>
      <c r="I73" s="230">
        <f t="shared" si="25"/>
        <v>45540</v>
      </c>
      <c r="J73" s="229">
        <f t="shared" si="25"/>
        <v>45541</v>
      </c>
      <c r="K73" s="229">
        <f t="shared" si="25"/>
        <v>45542</v>
      </c>
      <c r="L73" s="229">
        <f t="shared" si="25"/>
        <v>45543</v>
      </c>
      <c r="M73" s="230">
        <f t="shared" si="25"/>
        <v>45544</v>
      </c>
      <c r="N73" s="230">
        <f t="shared" si="25"/>
        <v>45545</v>
      </c>
      <c r="O73" s="230">
        <f t="shared" si="25"/>
        <v>45546</v>
      </c>
      <c r="P73" s="230">
        <f t="shared" si="25"/>
        <v>45547</v>
      </c>
      <c r="Q73" s="231">
        <f t="shared" si="25"/>
        <v>45548</v>
      </c>
      <c r="R73" s="275">
        <f t="shared" si="25"/>
        <v>45549</v>
      </c>
      <c r="S73" s="229">
        <f t="shared" si="25"/>
        <v>45550</v>
      </c>
      <c r="T73" s="230">
        <f t="shared" si="25"/>
        <v>45551</v>
      </c>
      <c r="U73" s="230">
        <f t="shared" si="25"/>
        <v>45552</v>
      </c>
      <c r="V73" s="230">
        <f t="shared" si="25"/>
        <v>45553</v>
      </c>
      <c r="W73" s="230">
        <f t="shared" si="25"/>
        <v>45554</v>
      </c>
      <c r="X73" s="230">
        <f t="shared" si="25"/>
        <v>45555</v>
      </c>
      <c r="Y73" s="229">
        <f t="shared" si="25"/>
        <v>45556</v>
      </c>
      <c r="Z73" s="229">
        <f t="shared" si="25"/>
        <v>45557</v>
      </c>
      <c r="AA73" s="229">
        <f t="shared" si="25"/>
        <v>45558</v>
      </c>
      <c r="AB73" s="230">
        <f t="shared" si="25"/>
        <v>45559</v>
      </c>
      <c r="AC73" s="230">
        <f t="shared" si="25"/>
        <v>45560</v>
      </c>
      <c r="AD73" s="230">
        <f t="shared" si="25"/>
        <v>45561</v>
      </c>
      <c r="AE73" s="230">
        <f t="shared" si="25"/>
        <v>45562</v>
      </c>
      <c r="AF73" s="229">
        <f t="shared" si="25"/>
        <v>45563</v>
      </c>
      <c r="AG73" s="229">
        <f t="shared" si="25"/>
        <v>45564</v>
      </c>
      <c r="AH73" s="230">
        <f t="shared" si="25"/>
        <v>45565</v>
      </c>
      <c r="AI73" s="232" t="s">
        <v>844</v>
      </c>
      <c r="AJ73" s="233" t="s">
        <v>845</v>
      </c>
    </row>
    <row r="74" spans="1:37" s="238" customFormat="1" ht="18.75" x14ac:dyDescent="0.3">
      <c r="A74" s="234"/>
      <c r="B74" s="235" t="s">
        <v>846</v>
      </c>
      <c r="C74" s="236" t="s">
        <v>847</v>
      </c>
      <c r="D74" s="237">
        <f t="shared" ref="D74:AH74" si="26">SUM(D75,D82)</f>
        <v>0</v>
      </c>
      <c r="E74" s="237">
        <f t="shared" si="26"/>
        <v>0</v>
      </c>
      <c r="F74" s="237">
        <f t="shared" si="26"/>
        <v>0</v>
      </c>
      <c r="G74" s="237">
        <f t="shared" si="26"/>
        <v>0</v>
      </c>
      <c r="H74" s="237">
        <f t="shared" si="26"/>
        <v>0</v>
      </c>
      <c r="I74" s="237">
        <f t="shared" si="26"/>
        <v>0</v>
      </c>
      <c r="J74" s="237">
        <f t="shared" si="26"/>
        <v>0</v>
      </c>
      <c r="K74" s="237">
        <f t="shared" si="26"/>
        <v>0</v>
      </c>
      <c r="L74" s="237">
        <f t="shared" si="26"/>
        <v>0</v>
      </c>
      <c r="M74" s="237">
        <f t="shared" si="26"/>
        <v>0</v>
      </c>
      <c r="N74" s="237">
        <f t="shared" si="26"/>
        <v>0</v>
      </c>
      <c r="O74" s="237">
        <f t="shared" si="26"/>
        <v>0</v>
      </c>
      <c r="P74" s="237">
        <f t="shared" si="26"/>
        <v>0</v>
      </c>
      <c r="Q74" s="237">
        <f t="shared" si="26"/>
        <v>0</v>
      </c>
      <c r="R74" s="237">
        <f t="shared" si="26"/>
        <v>0</v>
      </c>
      <c r="S74" s="237">
        <f t="shared" si="26"/>
        <v>0</v>
      </c>
      <c r="T74" s="237">
        <f t="shared" si="26"/>
        <v>0</v>
      </c>
      <c r="U74" s="237">
        <f t="shared" si="26"/>
        <v>0</v>
      </c>
      <c r="V74" s="237">
        <f t="shared" si="26"/>
        <v>0</v>
      </c>
      <c r="W74" s="237">
        <f t="shared" si="26"/>
        <v>0</v>
      </c>
      <c r="X74" s="237">
        <f t="shared" si="26"/>
        <v>0</v>
      </c>
      <c r="Y74" s="237">
        <f t="shared" si="26"/>
        <v>0</v>
      </c>
      <c r="Z74" s="237">
        <f t="shared" si="26"/>
        <v>0</v>
      </c>
      <c r="AA74" s="237">
        <f t="shared" si="26"/>
        <v>0</v>
      </c>
      <c r="AB74" s="237">
        <f t="shared" si="26"/>
        <v>0</v>
      </c>
      <c r="AC74" s="237">
        <f t="shared" si="26"/>
        <v>0</v>
      </c>
      <c r="AD74" s="237">
        <f t="shared" si="26"/>
        <v>0</v>
      </c>
      <c r="AE74" s="237">
        <f t="shared" si="26"/>
        <v>0</v>
      </c>
      <c r="AF74" s="237">
        <f t="shared" si="26"/>
        <v>0</v>
      </c>
      <c r="AG74" s="237">
        <f t="shared" si="26"/>
        <v>0</v>
      </c>
      <c r="AH74" s="237">
        <f t="shared" si="26"/>
        <v>0</v>
      </c>
      <c r="AI74" s="237">
        <f t="shared" ref="AI74:AI105" si="27">SUM(E74:AH74)</f>
        <v>0</v>
      </c>
      <c r="AJ74" s="237">
        <f t="shared" ref="AJ74:AJ105" si="28">+D74-AI74</f>
        <v>0</v>
      </c>
    </row>
    <row r="75" spans="1:37" s="238" customFormat="1" ht="18.75" x14ac:dyDescent="0.3">
      <c r="B75" s="239" t="s">
        <v>848</v>
      </c>
      <c r="C75" s="240" t="s">
        <v>849</v>
      </c>
      <c r="D75" s="241">
        <f t="shared" ref="D75:AH75" si="29">SUM(D76,D80,D81)</f>
        <v>0</v>
      </c>
      <c r="E75" s="242">
        <f t="shared" si="29"/>
        <v>0</v>
      </c>
      <c r="F75" s="241">
        <f t="shared" si="29"/>
        <v>0</v>
      </c>
      <c r="G75" s="241">
        <f t="shared" si="29"/>
        <v>0</v>
      </c>
      <c r="H75" s="241">
        <f t="shared" si="29"/>
        <v>0</v>
      </c>
      <c r="I75" s="241">
        <f t="shared" si="29"/>
        <v>0</v>
      </c>
      <c r="J75" s="242">
        <f t="shared" si="29"/>
        <v>0</v>
      </c>
      <c r="K75" s="242">
        <f t="shared" si="29"/>
        <v>0</v>
      </c>
      <c r="L75" s="242">
        <f t="shared" si="29"/>
        <v>0</v>
      </c>
      <c r="M75" s="241">
        <f t="shared" si="29"/>
        <v>0</v>
      </c>
      <c r="N75" s="241">
        <f t="shared" si="29"/>
        <v>0</v>
      </c>
      <c r="O75" s="241">
        <f t="shared" si="29"/>
        <v>0</v>
      </c>
      <c r="P75" s="241">
        <f t="shared" si="29"/>
        <v>0</v>
      </c>
      <c r="Q75" s="241">
        <f t="shared" si="29"/>
        <v>0</v>
      </c>
      <c r="R75" s="242">
        <f t="shared" si="29"/>
        <v>0</v>
      </c>
      <c r="S75" s="242">
        <f t="shared" si="29"/>
        <v>0</v>
      </c>
      <c r="T75" s="241">
        <f t="shared" si="29"/>
        <v>0</v>
      </c>
      <c r="U75" s="241">
        <f t="shared" si="29"/>
        <v>0</v>
      </c>
      <c r="V75" s="241">
        <f t="shared" si="29"/>
        <v>0</v>
      </c>
      <c r="W75" s="241">
        <f t="shared" si="29"/>
        <v>0</v>
      </c>
      <c r="X75" s="241">
        <f t="shared" si="29"/>
        <v>0</v>
      </c>
      <c r="Y75" s="242">
        <f t="shared" si="29"/>
        <v>0</v>
      </c>
      <c r="Z75" s="242">
        <f t="shared" si="29"/>
        <v>0</v>
      </c>
      <c r="AA75" s="242">
        <f t="shared" si="29"/>
        <v>0</v>
      </c>
      <c r="AB75" s="241">
        <f t="shared" si="29"/>
        <v>0</v>
      </c>
      <c r="AC75" s="241">
        <f t="shared" si="29"/>
        <v>0</v>
      </c>
      <c r="AD75" s="241">
        <f t="shared" si="29"/>
        <v>0</v>
      </c>
      <c r="AE75" s="241">
        <f t="shared" si="29"/>
        <v>0</v>
      </c>
      <c r="AF75" s="242">
        <f t="shared" si="29"/>
        <v>0</v>
      </c>
      <c r="AG75" s="242">
        <f t="shared" si="29"/>
        <v>0</v>
      </c>
      <c r="AH75" s="241">
        <f t="shared" si="29"/>
        <v>0</v>
      </c>
      <c r="AI75" s="243">
        <f t="shared" si="27"/>
        <v>0</v>
      </c>
      <c r="AJ75" s="244">
        <f t="shared" si="28"/>
        <v>0</v>
      </c>
    </row>
    <row r="76" spans="1:37" s="238" customFormat="1" ht="18.75" x14ac:dyDescent="0.3">
      <c r="B76" s="245">
        <v>1</v>
      </c>
      <c r="C76" s="246" t="s">
        <v>850</v>
      </c>
      <c r="D76" s="247">
        <f t="shared" ref="D76:AH76" si="30">SUM(D77:D79)</f>
        <v>0</v>
      </c>
      <c r="E76" s="248">
        <f t="shared" si="30"/>
        <v>0</v>
      </c>
      <c r="F76" s="247">
        <f t="shared" si="30"/>
        <v>0</v>
      </c>
      <c r="G76" s="247">
        <f t="shared" si="30"/>
        <v>0</v>
      </c>
      <c r="H76" s="247">
        <f t="shared" si="30"/>
        <v>0</v>
      </c>
      <c r="I76" s="247">
        <f t="shared" si="30"/>
        <v>0</v>
      </c>
      <c r="J76" s="248">
        <f t="shared" si="30"/>
        <v>0</v>
      </c>
      <c r="K76" s="248">
        <f t="shared" si="30"/>
        <v>0</v>
      </c>
      <c r="L76" s="248">
        <f t="shared" si="30"/>
        <v>0</v>
      </c>
      <c r="M76" s="247">
        <f t="shared" si="30"/>
        <v>0</v>
      </c>
      <c r="N76" s="247">
        <f t="shared" si="30"/>
        <v>0</v>
      </c>
      <c r="O76" s="247">
        <f t="shared" si="30"/>
        <v>0</v>
      </c>
      <c r="P76" s="247">
        <f t="shared" si="30"/>
        <v>0</v>
      </c>
      <c r="Q76" s="247">
        <f t="shared" si="30"/>
        <v>0</v>
      </c>
      <c r="R76" s="248">
        <f t="shared" si="30"/>
        <v>0</v>
      </c>
      <c r="S76" s="248">
        <f t="shared" si="30"/>
        <v>0</v>
      </c>
      <c r="T76" s="247">
        <f t="shared" si="30"/>
        <v>0</v>
      </c>
      <c r="U76" s="247">
        <f t="shared" si="30"/>
        <v>0</v>
      </c>
      <c r="V76" s="247">
        <f t="shared" si="30"/>
        <v>0</v>
      </c>
      <c r="W76" s="247">
        <f t="shared" si="30"/>
        <v>0</v>
      </c>
      <c r="X76" s="247">
        <f t="shared" si="30"/>
        <v>0</v>
      </c>
      <c r="Y76" s="248">
        <f t="shared" si="30"/>
        <v>0</v>
      </c>
      <c r="Z76" s="248">
        <f t="shared" si="30"/>
        <v>0</v>
      </c>
      <c r="AA76" s="248">
        <f t="shared" si="30"/>
        <v>0</v>
      </c>
      <c r="AB76" s="247">
        <f t="shared" si="30"/>
        <v>0</v>
      </c>
      <c r="AC76" s="247">
        <f t="shared" si="30"/>
        <v>0</v>
      </c>
      <c r="AD76" s="247">
        <f t="shared" si="30"/>
        <v>0</v>
      </c>
      <c r="AE76" s="247">
        <f t="shared" si="30"/>
        <v>0</v>
      </c>
      <c r="AF76" s="248">
        <f t="shared" si="30"/>
        <v>0</v>
      </c>
      <c r="AG76" s="248">
        <f t="shared" si="30"/>
        <v>0</v>
      </c>
      <c r="AH76" s="247">
        <f t="shared" si="30"/>
        <v>0</v>
      </c>
      <c r="AI76" s="249">
        <f t="shared" si="27"/>
        <v>0</v>
      </c>
      <c r="AJ76" s="250">
        <f t="shared" si="28"/>
        <v>0</v>
      </c>
    </row>
    <row r="77" spans="1:37" s="251" customFormat="1" ht="19.5" hidden="1" outlineLevel="1" x14ac:dyDescent="0.3">
      <c r="B77" s="252"/>
      <c r="C77" s="246" t="s">
        <v>851</v>
      </c>
      <c r="D77" s="253"/>
      <c r="E77" s="248"/>
      <c r="F77" s="247"/>
      <c r="G77" s="247"/>
      <c r="H77" s="247"/>
      <c r="I77" s="247"/>
      <c r="J77" s="248"/>
      <c r="K77" s="248"/>
      <c r="L77" s="248"/>
      <c r="M77" s="247"/>
      <c r="N77" s="247"/>
      <c r="O77" s="247"/>
      <c r="P77" s="247"/>
      <c r="Q77" s="247"/>
      <c r="R77" s="248"/>
      <c r="S77" s="248"/>
      <c r="T77" s="247"/>
      <c r="U77" s="247"/>
      <c r="V77" s="247"/>
      <c r="W77" s="247"/>
      <c r="X77" s="247"/>
      <c r="Y77" s="248"/>
      <c r="Z77" s="248"/>
      <c r="AA77" s="248"/>
      <c r="AB77" s="247"/>
      <c r="AC77" s="247"/>
      <c r="AD77" s="247"/>
      <c r="AE77" s="247"/>
      <c r="AF77" s="248"/>
      <c r="AG77" s="248"/>
      <c r="AH77" s="247"/>
      <c r="AI77" s="249">
        <f t="shared" si="27"/>
        <v>0</v>
      </c>
      <c r="AJ77" s="254">
        <f t="shared" si="28"/>
        <v>0</v>
      </c>
    </row>
    <row r="78" spans="1:37" s="251" customFormat="1" ht="19.5" hidden="1" outlineLevel="1" x14ac:dyDescent="0.3">
      <c r="B78" s="252"/>
      <c r="C78" s="246" t="s">
        <v>53</v>
      </c>
      <c r="D78" s="253"/>
      <c r="E78" s="248"/>
      <c r="F78" s="247"/>
      <c r="G78" s="247"/>
      <c r="H78" s="247"/>
      <c r="I78" s="247"/>
      <c r="J78" s="248"/>
      <c r="K78" s="248"/>
      <c r="L78" s="248"/>
      <c r="M78" s="247"/>
      <c r="N78" s="247"/>
      <c r="O78" s="247"/>
      <c r="P78" s="247"/>
      <c r="Q78" s="247"/>
      <c r="R78" s="248"/>
      <c r="S78" s="248"/>
      <c r="T78" s="247"/>
      <c r="U78" s="247"/>
      <c r="V78" s="247"/>
      <c r="W78" s="247"/>
      <c r="X78" s="247"/>
      <c r="Y78" s="248"/>
      <c r="Z78" s="248"/>
      <c r="AA78" s="248"/>
      <c r="AB78" s="247"/>
      <c r="AC78" s="247"/>
      <c r="AD78" s="247"/>
      <c r="AE78" s="247"/>
      <c r="AF78" s="248"/>
      <c r="AG78" s="248"/>
      <c r="AH78" s="247"/>
      <c r="AI78" s="249">
        <f t="shared" si="27"/>
        <v>0</v>
      </c>
      <c r="AJ78" s="254">
        <f t="shared" si="28"/>
        <v>0</v>
      </c>
    </row>
    <row r="79" spans="1:37" s="251" customFormat="1" ht="19.5" hidden="1" outlineLevel="1" x14ac:dyDescent="0.3">
      <c r="B79" s="252"/>
      <c r="C79" s="246" t="s">
        <v>33</v>
      </c>
      <c r="D79" s="253"/>
      <c r="E79" s="248"/>
      <c r="F79" s="247"/>
      <c r="G79" s="247"/>
      <c r="H79" s="247"/>
      <c r="I79" s="247"/>
      <c r="J79" s="248"/>
      <c r="K79" s="248"/>
      <c r="L79" s="248"/>
      <c r="M79" s="247"/>
      <c r="N79" s="247"/>
      <c r="O79" s="247"/>
      <c r="P79" s="247"/>
      <c r="Q79" s="247"/>
      <c r="R79" s="248"/>
      <c r="S79" s="248"/>
      <c r="T79" s="247"/>
      <c r="U79" s="247"/>
      <c r="V79" s="247"/>
      <c r="W79" s="247"/>
      <c r="X79" s="247"/>
      <c r="Y79" s="248"/>
      <c r="Z79" s="248"/>
      <c r="AA79" s="248"/>
      <c r="AB79" s="247"/>
      <c r="AC79" s="247"/>
      <c r="AD79" s="247"/>
      <c r="AE79" s="247"/>
      <c r="AF79" s="248"/>
      <c r="AG79" s="248"/>
      <c r="AH79" s="247"/>
      <c r="AI79" s="249">
        <f t="shared" si="27"/>
        <v>0</v>
      </c>
      <c r="AJ79" s="254">
        <f t="shared" si="28"/>
        <v>0</v>
      </c>
    </row>
    <row r="80" spans="1:37" s="238" customFormat="1" ht="18.75" collapsed="1" x14ac:dyDescent="0.3">
      <c r="B80" s="245">
        <v>2</v>
      </c>
      <c r="C80" s="246" t="s">
        <v>36</v>
      </c>
      <c r="D80" s="253"/>
      <c r="E80" s="248"/>
      <c r="F80" s="247"/>
      <c r="G80" s="247"/>
      <c r="H80" s="247"/>
      <c r="I80" s="247"/>
      <c r="J80" s="248"/>
      <c r="K80" s="248"/>
      <c r="L80" s="248"/>
      <c r="M80" s="247"/>
      <c r="N80" s="247"/>
      <c r="O80" s="247"/>
      <c r="P80" s="247"/>
      <c r="Q80" s="247"/>
      <c r="R80" s="248"/>
      <c r="S80" s="248"/>
      <c r="T80" s="247"/>
      <c r="U80" s="247"/>
      <c r="V80" s="247"/>
      <c r="W80" s="247"/>
      <c r="X80" s="247"/>
      <c r="Y80" s="248"/>
      <c r="Z80" s="248"/>
      <c r="AA80" s="248"/>
      <c r="AB80" s="247"/>
      <c r="AC80" s="247"/>
      <c r="AD80" s="247"/>
      <c r="AE80" s="247"/>
      <c r="AF80" s="248"/>
      <c r="AG80" s="248"/>
      <c r="AH80" s="247"/>
      <c r="AI80" s="249">
        <f t="shared" si="27"/>
        <v>0</v>
      </c>
      <c r="AJ80" s="254">
        <f t="shared" si="28"/>
        <v>0</v>
      </c>
    </row>
    <row r="81" spans="1:36" s="238" customFormat="1" ht="18.75" x14ac:dyDescent="0.3">
      <c r="B81" s="245">
        <v>3</v>
      </c>
      <c r="C81" s="246" t="s">
        <v>119</v>
      </c>
      <c r="D81" s="253"/>
      <c r="E81" s="248"/>
      <c r="F81" s="247"/>
      <c r="G81" s="247"/>
      <c r="H81" s="247"/>
      <c r="I81" s="247"/>
      <c r="J81" s="248"/>
      <c r="K81" s="248"/>
      <c r="L81" s="248"/>
      <c r="M81" s="247"/>
      <c r="N81" s="247"/>
      <c r="O81" s="247"/>
      <c r="P81" s="247"/>
      <c r="Q81" s="247"/>
      <c r="R81" s="248"/>
      <c r="S81" s="248"/>
      <c r="T81" s="247"/>
      <c r="U81" s="247"/>
      <c r="V81" s="247"/>
      <c r="W81" s="247"/>
      <c r="X81" s="247"/>
      <c r="Y81" s="248"/>
      <c r="Z81" s="248"/>
      <c r="AA81" s="248"/>
      <c r="AB81" s="247"/>
      <c r="AC81" s="247"/>
      <c r="AD81" s="247"/>
      <c r="AE81" s="247"/>
      <c r="AF81" s="248"/>
      <c r="AG81" s="248"/>
      <c r="AH81" s="247"/>
      <c r="AI81" s="249">
        <f t="shared" si="27"/>
        <v>0</v>
      </c>
      <c r="AJ81" s="254">
        <f t="shared" si="28"/>
        <v>0</v>
      </c>
    </row>
    <row r="82" spans="1:36" s="238" customFormat="1" ht="18.75" x14ac:dyDescent="0.3">
      <c r="B82" s="239" t="s">
        <v>852</v>
      </c>
      <c r="C82" s="240" t="s">
        <v>853</v>
      </c>
      <c r="D82" s="241">
        <f t="shared" ref="D82:AH82" si="31">SUM(D83:D84,D91,D92,D93)</f>
        <v>0</v>
      </c>
      <c r="E82" s="242">
        <f t="shared" si="31"/>
        <v>0</v>
      </c>
      <c r="F82" s="241">
        <f t="shared" si="31"/>
        <v>0</v>
      </c>
      <c r="G82" s="241">
        <f t="shared" si="31"/>
        <v>0</v>
      </c>
      <c r="H82" s="241">
        <f t="shared" si="31"/>
        <v>0</v>
      </c>
      <c r="I82" s="241">
        <f t="shared" si="31"/>
        <v>0</v>
      </c>
      <c r="J82" s="242">
        <f t="shared" si="31"/>
        <v>0</v>
      </c>
      <c r="K82" s="242">
        <f t="shared" si="31"/>
        <v>0</v>
      </c>
      <c r="L82" s="242">
        <f t="shared" si="31"/>
        <v>0</v>
      </c>
      <c r="M82" s="241">
        <f t="shared" si="31"/>
        <v>0</v>
      </c>
      <c r="N82" s="241">
        <f t="shared" si="31"/>
        <v>0</v>
      </c>
      <c r="O82" s="241">
        <f t="shared" si="31"/>
        <v>0</v>
      </c>
      <c r="P82" s="241">
        <f t="shared" si="31"/>
        <v>0</v>
      </c>
      <c r="Q82" s="241">
        <f t="shared" si="31"/>
        <v>0</v>
      </c>
      <c r="R82" s="242">
        <f t="shared" si="31"/>
        <v>0</v>
      </c>
      <c r="S82" s="242">
        <f t="shared" si="31"/>
        <v>0</v>
      </c>
      <c r="T82" s="241">
        <f t="shared" si="31"/>
        <v>0</v>
      </c>
      <c r="U82" s="241">
        <f t="shared" si="31"/>
        <v>0</v>
      </c>
      <c r="V82" s="241">
        <f t="shared" si="31"/>
        <v>0</v>
      </c>
      <c r="W82" s="241">
        <f t="shared" si="31"/>
        <v>0</v>
      </c>
      <c r="X82" s="241">
        <f t="shared" si="31"/>
        <v>0</v>
      </c>
      <c r="Y82" s="242">
        <f t="shared" si="31"/>
        <v>0</v>
      </c>
      <c r="Z82" s="242">
        <f t="shared" si="31"/>
        <v>0</v>
      </c>
      <c r="AA82" s="242">
        <f t="shared" si="31"/>
        <v>0</v>
      </c>
      <c r="AB82" s="241">
        <f t="shared" si="31"/>
        <v>0</v>
      </c>
      <c r="AC82" s="241">
        <f t="shared" si="31"/>
        <v>0</v>
      </c>
      <c r="AD82" s="241">
        <f t="shared" si="31"/>
        <v>0</v>
      </c>
      <c r="AE82" s="241">
        <f t="shared" si="31"/>
        <v>0</v>
      </c>
      <c r="AF82" s="242">
        <f t="shared" si="31"/>
        <v>0</v>
      </c>
      <c r="AG82" s="242">
        <f t="shared" si="31"/>
        <v>0</v>
      </c>
      <c r="AH82" s="241">
        <f t="shared" si="31"/>
        <v>0</v>
      </c>
      <c r="AI82" s="243">
        <f t="shared" si="27"/>
        <v>0</v>
      </c>
      <c r="AJ82" s="244">
        <f t="shared" si="28"/>
        <v>0</v>
      </c>
    </row>
    <row r="83" spans="1:36" s="238" customFormat="1" ht="18.75" x14ac:dyDescent="0.3">
      <c r="B83" s="245">
        <v>1</v>
      </c>
      <c r="C83" s="246" t="s">
        <v>58</v>
      </c>
      <c r="D83" s="253"/>
      <c r="E83" s="248"/>
      <c r="F83" s="247"/>
      <c r="G83" s="247"/>
      <c r="H83" s="247"/>
      <c r="I83" s="247"/>
      <c r="J83" s="248"/>
      <c r="K83" s="248"/>
      <c r="L83" s="248"/>
      <c r="M83" s="247"/>
      <c r="N83" s="247"/>
      <c r="O83" s="247"/>
      <c r="P83" s="247"/>
      <c r="Q83" s="247"/>
      <c r="R83" s="248"/>
      <c r="S83" s="248"/>
      <c r="T83" s="247"/>
      <c r="U83" s="247"/>
      <c r="V83" s="247"/>
      <c r="W83" s="247"/>
      <c r="X83" s="247"/>
      <c r="Y83" s="248"/>
      <c r="Z83" s="248"/>
      <c r="AA83" s="248"/>
      <c r="AB83" s="247"/>
      <c r="AC83" s="247"/>
      <c r="AD83" s="247"/>
      <c r="AE83" s="247"/>
      <c r="AF83" s="248"/>
      <c r="AG83" s="248"/>
      <c r="AH83" s="247"/>
      <c r="AI83" s="249">
        <f t="shared" si="27"/>
        <v>0</v>
      </c>
      <c r="AJ83" s="254">
        <f t="shared" si="28"/>
        <v>0</v>
      </c>
    </row>
    <row r="84" spans="1:36" s="238" customFormat="1" ht="18.75" x14ac:dyDescent="0.3">
      <c r="B84" s="245">
        <v>2</v>
      </c>
      <c r="C84" s="246" t="s">
        <v>854</v>
      </c>
      <c r="D84" s="247">
        <f>SUM(D85:D89)</f>
        <v>0</v>
      </c>
      <c r="E84" s="248">
        <f t="shared" ref="E84:AH84" si="32">SUM(E85:E90)</f>
        <v>0</v>
      </c>
      <c r="F84" s="247">
        <f t="shared" si="32"/>
        <v>0</v>
      </c>
      <c r="G84" s="247">
        <f t="shared" si="32"/>
        <v>0</v>
      </c>
      <c r="H84" s="247">
        <f t="shared" si="32"/>
        <v>0</v>
      </c>
      <c r="I84" s="247">
        <f t="shared" si="32"/>
        <v>0</v>
      </c>
      <c r="J84" s="248">
        <f t="shared" si="32"/>
        <v>0</v>
      </c>
      <c r="K84" s="248">
        <f t="shared" si="32"/>
        <v>0</v>
      </c>
      <c r="L84" s="248">
        <f t="shared" si="32"/>
        <v>0</v>
      </c>
      <c r="M84" s="247">
        <f t="shared" si="32"/>
        <v>0</v>
      </c>
      <c r="N84" s="247">
        <f t="shared" si="32"/>
        <v>0</v>
      </c>
      <c r="O84" s="247">
        <f t="shared" si="32"/>
        <v>0</v>
      </c>
      <c r="P84" s="247">
        <f t="shared" si="32"/>
        <v>0</v>
      </c>
      <c r="Q84" s="247">
        <f t="shared" si="32"/>
        <v>0</v>
      </c>
      <c r="R84" s="248">
        <f t="shared" si="32"/>
        <v>0</v>
      </c>
      <c r="S84" s="248">
        <f t="shared" si="32"/>
        <v>0</v>
      </c>
      <c r="T84" s="247">
        <f t="shared" si="32"/>
        <v>0</v>
      </c>
      <c r="U84" s="247">
        <f t="shared" si="32"/>
        <v>0</v>
      </c>
      <c r="V84" s="247">
        <f t="shared" si="32"/>
        <v>0</v>
      </c>
      <c r="W84" s="247">
        <f t="shared" si="32"/>
        <v>0</v>
      </c>
      <c r="X84" s="247">
        <f t="shared" si="32"/>
        <v>0</v>
      </c>
      <c r="Y84" s="248">
        <f t="shared" si="32"/>
        <v>0</v>
      </c>
      <c r="Z84" s="248">
        <f t="shared" si="32"/>
        <v>0</v>
      </c>
      <c r="AA84" s="248">
        <f t="shared" si="32"/>
        <v>0</v>
      </c>
      <c r="AB84" s="247">
        <f t="shared" si="32"/>
        <v>0</v>
      </c>
      <c r="AC84" s="247">
        <f t="shared" si="32"/>
        <v>0</v>
      </c>
      <c r="AD84" s="247">
        <f t="shared" si="32"/>
        <v>0</v>
      </c>
      <c r="AE84" s="247">
        <f t="shared" si="32"/>
        <v>0</v>
      </c>
      <c r="AF84" s="248">
        <f t="shared" si="32"/>
        <v>0</v>
      </c>
      <c r="AG84" s="248">
        <f t="shared" si="32"/>
        <v>0</v>
      </c>
      <c r="AH84" s="247">
        <f t="shared" si="32"/>
        <v>0</v>
      </c>
      <c r="AI84" s="249">
        <f t="shared" si="27"/>
        <v>0</v>
      </c>
      <c r="AJ84" s="250">
        <f t="shared" si="28"/>
        <v>0</v>
      </c>
    </row>
    <row r="85" spans="1:36" s="251" customFormat="1" ht="19.5" hidden="1" outlineLevel="1" x14ac:dyDescent="0.3">
      <c r="B85" s="252"/>
      <c r="C85" s="246" t="s">
        <v>76</v>
      </c>
      <c r="D85" s="253"/>
      <c r="E85" s="248"/>
      <c r="F85" s="247"/>
      <c r="G85" s="247"/>
      <c r="H85" s="247"/>
      <c r="I85" s="247"/>
      <c r="J85" s="248"/>
      <c r="K85" s="248"/>
      <c r="L85" s="248"/>
      <c r="M85" s="247"/>
      <c r="N85" s="247"/>
      <c r="O85" s="247"/>
      <c r="P85" s="247"/>
      <c r="Q85" s="247"/>
      <c r="R85" s="248"/>
      <c r="S85" s="248"/>
      <c r="T85" s="247"/>
      <c r="U85" s="247"/>
      <c r="V85" s="247"/>
      <c r="W85" s="247"/>
      <c r="X85" s="247"/>
      <c r="Y85" s="248"/>
      <c r="Z85" s="248"/>
      <c r="AA85" s="248"/>
      <c r="AB85" s="247"/>
      <c r="AC85" s="247"/>
      <c r="AD85" s="247"/>
      <c r="AE85" s="247"/>
      <c r="AF85" s="248"/>
      <c r="AG85" s="248"/>
      <c r="AH85" s="247"/>
      <c r="AI85" s="249">
        <f t="shared" si="27"/>
        <v>0</v>
      </c>
      <c r="AJ85" s="254">
        <f t="shared" si="28"/>
        <v>0</v>
      </c>
    </row>
    <row r="86" spans="1:36" s="251" customFormat="1" ht="19.5" hidden="1" outlineLevel="1" x14ac:dyDescent="0.3">
      <c r="B86" s="252"/>
      <c r="C86" s="246" t="s">
        <v>71</v>
      </c>
      <c r="D86" s="253"/>
      <c r="E86" s="248"/>
      <c r="F86" s="247"/>
      <c r="G86" s="247"/>
      <c r="H86" s="247"/>
      <c r="I86" s="247"/>
      <c r="J86" s="248"/>
      <c r="K86" s="248"/>
      <c r="L86" s="248"/>
      <c r="M86" s="247"/>
      <c r="N86" s="247"/>
      <c r="O86" s="247"/>
      <c r="P86" s="247"/>
      <c r="Q86" s="247"/>
      <c r="R86" s="248"/>
      <c r="S86" s="248"/>
      <c r="T86" s="247"/>
      <c r="U86" s="247"/>
      <c r="V86" s="247"/>
      <c r="W86" s="247"/>
      <c r="X86" s="247"/>
      <c r="Y86" s="248"/>
      <c r="Z86" s="248"/>
      <c r="AA86" s="248"/>
      <c r="AB86" s="247"/>
      <c r="AC86" s="247"/>
      <c r="AD86" s="247"/>
      <c r="AE86" s="247"/>
      <c r="AF86" s="248"/>
      <c r="AG86" s="248"/>
      <c r="AH86" s="247"/>
      <c r="AI86" s="249">
        <f t="shared" si="27"/>
        <v>0</v>
      </c>
      <c r="AJ86" s="254">
        <f t="shared" si="28"/>
        <v>0</v>
      </c>
    </row>
    <row r="87" spans="1:36" s="251" customFormat="1" ht="19.5" hidden="1" outlineLevel="1" x14ac:dyDescent="0.3">
      <c r="B87" s="252"/>
      <c r="C87" s="246" t="s">
        <v>63</v>
      </c>
      <c r="D87" s="253"/>
      <c r="E87" s="248"/>
      <c r="F87" s="247"/>
      <c r="G87" s="247"/>
      <c r="H87" s="247"/>
      <c r="I87" s="247"/>
      <c r="J87" s="248"/>
      <c r="K87" s="248"/>
      <c r="L87" s="248"/>
      <c r="M87" s="247"/>
      <c r="N87" s="247"/>
      <c r="O87" s="247"/>
      <c r="P87" s="247"/>
      <c r="Q87" s="247"/>
      <c r="R87" s="248"/>
      <c r="S87" s="248"/>
      <c r="T87" s="247"/>
      <c r="U87" s="247"/>
      <c r="V87" s="247"/>
      <c r="W87" s="247"/>
      <c r="X87" s="247"/>
      <c r="Y87" s="248"/>
      <c r="Z87" s="248"/>
      <c r="AA87" s="248"/>
      <c r="AB87" s="247"/>
      <c r="AC87" s="247"/>
      <c r="AD87" s="247"/>
      <c r="AE87" s="247"/>
      <c r="AF87" s="248"/>
      <c r="AG87" s="248"/>
      <c r="AH87" s="247"/>
      <c r="AI87" s="249">
        <f t="shared" si="27"/>
        <v>0</v>
      </c>
      <c r="AJ87" s="254">
        <f t="shared" si="28"/>
        <v>0</v>
      </c>
    </row>
    <row r="88" spans="1:36" s="251" customFormat="1" ht="19.5" hidden="1" outlineLevel="1" x14ac:dyDescent="0.3">
      <c r="B88" s="252"/>
      <c r="C88" s="246" t="s">
        <v>57</v>
      </c>
      <c r="D88" s="253"/>
      <c r="E88" s="248"/>
      <c r="F88" s="247"/>
      <c r="G88" s="247"/>
      <c r="H88" s="247"/>
      <c r="I88" s="247"/>
      <c r="J88" s="248"/>
      <c r="K88" s="248"/>
      <c r="L88" s="248"/>
      <c r="M88" s="247"/>
      <c r="N88" s="247"/>
      <c r="O88" s="247"/>
      <c r="P88" s="247"/>
      <c r="Q88" s="247"/>
      <c r="R88" s="248"/>
      <c r="S88" s="248"/>
      <c r="T88" s="247"/>
      <c r="U88" s="247"/>
      <c r="V88" s="247"/>
      <c r="W88" s="247"/>
      <c r="X88" s="247"/>
      <c r="Y88" s="248"/>
      <c r="Z88" s="248"/>
      <c r="AA88" s="248"/>
      <c r="AB88" s="247"/>
      <c r="AC88" s="247"/>
      <c r="AD88" s="247"/>
      <c r="AE88" s="247"/>
      <c r="AF88" s="248"/>
      <c r="AG88" s="248"/>
      <c r="AH88" s="247"/>
      <c r="AI88" s="249">
        <f t="shared" si="27"/>
        <v>0</v>
      </c>
      <c r="AJ88" s="254">
        <f t="shared" si="28"/>
        <v>0</v>
      </c>
    </row>
    <row r="89" spans="1:36" s="251" customFormat="1" ht="19.5" hidden="1" outlineLevel="1" x14ac:dyDescent="0.3">
      <c r="B89" s="252"/>
      <c r="C89" s="246" t="s">
        <v>120</v>
      </c>
      <c r="D89" s="253"/>
      <c r="E89" s="248"/>
      <c r="F89" s="247"/>
      <c r="G89" s="247"/>
      <c r="H89" s="247"/>
      <c r="I89" s="247"/>
      <c r="J89" s="248"/>
      <c r="K89" s="248"/>
      <c r="L89" s="248"/>
      <c r="M89" s="247"/>
      <c r="N89" s="247"/>
      <c r="O89" s="247"/>
      <c r="P89" s="247"/>
      <c r="Q89" s="247"/>
      <c r="R89" s="248"/>
      <c r="S89" s="248"/>
      <c r="T89" s="247"/>
      <c r="U89" s="247"/>
      <c r="V89" s="247"/>
      <c r="W89" s="247"/>
      <c r="X89" s="247"/>
      <c r="Y89" s="248"/>
      <c r="Z89" s="248"/>
      <c r="AA89" s="248"/>
      <c r="AB89" s="247"/>
      <c r="AC89" s="247"/>
      <c r="AD89" s="247"/>
      <c r="AE89" s="247"/>
      <c r="AF89" s="248"/>
      <c r="AG89" s="248"/>
      <c r="AH89" s="247"/>
      <c r="AI89" s="249">
        <f t="shared" si="27"/>
        <v>0</v>
      </c>
      <c r="AJ89" s="254">
        <f t="shared" si="28"/>
        <v>0</v>
      </c>
    </row>
    <row r="90" spans="1:36" s="251" customFormat="1" ht="19.5" hidden="1" outlineLevel="1" x14ac:dyDescent="0.3">
      <c r="A90" s="255"/>
      <c r="B90" s="252"/>
      <c r="C90" s="246" t="s">
        <v>56</v>
      </c>
      <c r="D90" s="253"/>
      <c r="E90" s="248"/>
      <c r="F90" s="247"/>
      <c r="G90" s="247"/>
      <c r="H90" s="247"/>
      <c r="I90" s="247"/>
      <c r="J90" s="248"/>
      <c r="K90" s="248"/>
      <c r="L90" s="248"/>
      <c r="M90" s="247"/>
      <c r="N90" s="247"/>
      <c r="O90" s="247"/>
      <c r="P90" s="247"/>
      <c r="Q90" s="247"/>
      <c r="R90" s="248"/>
      <c r="S90" s="248"/>
      <c r="T90" s="247"/>
      <c r="U90" s="247"/>
      <c r="V90" s="247"/>
      <c r="W90" s="247"/>
      <c r="X90" s="247"/>
      <c r="Y90" s="248"/>
      <c r="Z90" s="248"/>
      <c r="AA90" s="248"/>
      <c r="AB90" s="247"/>
      <c r="AC90" s="247"/>
      <c r="AD90" s="247"/>
      <c r="AE90" s="247"/>
      <c r="AF90" s="248"/>
      <c r="AG90" s="248"/>
      <c r="AH90" s="247"/>
      <c r="AI90" s="249">
        <f t="shared" si="27"/>
        <v>0</v>
      </c>
      <c r="AJ90" s="254">
        <f t="shared" si="28"/>
        <v>0</v>
      </c>
    </row>
    <row r="91" spans="1:36" s="238" customFormat="1" ht="18.75" collapsed="1" x14ac:dyDescent="0.3">
      <c r="B91" s="245">
        <v>3</v>
      </c>
      <c r="C91" s="246" t="s">
        <v>54</v>
      </c>
      <c r="D91" s="253"/>
      <c r="E91" s="248"/>
      <c r="F91" s="247"/>
      <c r="G91" s="247"/>
      <c r="H91" s="247"/>
      <c r="I91" s="247"/>
      <c r="J91" s="248"/>
      <c r="K91" s="248"/>
      <c r="L91" s="248"/>
      <c r="M91" s="247"/>
      <c r="N91" s="247"/>
      <c r="O91" s="247"/>
      <c r="P91" s="247"/>
      <c r="Q91" s="247"/>
      <c r="R91" s="248"/>
      <c r="S91" s="248"/>
      <c r="T91" s="247"/>
      <c r="U91" s="247"/>
      <c r="V91" s="247"/>
      <c r="W91" s="247"/>
      <c r="X91" s="247"/>
      <c r="Y91" s="248"/>
      <c r="Z91" s="248"/>
      <c r="AA91" s="248"/>
      <c r="AB91" s="247"/>
      <c r="AC91" s="247"/>
      <c r="AD91" s="247"/>
      <c r="AE91" s="247"/>
      <c r="AF91" s="248"/>
      <c r="AG91" s="248"/>
      <c r="AH91" s="247"/>
      <c r="AI91" s="249">
        <f t="shared" si="27"/>
        <v>0</v>
      </c>
      <c r="AJ91" s="254">
        <f t="shared" si="28"/>
        <v>0</v>
      </c>
    </row>
    <row r="92" spans="1:36" s="238" customFormat="1" ht="18.75" x14ac:dyDescent="0.3">
      <c r="B92" s="245">
        <v>4</v>
      </c>
      <c r="C92" s="246" t="s">
        <v>855</v>
      </c>
      <c r="D92" s="253"/>
      <c r="E92" s="248"/>
      <c r="F92" s="247"/>
      <c r="G92" s="247"/>
      <c r="H92" s="247"/>
      <c r="I92" s="247"/>
      <c r="J92" s="248"/>
      <c r="K92" s="248"/>
      <c r="L92" s="248"/>
      <c r="M92" s="247"/>
      <c r="N92" s="247"/>
      <c r="O92" s="247"/>
      <c r="P92" s="247"/>
      <c r="Q92" s="247"/>
      <c r="R92" s="248"/>
      <c r="S92" s="248"/>
      <c r="T92" s="247"/>
      <c r="U92" s="247"/>
      <c r="V92" s="247"/>
      <c r="W92" s="247"/>
      <c r="X92" s="247"/>
      <c r="Y92" s="248"/>
      <c r="Z92" s="248"/>
      <c r="AA92" s="248"/>
      <c r="AB92" s="247"/>
      <c r="AC92" s="247"/>
      <c r="AD92" s="247"/>
      <c r="AE92" s="247"/>
      <c r="AF92" s="248"/>
      <c r="AG92" s="248"/>
      <c r="AH92" s="247"/>
      <c r="AI92" s="249">
        <f t="shared" si="27"/>
        <v>0</v>
      </c>
      <c r="AJ92" s="254">
        <f t="shared" si="28"/>
        <v>0</v>
      </c>
    </row>
    <row r="93" spans="1:36" s="238" customFormat="1" ht="18.75" x14ac:dyDescent="0.3">
      <c r="B93" s="245">
        <v>5</v>
      </c>
      <c r="C93" s="246" t="s">
        <v>108</v>
      </c>
      <c r="D93" s="253"/>
      <c r="E93" s="248"/>
      <c r="F93" s="247"/>
      <c r="G93" s="247"/>
      <c r="H93" s="247"/>
      <c r="I93" s="247"/>
      <c r="J93" s="248"/>
      <c r="K93" s="248"/>
      <c r="L93" s="248"/>
      <c r="M93" s="247"/>
      <c r="N93" s="247"/>
      <c r="O93" s="247"/>
      <c r="P93" s="247"/>
      <c r="Q93" s="247"/>
      <c r="R93" s="248"/>
      <c r="S93" s="248"/>
      <c r="T93" s="247"/>
      <c r="U93" s="247"/>
      <c r="V93" s="247"/>
      <c r="W93" s="247"/>
      <c r="X93" s="247"/>
      <c r="Y93" s="248"/>
      <c r="Z93" s="248"/>
      <c r="AA93" s="248"/>
      <c r="AB93" s="247"/>
      <c r="AC93" s="247"/>
      <c r="AD93" s="247"/>
      <c r="AE93" s="247"/>
      <c r="AF93" s="248"/>
      <c r="AG93" s="248"/>
      <c r="AH93" s="247"/>
      <c r="AI93" s="249">
        <f t="shared" si="27"/>
        <v>0</v>
      </c>
      <c r="AJ93" s="254">
        <f t="shared" si="28"/>
        <v>0</v>
      </c>
    </row>
    <row r="94" spans="1:36" s="238" customFormat="1" ht="18.75" x14ac:dyDescent="0.3">
      <c r="B94" s="235" t="s">
        <v>856</v>
      </c>
      <c r="C94" s="236" t="s">
        <v>857</v>
      </c>
      <c r="D94" s="237">
        <f t="shared" ref="D94:AH94" si="33">SUM(D95,D100,D107,D112,D113)</f>
        <v>5502489.1101900414</v>
      </c>
      <c r="E94" s="237">
        <f t="shared" si="33"/>
        <v>0</v>
      </c>
      <c r="F94" s="237">
        <f t="shared" si="33"/>
        <v>170336.84210526315</v>
      </c>
      <c r="G94" s="237">
        <f t="shared" si="33"/>
        <v>170336.84210526315</v>
      </c>
      <c r="H94" s="237">
        <f t="shared" si="33"/>
        <v>170336.84210526315</v>
      </c>
      <c r="I94" s="237">
        <f t="shared" si="33"/>
        <v>170336.84210526315</v>
      </c>
      <c r="J94" s="237">
        <f t="shared" si="33"/>
        <v>0</v>
      </c>
      <c r="K94" s="237">
        <f t="shared" si="33"/>
        <v>0</v>
      </c>
      <c r="L94" s="237">
        <f t="shared" si="33"/>
        <v>0</v>
      </c>
      <c r="M94" s="237">
        <f t="shared" si="33"/>
        <v>460387.57042830321</v>
      </c>
      <c r="N94" s="237">
        <f t="shared" si="33"/>
        <v>544912.09086126322</v>
      </c>
      <c r="O94" s="237">
        <f t="shared" si="33"/>
        <v>170336.84210526315</v>
      </c>
      <c r="P94" s="237">
        <f t="shared" si="33"/>
        <v>170336.84210526315</v>
      </c>
      <c r="Q94" s="237">
        <f t="shared" si="33"/>
        <v>170336.84210526315</v>
      </c>
      <c r="R94" s="237">
        <f t="shared" si="33"/>
        <v>0</v>
      </c>
      <c r="S94" s="237">
        <f t="shared" si="33"/>
        <v>0</v>
      </c>
      <c r="T94" s="237">
        <f t="shared" si="33"/>
        <v>828799.97521626321</v>
      </c>
      <c r="U94" s="237">
        <f t="shared" si="33"/>
        <v>170336.84210526315</v>
      </c>
      <c r="V94" s="237">
        <f t="shared" si="33"/>
        <v>170336.84210526315</v>
      </c>
      <c r="W94" s="237">
        <f t="shared" si="33"/>
        <v>170336.84210526315</v>
      </c>
      <c r="X94" s="237">
        <f t="shared" si="33"/>
        <v>213336.84210526315</v>
      </c>
      <c r="Y94" s="237">
        <f t="shared" si="33"/>
        <v>0</v>
      </c>
      <c r="Z94" s="237">
        <f t="shared" si="33"/>
        <v>0</v>
      </c>
      <c r="AA94" s="237">
        <f t="shared" si="33"/>
        <v>0</v>
      </c>
      <c r="AB94" s="237">
        <f t="shared" si="33"/>
        <v>170336.84210526315</v>
      </c>
      <c r="AC94" s="237">
        <f t="shared" si="33"/>
        <v>170336.84210526315</v>
      </c>
      <c r="AD94" s="237">
        <f t="shared" si="33"/>
        <v>170336.84210526315</v>
      </c>
      <c r="AE94" s="237">
        <f t="shared" si="33"/>
        <v>1070336.8421052631</v>
      </c>
      <c r="AF94" s="237">
        <f t="shared" si="33"/>
        <v>0</v>
      </c>
      <c r="AG94" s="237">
        <f t="shared" si="33"/>
        <v>0</v>
      </c>
      <c r="AH94" s="237">
        <f t="shared" si="33"/>
        <v>170336.84210526315</v>
      </c>
      <c r="AI94" s="237">
        <f t="shared" si="27"/>
        <v>5502489.1101900376</v>
      </c>
      <c r="AJ94" s="237">
        <f t="shared" si="28"/>
        <v>0</v>
      </c>
    </row>
    <row r="95" spans="1:36" s="238" customFormat="1" ht="18.75" x14ac:dyDescent="0.3">
      <c r="B95" s="245">
        <v>1</v>
      </c>
      <c r="C95" s="246" t="s">
        <v>858</v>
      </c>
      <c r="D95" s="241">
        <f>SUM(D97:D99)</f>
        <v>4945212.0175109999</v>
      </c>
      <c r="E95" s="242">
        <f t="shared" ref="E95:AH95" si="34">SUM(E96:E99)</f>
        <v>0</v>
      </c>
      <c r="F95" s="241">
        <f t="shared" si="34"/>
        <v>170336.84210526315</v>
      </c>
      <c r="G95" s="241">
        <f t="shared" si="34"/>
        <v>170336.84210526315</v>
      </c>
      <c r="H95" s="241">
        <f t="shared" si="34"/>
        <v>170336.84210526315</v>
      </c>
      <c r="I95" s="241">
        <f t="shared" si="34"/>
        <v>170336.84210526315</v>
      </c>
      <c r="J95" s="242">
        <f t="shared" si="34"/>
        <v>0</v>
      </c>
      <c r="K95" s="242">
        <f t="shared" si="34"/>
        <v>0</v>
      </c>
      <c r="L95" s="242">
        <f t="shared" si="34"/>
        <v>0</v>
      </c>
      <c r="M95" s="241">
        <f t="shared" si="34"/>
        <v>170336.84210526315</v>
      </c>
      <c r="N95" s="241">
        <f t="shared" si="34"/>
        <v>320685.72650526324</v>
      </c>
      <c r="O95" s="241">
        <f t="shared" si="34"/>
        <v>170336.84210526315</v>
      </c>
      <c r="P95" s="241">
        <f t="shared" si="34"/>
        <v>170336.84210526315</v>
      </c>
      <c r="Q95" s="241">
        <f t="shared" si="34"/>
        <v>170336.84210526315</v>
      </c>
      <c r="R95" s="242">
        <f t="shared" si="34"/>
        <v>0</v>
      </c>
      <c r="S95" s="242">
        <f t="shared" si="34"/>
        <v>0</v>
      </c>
      <c r="T95" s="241">
        <f t="shared" si="34"/>
        <v>828799.97521626321</v>
      </c>
      <c r="U95" s="241">
        <f t="shared" si="34"/>
        <v>170336.84210526315</v>
      </c>
      <c r="V95" s="241">
        <f t="shared" si="34"/>
        <v>170336.84210526315</v>
      </c>
      <c r="W95" s="241">
        <f t="shared" si="34"/>
        <v>170336.84210526315</v>
      </c>
      <c r="X95" s="241">
        <f t="shared" si="34"/>
        <v>170336.84210526315</v>
      </c>
      <c r="Y95" s="242">
        <f t="shared" si="34"/>
        <v>0</v>
      </c>
      <c r="Z95" s="242">
        <f t="shared" si="34"/>
        <v>0</v>
      </c>
      <c r="AA95" s="242">
        <f t="shared" si="34"/>
        <v>0</v>
      </c>
      <c r="AB95" s="241">
        <f t="shared" si="34"/>
        <v>170336.84210526315</v>
      </c>
      <c r="AC95" s="241">
        <f t="shared" si="34"/>
        <v>170336.84210526315</v>
      </c>
      <c r="AD95" s="241">
        <f t="shared" si="34"/>
        <v>170336.84210526315</v>
      </c>
      <c r="AE95" s="241">
        <f t="shared" si="34"/>
        <v>1070336.8421052631</v>
      </c>
      <c r="AF95" s="242">
        <f t="shared" si="34"/>
        <v>0</v>
      </c>
      <c r="AG95" s="242">
        <f t="shared" si="34"/>
        <v>0</v>
      </c>
      <c r="AH95" s="241">
        <f t="shared" si="34"/>
        <v>170336.84210526315</v>
      </c>
      <c r="AI95" s="249">
        <f t="shared" si="27"/>
        <v>4945212.0175109981</v>
      </c>
      <c r="AJ95" s="244">
        <f t="shared" si="28"/>
        <v>0</v>
      </c>
    </row>
    <row r="96" spans="1:36" s="259" customFormat="1" ht="19.5" hidden="1" outlineLevel="1" x14ac:dyDescent="0.3">
      <c r="A96" s="256"/>
      <c r="B96" s="257"/>
      <c r="C96" s="258" t="s">
        <v>859</v>
      </c>
      <c r="D96" s="253">
        <v>11281510.593599999</v>
      </c>
      <c r="E96" s="248"/>
      <c r="F96" s="247"/>
      <c r="G96" s="247"/>
      <c r="H96" s="247"/>
      <c r="I96" s="247"/>
      <c r="J96" s="248"/>
      <c r="K96" s="248"/>
      <c r="L96" s="248"/>
      <c r="M96" s="247"/>
      <c r="N96" s="247"/>
      <c r="O96" s="247"/>
      <c r="P96" s="247"/>
      <c r="Q96" s="247"/>
      <c r="R96" s="248"/>
      <c r="S96" s="248"/>
      <c r="T96" s="247"/>
      <c r="U96" s="247"/>
      <c r="V96" s="247"/>
      <c r="W96" s="247"/>
      <c r="X96" s="247"/>
      <c r="Y96" s="248"/>
      <c r="Z96" s="248"/>
      <c r="AA96" s="248"/>
      <c r="AB96" s="247"/>
      <c r="AC96" s="247"/>
      <c r="AD96" s="247"/>
      <c r="AE96" s="247"/>
      <c r="AF96" s="248"/>
      <c r="AG96" s="248"/>
      <c r="AH96" s="247"/>
      <c r="AI96" s="249">
        <f t="shared" si="27"/>
        <v>0</v>
      </c>
      <c r="AJ96" s="254">
        <f t="shared" si="28"/>
        <v>11281510.593599999</v>
      </c>
    </row>
    <row r="97" spans="1:36" s="251" customFormat="1" ht="19.5" hidden="1" outlineLevel="1" x14ac:dyDescent="0.3">
      <c r="A97" s="260"/>
      <c r="B97" s="252"/>
      <c r="C97" s="246" t="s">
        <v>263</v>
      </c>
      <c r="D97" s="253">
        <f>+'[1]изх паричен поток'!$I$21+'[1]изх паричен поток'!$I$22</f>
        <v>1558463.1331110001</v>
      </c>
      <c r="E97" s="248"/>
      <c r="F97" s="247"/>
      <c r="G97" s="247"/>
      <c r="H97" s="247"/>
      <c r="I97" s="247"/>
      <c r="J97" s="248"/>
      <c r="K97" s="248"/>
      <c r="L97" s="248"/>
      <c r="M97" s="247"/>
      <c r="N97" s="247"/>
      <c r="O97" s="247"/>
      <c r="P97" s="247"/>
      <c r="Q97" s="247"/>
      <c r="R97" s="248"/>
      <c r="S97" s="248"/>
      <c r="T97" s="247">
        <v>658463.13311100006</v>
      </c>
      <c r="U97" s="247"/>
      <c r="V97" s="247"/>
      <c r="W97" s="247"/>
      <c r="X97" s="247"/>
      <c r="Y97" s="248"/>
      <c r="Z97" s="248"/>
      <c r="AA97" s="248"/>
      <c r="AB97" s="247"/>
      <c r="AC97" s="247"/>
      <c r="AD97" s="247"/>
      <c r="AE97" s="247">
        <v>900000</v>
      </c>
      <c r="AF97" s="248"/>
      <c r="AG97" s="248"/>
      <c r="AH97" s="247"/>
      <c r="AI97" s="249">
        <f t="shared" si="27"/>
        <v>1558463.1331110001</v>
      </c>
      <c r="AJ97" s="254">
        <f t="shared" si="28"/>
        <v>0</v>
      </c>
    </row>
    <row r="98" spans="1:36" s="251" customFormat="1" ht="19.5" hidden="1" outlineLevel="1" x14ac:dyDescent="0.3">
      <c r="A98" s="260"/>
      <c r="B98" s="252"/>
      <c r="C98" s="246" t="s">
        <v>131</v>
      </c>
      <c r="D98" s="253">
        <f>+'[1]изх паричен поток'!$I$20</f>
        <v>3236400</v>
      </c>
      <c r="E98" s="248"/>
      <c r="F98" s="247">
        <v>170336.84210526315</v>
      </c>
      <c r="G98" s="247">
        <v>170336.84210526315</v>
      </c>
      <c r="H98" s="247">
        <v>170336.84210526315</v>
      </c>
      <c r="I98" s="247">
        <v>170336.84210526315</v>
      </c>
      <c r="J98" s="248"/>
      <c r="K98" s="248"/>
      <c r="L98" s="248"/>
      <c r="M98" s="247">
        <v>170336.84210526315</v>
      </c>
      <c r="N98" s="247">
        <v>170336.84210526315</v>
      </c>
      <c r="O98" s="247">
        <v>170336.84210526315</v>
      </c>
      <c r="P98" s="247">
        <v>170336.84210526315</v>
      </c>
      <c r="Q98" s="247">
        <v>170336.84210526315</v>
      </c>
      <c r="R98" s="248"/>
      <c r="S98" s="248"/>
      <c r="T98" s="247">
        <v>170336.84210526315</v>
      </c>
      <c r="U98" s="247">
        <v>170336.84210526315</v>
      </c>
      <c r="V98" s="247">
        <v>170336.84210526315</v>
      </c>
      <c r="W98" s="247">
        <v>170336.84210526315</v>
      </c>
      <c r="X98" s="247">
        <v>170336.84210526315</v>
      </c>
      <c r="Y98" s="248"/>
      <c r="Z98" s="248"/>
      <c r="AA98" s="248"/>
      <c r="AB98" s="247">
        <v>170336.84210526315</v>
      </c>
      <c r="AC98" s="247">
        <v>170336.84210526315</v>
      </c>
      <c r="AD98" s="247">
        <v>170336.84210526315</v>
      </c>
      <c r="AE98" s="247">
        <v>170336.84210526315</v>
      </c>
      <c r="AF98" s="248"/>
      <c r="AG98" s="248"/>
      <c r="AH98" s="247">
        <v>170336.84210526315</v>
      </c>
      <c r="AI98" s="249">
        <f t="shared" si="27"/>
        <v>3236399.9999999981</v>
      </c>
      <c r="AJ98" s="254">
        <f t="shared" si="28"/>
        <v>0</v>
      </c>
    </row>
    <row r="99" spans="1:36" s="251" customFormat="1" ht="19.5" hidden="1" outlineLevel="1" x14ac:dyDescent="0.3">
      <c r="A99" s="260"/>
      <c r="B99" s="252"/>
      <c r="C99" s="246" t="s">
        <v>328</v>
      </c>
      <c r="D99" s="253">
        <v>150348.8844000001</v>
      </c>
      <c r="E99" s="248"/>
      <c r="F99" s="247"/>
      <c r="G99" s="247"/>
      <c r="H99" s="247"/>
      <c r="I99" s="247"/>
      <c r="J99" s="248"/>
      <c r="K99" s="248"/>
      <c r="L99" s="248"/>
      <c r="M99" s="247"/>
      <c r="N99" s="247">
        <v>150348.8844000001</v>
      </c>
      <c r="O99" s="247"/>
      <c r="P99" s="247"/>
      <c r="Q99" s="247"/>
      <c r="R99" s="248"/>
      <c r="S99" s="248"/>
      <c r="T99" s="247"/>
      <c r="U99" s="247"/>
      <c r="V99" s="247"/>
      <c r="W99" s="247"/>
      <c r="X99" s="247"/>
      <c r="Y99" s="248"/>
      <c r="Z99" s="248"/>
      <c r="AA99" s="248"/>
      <c r="AB99" s="247"/>
      <c r="AC99" s="247"/>
      <c r="AD99" s="247"/>
      <c r="AE99" s="247"/>
      <c r="AF99" s="248"/>
      <c r="AG99" s="248"/>
      <c r="AH99" s="247"/>
      <c r="AI99" s="249">
        <f t="shared" si="27"/>
        <v>150348.8844000001</v>
      </c>
      <c r="AJ99" s="254">
        <f t="shared" si="28"/>
        <v>0</v>
      </c>
    </row>
    <row r="100" spans="1:36" s="238" customFormat="1" ht="18.75" collapsed="1" x14ac:dyDescent="0.3">
      <c r="A100" s="261"/>
      <c r="B100" s="245">
        <v>2</v>
      </c>
      <c r="C100" s="246" t="s">
        <v>860</v>
      </c>
      <c r="D100" s="247">
        <f t="shared" ref="D100:AH100" si="35">SUM(D101:D106)</f>
        <v>220790.53368400002</v>
      </c>
      <c r="E100" s="248">
        <f t="shared" si="35"/>
        <v>0</v>
      </c>
      <c r="F100" s="247">
        <f t="shared" si="35"/>
        <v>0</v>
      </c>
      <c r="G100" s="247">
        <f t="shared" si="35"/>
        <v>0</v>
      </c>
      <c r="H100" s="247">
        <f t="shared" si="35"/>
        <v>0</v>
      </c>
      <c r="I100" s="247">
        <f t="shared" si="35"/>
        <v>0</v>
      </c>
      <c r="J100" s="248">
        <f t="shared" si="35"/>
        <v>0</v>
      </c>
      <c r="K100" s="248">
        <f t="shared" si="35"/>
        <v>0</v>
      </c>
      <c r="L100" s="248">
        <f t="shared" si="35"/>
        <v>0</v>
      </c>
      <c r="M100" s="247">
        <f t="shared" si="35"/>
        <v>11209.308816000001</v>
      </c>
      <c r="N100" s="247">
        <f t="shared" si="35"/>
        <v>209581.22486800002</v>
      </c>
      <c r="O100" s="247">
        <f t="shared" si="35"/>
        <v>0</v>
      </c>
      <c r="P100" s="247">
        <f t="shared" si="35"/>
        <v>0</v>
      </c>
      <c r="Q100" s="247">
        <f t="shared" si="35"/>
        <v>0</v>
      </c>
      <c r="R100" s="248">
        <f t="shared" si="35"/>
        <v>0</v>
      </c>
      <c r="S100" s="248">
        <f t="shared" si="35"/>
        <v>0</v>
      </c>
      <c r="T100" s="247">
        <f t="shared" si="35"/>
        <v>0</v>
      </c>
      <c r="U100" s="247">
        <f t="shared" si="35"/>
        <v>0</v>
      </c>
      <c r="V100" s="247">
        <f t="shared" si="35"/>
        <v>0</v>
      </c>
      <c r="W100" s="247">
        <f t="shared" si="35"/>
        <v>0</v>
      </c>
      <c r="X100" s="247">
        <f t="shared" si="35"/>
        <v>0</v>
      </c>
      <c r="Y100" s="248">
        <f t="shared" si="35"/>
        <v>0</v>
      </c>
      <c r="Z100" s="248">
        <f t="shared" si="35"/>
        <v>0</v>
      </c>
      <c r="AA100" s="248">
        <f t="shared" si="35"/>
        <v>0</v>
      </c>
      <c r="AB100" s="247">
        <f t="shared" si="35"/>
        <v>0</v>
      </c>
      <c r="AC100" s="247">
        <f t="shared" si="35"/>
        <v>0</v>
      </c>
      <c r="AD100" s="247">
        <f t="shared" si="35"/>
        <v>0</v>
      </c>
      <c r="AE100" s="247">
        <f t="shared" si="35"/>
        <v>0</v>
      </c>
      <c r="AF100" s="248">
        <f t="shared" si="35"/>
        <v>0</v>
      </c>
      <c r="AG100" s="248">
        <f t="shared" si="35"/>
        <v>0</v>
      </c>
      <c r="AH100" s="247">
        <f t="shared" si="35"/>
        <v>0</v>
      </c>
      <c r="AI100" s="249">
        <f t="shared" si="27"/>
        <v>220790.53368400002</v>
      </c>
      <c r="AJ100" s="250">
        <f t="shared" si="28"/>
        <v>0</v>
      </c>
    </row>
    <row r="101" spans="1:36" s="251" customFormat="1" ht="19.5" hidden="1" outlineLevel="1" x14ac:dyDescent="0.3">
      <c r="A101" s="260"/>
      <c r="B101" s="252"/>
      <c r="C101" s="246" t="s">
        <v>458</v>
      </c>
      <c r="D101" s="253">
        <v>209581.22486800002</v>
      </c>
      <c r="E101" s="248"/>
      <c r="F101" s="247"/>
      <c r="G101" s="247"/>
      <c r="H101" s="247"/>
      <c r="I101" s="247"/>
      <c r="J101" s="248"/>
      <c r="K101" s="248"/>
      <c r="L101" s="248"/>
      <c r="M101" s="247"/>
      <c r="N101" s="247">
        <v>209581.22486800002</v>
      </c>
      <c r="O101" s="247"/>
      <c r="P101" s="247"/>
      <c r="Q101" s="247"/>
      <c r="R101" s="248"/>
      <c r="S101" s="248"/>
      <c r="T101" s="247"/>
      <c r="U101" s="247"/>
      <c r="V101" s="247"/>
      <c r="W101" s="247"/>
      <c r="X101" s="247"/>
      <c r="Y101" s="248"/>
      <c r="Z101" s="248"/>
      <c r="AA101" s="248"/>
      <c r="AB101" s="247"/>
      <c r="AC101" s="247"/>
      <c r="AD101" s="247"/>
      <c r="AE101" s="247"/>
      <c r="AF101" s="248"/>
      <c r="AG101" s="248"/>
      <c r="AH101" s="247"/>
      <c r="AI101" s="249">
        <f t="shared" si="27"/>
        <v>209581.22486800002</v>
      </c>
      <c r="AJ101" s="254">
        <f t="shared" si="28"/>
        <v>0</v>
      </c>
    </row>
    <row r="102" spans="1:36" s="251" customFormat="1" ht="19.5" hidden="1" outlineLevel="1" x14ac:dyDescent="0.3">
      <c r="A102" s="260"/>
      <c r="B102" s="252"/>
      <c r="C102" s="246" t="s">
        <v>459</v>
      </c>
      <c r="D102" s="253"/>
      <c r="E102" s="248"/>
      <c r="F102" s="247"/>
      <c r="G102" s="247"/>
      <c r="H102" s="247"/>
      <c r="I102" s="247"/>
      <c r="J102" s="248"/>
      <c r="K102" s="248"/>
      <c r="L102" s="248"/>
      <c r="M102" s="247"/>
      <c r="N102" s="247"/>
      <c r="O102" s="247"/>
      <c r="P102" s="247"/>
      <c r="Q102" s="247"/>
      <c r="R102" s="248"/>
      <c r="S102" s="248"/>
      <c r="T102" s="247"/>
      <c r="U102" s="247"/>
      <c r="V102" s="247"/>
      <c r="W102" s="247"/>
      <c r="X102" s="247"/>
      <c r="Y102" s="248"/>
      <c r="Z102" s="248"/>
      <c r="AA102" s="248"/>
      <c r="AB102" s="247"/>
      <c r="AC102" s="247"/>
      <c r="AD102" s="247"/>
      <c r="AE102" s="247"/>
      <c r="AF102" s="248"/>
      <c r="AG102" s="248"/>
      <c r="AH102" s="247"/>
      <c r="AI102" s="249">
        <f t="shared" si="27"/>
        <v>0</v>
      </c>
      <c r="AJ102" s="254">
        <f t="shared" si="28"/>
        <v>0</v>
      </c>
    </row>
    <row r="103" spans="1:36" s="251" customFormat="1" ht="19.5" hidden="1" outlineLevel="1" x14ac:dyDescent="0.3">
      <c r="A103" s="260"/>
      <c r="B103" s="252"/>
      <c r="C103" s="246" t="s">
        <v>460</v>
      </c>
      <c r="D103" s="253">
        <v>1675.308816</v>
      </c>
      <c r="E103" s="248"/>
      <c r="F103" s="247"/>
      <c r="G103" s="247"/>
      <c r="H103" s="247"/>
      <c r="I103" s="247"/>
      <c r="J103" s="248"/>
      <c r="K103" s="248"/>
      <c r="L103" s="248"/>
      <c r="M103" s="247">
        <v>1675.308816</v>
      </c>
      <c r="N103" s="247"/>
      <c r="O103" s="247"/>
      <c r="P103" s="247"/>
      <c r="Q103" s="247"/>
      <c r="R103" s="248"/>
      <c r="S103" s="248"/>
      <c r="T103" s="247"/>
      <c r="U103" s="247"/>
      <c r="V103" s="247"/>
      <c r="W103" s="247"/>
      <c r="X103" s="247"/>
      <c r="Y103" s="248"/>
      <c r="Z103" s="248"/>
      <c r="AA103" s="248"/>
      <c r="AB103" s="247"/>
      <c r="AC103" s="247"/>
      <c r="AD103" s="247"/>
      <c r="AE103" s="247"/>
      <c r="AF103" s="248"/>
      <c r="AG103" s="248"/>
      <c r="AH103" s="247"/>
      <c r="AI103" s="249">
        <f t="shared" si="27"/>
        <v>1675.308816</v>
      </c>
      <c r="AJ103" s="254">
        <f t="shared" si="28"/>
        <v>0</v>
      </c>
    </row>
    <row r="104" spans="1:36" s="251" customFormat="1" ht="19.5" hidden="1" outlineLevel="1" x14ac:dyDescent="0.3">
      <c r="A104" s="260"/>
      <c r="B104" s="252"/>
      <c r="C104" s="246" t="s">
        <v>121</v>
      </c>
      <c r="D104" s="253">
        <v>9534</v>
      </c>
      <c r="E104" s="248"/>
      <c r="F104" s="247"/>
      <c r="G104" s="247"/>
      <c r="H104" s="247"/>
      <c r="I104" s="247"/>
      <c r="J104" s="248"/>
      <c r="K104" s="248"/>
      <c r="L104" s="248"/>
      <c r="M104" s="247">
        <v>9534</v>
      </c>
      <c r="N104" s="247"/>
      <c r="O104" s="247"/>
      <c r="P104" s="247"/>
      <c r="Q104" s="247"/>
      <c r="R104" s="248"/>
      <c r="S104" s="248"/>
      <c r="T104" s="247"/>
      <c r="U104" s="247"/>
      <c r="V104" s="247"/>
      <c r="W104" s="247"/>
      <c r="X104" s="247"/>
      <c r="Y104" s="248"/>
      <c r="Z104" s="248"/>
      <c r="AA104" s="248"/>
      <c r="AB104" s="247"/>
      <c r="AC104" s="247"/>
      <c r="AD104" s="247"/>
      <c r="AE104" s="247"/>
      <c r="AF104" s="248"/>
      <c r="AG104" s="248"/>
      <c r="AH104" s="247"/>
      <c r="AI104" s="249">
        <f t="shared" si="27"/>
        <v>9534</v>
      </c>
      <c r="AJ104" s="254">
        <f t="shared" si="28"/>
        <v>0</v>
      </c>
    </row>
    <row r="105" spans="1:36" s="251" customFormat="1" ht="19.5" hidden="1" outlineLevel="1" x14ac:dyDescent="0.3">
      <c r="A105" s="260"/>
      <c r="B105" s="252"/>
      <c r="C105" s="246" t="s">
        <v>461</v>
      </c>
      <c r="D105" s="253"/>
      <c r="E105" s="248"/>
      <c r="F105" s="247"/>
      <c r="G105" s="247"/>
      <c r="H105" s="247"/>
      <c r="I105" s="247"/>
      <c r="J105" s="248"/>
      <c r="K105" s="248"/>
      <c r="L105" s="248"/>
      <c r="M105" s="247"/>
      <c r="N105" s="247"/>
      <c r="O105" s="247"/>
      <c r="P105" s="247"/>
      <c r="Q105" s="247"/>
      <c r="R105" s="248"/>
      <c r="S105" s="248"/>
      <c r="T105" s="247"/>
      <c r="U105" s="247"/>
      <c r="V105" s="247"/>
      <c r="W105" s="247"/>
      <c r="X105" s="247"/>
      <c r="Y105" s="248"/>
      <c r="Z105" s="248"/>
      <c r="AA105" s="248"/>
      <c r="AB105" s="247"/>
      <c r="AC105" s="247"/>
      <c r="AD105" s="247"/>
      <c r="AE105" s="247"/>
      <c r="AF105" s="248"/>
      <c r="AG105" s="248"/>
      <c r="AH105" s="247"/>
      <c r="AI105" s="249">
        <f t="shared" si="27"/>
        <v>0</v>
      </c>
      <c r="AJ105" s="254">
        <f t="shared" si="28"/>
        <v>0</v>
      </c>
    </row>
    <row r="106" spans="1:36" s="251" customFormat="1" ht="19.5" hidden="1" outlineLevel="1" x14ac:dyDescent="0.3">
      <c r="A106" s="260"/>
      <c r="B106" s="252"/>
      <c r="C106" s="246" t="s">
        <v>466</v>
      </c>
      <c r="D106" s="253"/>
      <c r="E106" s="248"/>
      <c r="F106" s="247"/>
      <c r="G106" s="247"/>
      <c r="H106" s="247"/>
      <c r="I106" s="247"/>
      <c r="J106" s="248"/>
      <c r="K106" s="248"/>
      <c r="L106" s="248"/>
      <c r="M106" s="247"/>
      <c r="N106" s="247"/>
      <c r="O106" s="247"/>
      <c r="P106" s="247"/>
      <c r="Q106" s="247"/>
      <c r="R106" s="248"/>
      <c r="S106" s="248"/>
      <c r="T106" s="247"/>
      <c r="U106" s="247"/>
      <c r="V106" s="247"/>
      <c r="W106" s="247"/>
      <c r="X106" s="247"/>
      <c r="Y106" s="248"/>
      <c r="Z106" s="248"/>
      <c r="AA106" s="248"/>
      <c r="AB106" s="247"/>
      <c r="AC106" s="247"/>
      <c r="AD106" s="247"/>
      <c r="AE106" s="247"/>
      <c r="AF106" s="248"/>
      <c r="AG106" s="248"/>
      <c r="AH106" s="247"/>
      <c r="AI106" s="249">
        <f t="shared" ref="AI106:AI137" si="36">SUM(E106:AH106)</f>
        <v>0</v>
      </c>
      <c r="AJ106" s="254">
        <f t="shared" ref="AJ106:AJ137" si="37">+D106-AI106</f>
        <v>0</v>
      </c>
    </row>
    <row r="107" spans="1:36" s="238" customFormat="1" ht="18.75" collapsed="1" x14ac:dyDescent="0.3">
      <c r="A107" s="261"/>
      <c r="B107" s="245">
        <v>3</v>
      </c>
      <c r="C107" s="262" t="s">
        <v>861</v>
      </c>
      <c r="D107" s="247">
        <f t="shared" ref="D107:AH107" si="38">SUM(D108:D111)</f>
        <v>24728.824307039995</v>
      </c>
      <c r="E107" s="248">
        <f t="shared" si="38"/>
        <v>0</v>
      </c>
      <c r="F107" s="247">
        <f t="shared" si="38"/>
        <v>0</v>
      </c>
      <c r="G107" s="247">
        <f t="shared" si="38"/>
        <v>0</v>
      </c>
      <c r="H107" s="247">
        <f t="shared" si="38"/>
        <v>0</v>
      </c>
      <c r="I107" s="247">
        <f t="shared" si="38"/>
        <v>0</v>
      </c>
      <c r="J107" s="248">
        <f t="shared" si="38"/>
        <v>0</v>
      </c>
      <c r="K107" s="248">
        <f t="shared" si="38"/>
        <v>0</v>
      </c>
      <c r="L107" s="248">
        <f t="shared" si="38"/>
        <v>0</v>
      </c>
      <c r="M107" s="247">
        <f t="shared" si="38"/>
        <v>24728.824307039995</v>
      </c>
      <c r="N107" s="247">
        <f t="shared" si="38"/>
        <v>0</v>
      </c>
      <c r="O107" s="247">
        <f t="shared" si="38"/>
        <v>0</v>
      </c>
      <c r="P107" s="247">
        <f t="shared" si="38"/>
        <v>0</v>
      </c>
      <c r="Q107" s="247">
        <f t="shared" si="38"/>
        <v>0</v>
      </c>
      <c r="R107" s="248">
        <f t="shared" si="38"/>
        <v>0</v>
      </c>
      <c r="S107" s="248">
        <f t="shared" si="38"/>
        <v>0</v>
      </c>
      <c r="T107" s="247">
        <f t="shared" si="38"/>
        <v>0</v>
      </c>
      <c r="U107" s="247">
        <f t="shared" si="38"/>
        <v>0</v>
      </c>
      <c r="V107" s="247">
        <f t="shared" si="38"/>
        <v>0</v>
      </c>
      <c r="W107" s="247">
        <f t="shared" si="38"/>
        <v>0</v>
      </c>
      <c r="X107" s="247">
        <f t="shared" si="38"/>
        <v>0</v>
      </c>
      <c r="Y107" s="248">
        <f t="shared" si="38"/>
        <v>0</v>
      </c>
      <c r="Z107" s="248">
        <f t="shared" si="38"/>
        <v>0</v>
      </c>
      <c r="AA107" s="248">
        <f t="shared" si="38"/>
        <v>0</v>
      </c>
      <c r="AB107" s="247">
        <f t="shared" si="38"/>
        <v>0</v>
      </c>
      <c r="AC107" s="247">
        <f t="shared" si="38"/>
        <v>0</v>
      </c>
      <c r="AD107" s="247">
        <f t="shared" si="38"/>
        <v>0</v>
      </c>
      <c r="AE107" s="247">
        <f t="shared" si="38"/>
        <v>0</v>
      </c>
      <c r="AF107" s="248">
        <f t="shared" si="38"/>
        <v>0</v>
      </c>
      <c r="AG107" s="248">
        <f t="shared" si="38"/>
        <v>0</v>
      </c>
      <c r="AH107" s="247">
        <f t="shared" si="38"/>
        <v>0</v>
      </c>
      <c r="AI107" s="249">
        <f t="shared" si="36"/>
        <v>24728.824307039995</v>
      </c>
      <c r="AJ107" s="250">
        <f t="shared" si="37"/>
        <v>0</v>
      </c>
    </row>
    <row r="108" spans="1:36" s="251" customFormat="1" ht="19.5" hidden="1" outlineLevel="1" x14ac:dyDescent="0.3">
      <c r="A108" s="260"/>
      <c r="B108" s="252"/>
      <c r="C108" s="246" t="s">
        <v>462</v>
      </c>
      <c r="D108" s="253">
        <v>24728.824307039995</v>
      </c>
      <c r="E108" s="248"/>
      <c r="F108" s="247"/>
      <c r="G108" s="247"/>
      <c r="H108" s="247"/>
      <c r="I108" s="247"/>
      <c r="J108" s="248"/>
      <c r="K108" s="248"/>
      <c r="L108" s="248"/>
      <c r="M108" s="247">
        <v>24728.824307039995</v>
      </c>
      <c r="N108" s="247"/>
      <c r="O108" s="247"/>
      <c r="P108" s="247"/>
      <c r="Q108" s="247"/>
      <c r="R108" s="248"/>
      <c r="S108" s="248"/>
      <c r="T108" s="247"/>
      <c r="U108" s="247"/>
      <c r="V108" s="247"/>
      <c r="W108" s="247"/>
      <c r="X108" s="247"/>
      <c r="Y108" s="248"/>
      <c r="Z108" s="248"/>
      <c r="AA108" s="248"/>
      <c r="AB108" s="247"/>
      <c r="AC108" s="247"/>
      <c r="AD108" s="247"/>
      <c r="AE108" s="247"/>
      <c r="AF108" s="248"/>
      <c r="AG108" s="248"/>
      <c r="AH108" s="247"/>
      <c r="AI108" s="249">
        <f t="shared" si="36"/>
        <v>24728.824307039995</v>
      </c>
      <c r="AJ108" s="254">
        <f t="shared" si="37"/>
        <v>0</v>
      </c>
    </row>
    <row r="109" spans="1:36" s="251" customFormat="1" ht="19.5" hidden="1" outlineLevel="1" x14ac:dyDescent="0.3">
      <c r="A109" s="260"/>
      <c r="B109" s="252"/>
      <c r="C109" s="246" t="s">
        <v>463</v>
      </c>
      <c r="D109" s="253"/>
      <c r="E109" s="248"/>
      <c r="F109" s="247"/>
      <c r="G109" s="247"/>
      <c r="H109" s="247"/>
      <c r="I109" s="247"/>
      <c r="J109" s="248"/>
      <c r="K109" s="248"/>
      <c r="L109" s="248"/>
      <c r="M109" s="247"/>
      <c r="N109" s="247"/>
      <c r="O109" s="247"/>
      <c r="P109" s="247"/>
      <c r="Q109" s="247"/>
      <c r="R109" s="248"/>
      <c r="S109" s="248"/>
      <c r="T109" s="247"/>
      <c r="U109" s="247"/>
      <c r="V109" s="247"/>
      <c r="W109" s="247"/>
      <c r="X109" s="247"/>
      <c r="Y109" s="248"/>
      <c r="Z109" s="248"/>
      <c r="AA109" s="248"/>
      <c r="AB109" s="247"/>
      <c r="AC109" s="247"/>
      <c r="AD109" s="247"/>
      <c r="AE109" s="247"/>
      <c r="AF109" s="248"/>
      <c r="AG109" s="248"/>
      <c r="AH109" s="247"/>
      <c r="AI109" s="249">
        <f t="shared" si="36"/>
        <v>0</v>
      </c>
      <c r="AJ109" s="254">
        <f t="shared" si="37"/>
        <v>0</v>
      </c>
    </row>
    <row r="110" spans="1:36" s="251" customFormat="1" ht="19.5" hidden="1" outlineLevel="1" x14ac:dyDescent="0.3">
      <c r="A110" s="260"/>
      <c r="B110" s="252"/>
      <c r="C110" s="246" t="s">
        <v>464</v>
      </c>
      <c r="D110" s="253"/>
      <c r="E110" s="248"/>
      <c r="F110" s="247"/>
      <c r="G110" s="247"/>
      <c r="H110" s="247"/>
      <c r="I110" s="247"/>
      <c r="J110" s="248"/>
      <c r="K110" s="248"/>
      <c r="L110" s="248"/>
      <c r="M110" s="247"/>
      <c r="N110" s="247"/>
      <c r="O110" s="247"/>
      <c r="P110" s="247"/>
      <c r="Q110" s="247"/>
      <c r="R110" s="248"/>
      <c r="S110" s="248"/>
      <c r="T110" s="247"/>
      <c r="U110" s="247"/>
      <c r="V110" s="247"/>
      <c r="W110" s="247"/>
      <c r="X110" s="247"/>
      <c r="Y110" s="248"/>
      <c r="Z110" s="248"/>
      <c r="AA110" s="248"/>
      <c r="AB110" s="247"/>
      <c r="AC110" s="247"/>
      <c r="AD110" s="247"/>
      <c r="AE110" s="247"/>
      <c r="AF110" s="248"/>
      <c r="AG110" s="248"/>
      <c r="AH110" s="247"/>
      <c r="AI110" s="249">
        <f t="shared" si="36"/>
        <v>0</v>
      </c>
      <c r="AJ110" s="254">
        <f t="shared" si="37"/>
        <v>0</v>
      </c>
    </row>
    <row r="111" spans="1:36" s="251" customFormat="1" ht="19.5" hidden="1" outlineLevel="1" x14ac:dyDescent="0.3">
      <c r="A111" s="260"/>
      <c r="B111" s="252"/>
      <c r="C111" s="246" t="s">
        <v>465</v>
      </c>
      <c r="D111" s="253"/>
      <c r="E111" s="248"/>
      <c r="F111" s="247"/>
      <c r="G111" s="247"/>
      <c r="H111" s="247"/>
      <c r="I111" s="247"/>
      <c r="J111" s="248"/>
      <c r="K111" s="248"/>
      <c r="L111" s="248"/>
      <c r="M111" s="247"/>
      <c r="N111" s="247"/>
      <c r="O111" s="247"/>
      <c r="P111" s="247"/>
      <c r="Q111" s="247"/>
      <c r="R111" s="248"/>
      <c r="S111" s="248"/>
      <c r="T111" s="247"/>
      <c r="U111" s="247"/>
      <c r="V111" s="247"/>
      <c r="W111" s="247"/>
      <c r="X111" s="247"/>
      <c r="Y111" s="248"/>
      <c r="Z111" s="248"/>
      <c r="AA111" s="248"/>
      <c r="AB111" s="247"/>
      <c r="AC111" s="247"/>
      <c r="AD111" s="247"/>
      <c r="AE111" s="247"/>
      <c r="AF111" s="248"/>
      <c r="AG111" s="248"/>
      <c r="AH111" s="247"/>
      <c r="AI111" s="249">
        <f t="shared" si="36"/>
        <v>0</v>
      </c>
      <c r="AJ111" s="254">
        <f t="shared" si="37"/>
        <v>0</v>
      </c>
    </row>
    <row r="112" spans="1:36" s="238" customFormat="1" ht="18.75" collapsed="1" x14ac:dyDescent="0.3">
      <c r="A112" s="261"/>
      <c r="B112" s="245">
        <v>4</v>
      </c>
      <c r="C112" s="246" t="s">
        <v>54</v>
      </c>
      <c r="D112" s="253">
        <v>250317.59520000004</v>
      </c>
      <c r="E112" s="248"/>
      <c r="F112" s="247"/>
      <c r="G112" s="247"/>
      <c r="H112" s="247"/>
      <c r="I112" s="247"/>
      <c r="J112" s="248"/>
      <c r="K112" s="248"/>
      <c r="L112" s="248"/>
      <c r="M112" s="247">
        <v>250317.59520000004</v>
      </c>
      <c r="N112" s="247"/>
      <c r="O112" s="247"/>
      <c r="P112" s="247"/>
      <c r="Q112" s="247"/>
      <c r="R112" s="248"/>
      <c r="S112" s="248"/>
      <c r="T112" s="247"/>
      <c r="U112" s="247"/>
      <c r="V112" s="247"/>
      <c r="W112" s="247"/>
      <c r="X112" s="247"/>
      <c r="Y112" s="248"/>
      <c r="Z112" s="248"/>
      <c r="AA112" s="248"/>
      <c r="AB112" s="247"/>
      <c r="AC112" s="247"/>
      <c r="AD112" s="247"/>
      <c r="AE112" s="247"/>
      <c r="AF112" s="248"/>
      <c r="AG112" s="248"/>
      <c r="AH112" s="247"/>
      <c r="AI112" s="249">
        <f t="shared" si="36"/>
        <v>250317.59520000004</v>
      </c>
      <c r="AJ112" s="254">
        <f t="shared" si="37"/>
        <v>0</v>
      </c>
    </row>
    <row r="113" spans="1:36" s="238" customFormat="1" ht="18.75" x14ac:dyDescent="0.3">
      <c r="A113" s="261"/>
      <c r="B113" s="245">
        <v>5</v>
      </c>
      <c r="C113" s="246" t="s">
        <v>862</v>
      </c>
      <c r="D113" s="247">
        <f>D114+D119+D124+D127+D133</f>
        <v>61440.139488000001</v>
      </c>
      <c r="E113" s="248">
        <f t="shared" ref="E113:AH113" si="39">+E114+E119+E124+E127+E133</f>
        <v>0</v>
      </c>
      <c r="F113" s="247">
        <f t="shared" si="39"/>
        <v>0</v>
      </c>
      <c r="G113" s="247">
        <f t="shared" si="39"/>
        <v>0</v>
      </c>
      <c r="H113" s="247">
        <f t="shared" si="39"/>
        <v>0</v>
      </c>
      <c r="I113" s="247">
        <f t="shared" si="39"/>
        <v>0</v>
      </c>
      <c r="J113" s="248">
        <f t="shared" si="39"/>
        <v>0</v>
      </c>
      <c r="K113" s="248">
        <f t="shared" si="39"/>
        <v>0</v>
      </c>
      <c r="L113" s="248">
        <f t="shared" si="39"/>
        <v>0</v>
      </c>
      <c r="M113" s="247">
        <f t="shared" si="39"/>
        <v>3795</v>
      </c>
      <c r="N113" s="247">
        <f t="shared" si="39"/>
        <v>14645.139487999999</v>
      </c>
      <c r="O113" s="247">
        <f t="shared" si="39"/>
        <v>0</v>
      </c>
      <c r="P113" s="247">
        <f t="shared" si="39"/>
        <v>0</v>
      </c>
      <c r="Q113" s="247">
        <f t="shared" si="39"/>
        <v>0</v>
      </c>
      <c r="R113" s="248">
        <f t="shared" si="39"/>
        <v>0</v>
      </c>
      <c r="S113" s="248">
        <f t="shared" si="39"/>
        <v>0</v>
      </c>
      <c r="T113" s="247">
        <f t="shared" si="39"/>
        <v>0</v>
      </c>
      <c r="U113" s="247">
        <f t="shared" si="39"/>
        <v>0</v>
      </c>
      <c r="V113" s="247">
        <f t="shared" si="39"/>
        <v>0</v>
      </c>
      <c r="W113" s="247">
        <f t="shared" si="39"/>
        <v>0</v>
      </c>
      <c r="X113" s="247">
        <f t="shared" si="39"/>
        <v>43000</v>
      </c>
      <c r="Y113" s="248">
        <f t="shared" si="39"/>
        <v>0</v>
      </c>
      <c r="Z113" s="248">
        <f t="shared" si="39"/>
        <v>0</v>
      </c>
      <c r="AA113" s="248">
        <f t="shared" si="39"/>
        <v>0</v>
      </c>
      <c r="AB113" s="247">
        <f t="shared" si="39"/>
        <v>0</v>
      </c>
      <c r="AC113" s="247">
        <f t="shared" si="39"/>
        <v>0</v>
      </c>
      <c r="AD113" s="247">
        <f t="shared" si="39"/>
        <v>0</v>
      </c>
      <c r="AE113" s="247">
        <f t="shared" si="39"/>
        <v>0</v>
      </c>
      <c r="AF113" s="248">
        <f t="shared" si="39"/>
        <v>0</v>
      </c>
      <c r="AG113" s="248">
        <f t="shared" si="39"/>
        <v>0</v>
      </c>
      <c r="AH113" s="247">
        <f t="shared" si="39"/>
        <v>0</v>
      </c>
      <c r="AI113" s="249">
        <f t="shared" si="36"/>
        <v>61440.139488000001</v>
      </c>
      <c r="AJ113" s="250">
        <f t="shared" si="37"/>
        <v>0</v>
      </c>
    </row>
    <row r="114" spans="1:36" s="251" customFormat="1" ht="19.5" hidden="1" outlineLevel="1" x14ac:dyDescent="0.3">
      <c r="A114" s="260"/>
      <c r="B114" s="252"/>
      <c r="C114" s="246" t="s">
        <v>863</v>
      </c>
      <c r="D114" s="253">
        <f t="shared" ref="D114:AH114" si="40">SUM(D115:D118)</f>
        <v>795</v>
      </c>
      <c r="E114" s="248">
        <f t="shared" si="40"/>
        <v>0</v>
      </c>
      <c r="F114" s="247">
        <f t="shared" si="40"/>
        <v>0</v>
      </c>
      <c r="G114" s="247">
        <f t="shared" si="40"/>
        <v>0</v>
      </c>
      <c r="H114" s="247">
        <f t="shared" si="40"/>
        <v>0</v>
      </c>
      <c r="I114" s="247">
        <f t="shared" si="40"/>
        <v>0</v>
      </c>
      <c r="J114" s="248">
        <f t="shared" si="40"/>
        <v>0</v>
      </c>
      <c r="K114" s="248">
        <f t="shared" si="40"/>
        <v>0</v>
      </c>
      <c r="L114" s="248">
        <f t="shared" si="40"/>
        <v>0</v>
      </c>
      <c r="M114" s="247">
        <f t="shared" si="40"/>
        <v>795</v>
      </c>
      <c r="N114" s="247">
        <f t="shared" si="40"/>
        <v>0</v>
      </c>
      <c r="O114" s="247">
        <f t="shared" si="40"/>
        <v>0</v>
      </c>
      <c r="P114" s="247">
        <f t="shared" si="40"/>
        <v>0</v>
      </c>
      <c r="Q114" s="247">
        <f t="shared" si="40"/>
        <v>0</v>
      </c>
      <c r="R114" s="248">
        <f t="shared" si="40"/>
        <v>0</v>
      </c>
      <c r="S114" s="248">
        <f t="shared" si="40"/>
        <v>0</v>
      </c>
      <c r="T114" s="247">
        <f t="shared" si="40"/>
        <v>0</v>
      </c>
      <c r="U114" s="247">
        <f t="shared" si="40"/>
        <v>0</v>
      </c>
      <c r="V114" s="247">
        <f t="shared" si="40"/>
        <v>0</v>
      </c>
      <c r="W114" s="247">
        <f t="shared" si="40"/>
        <v>0</v>
      </c>
      <c r="X114" s="247">
        <f t="shared" si="40"/>
        <v>0</v>
      </c>
      <c r="Y114" s="248">
        <f t="shared" si="40"/>
        <v>0</v>
      </c>
      <c r="Z114" s="248">
        <f t="shared" si="40"/>
        <v>0</v>
      </c>
      <c r="AA114" s="248">
        <f t="shared" si="40"/>
        <v>0</v>
      </c>
      <c r="AB114" s="247">
        <f t="shared" si="40"/>
        <v>0</v>
      </c>
      <c r="AC114" s="247">
        <f t="shared" si="40"/>
        <v>0</v>
      </c>
      <c r="AD114" s="247">
        <f t="shared" si="40"/>
        <v>0</v>
      </c>
      <c r="AE114" s="247">
        <f t="shared" si="40"/>
        <v>0</v>
      </c>
      <c r="AF114" s="248">
        <f t="shared" si="40"/>
        <v>0</v>
      </c>
      <c r="AG114" s="248">
        <f t="shared" si="40"/>
        <v>0</v>
      </c>
      <c r="AH114" s="247">
        <f t="shared" si="40"/>
        <v>0</v>
      </c>
      <c r="AI114" s="249">
        <f t="shared" si="36"/>
        <v>795</v>
      </c>
      <c r="AJ114" s="254">
        <f t="shared" si="37"/>
        <v>0</v>
      </c>
    </row>
    <row r="115" spans="1:36" s="251" customFormat="1" ht="19.5" hidden="1" outlineLevel="2" x14ac:dyDescent="0.3">
      <c r="A115" s="260"/>
      <c r="B115" s="252"/>
      <c r="C115" s="263" t="s">
        <v>422</v>
      </c>
      <c r="D115" s="253">
        <f>+'[1]изх паричен поток'!$I$13+'[1]изх паричен поток'!$I$14</f>
        <v>795</v>
      </c>
      <c r="E115" s="248"/>
      <c r="F115" s="247"/>
      <c r="G115" s="247"/>
      <c r="H115" s="247"/>
      <c r="I115" s="247"/>
      <c r="J115" s="248"/>
      <c r="K115" s="248"/>
      <c r="L115" s="248"/>
      <c r="M115" s="247">
        <v>795</v>
      </c>
      <c r="N115" s="247"/>
      <c r="O115" s="247"/>
      <c r="P115" s="247"/>
      <c r="Q115" s="247"/>
      <c r="R115" s="248"/>
      <c r="S115" s="248"/>
      <c r="T115" s="247"/>
      <c r="U115" s="247"/>
      <c r="V115" s="247"/>
      <c r="W115" s="247"/>
      <c r="X115" s="247"/>
      <c r="Y115" s="248"/>
      <c r="Z115" s="248"/>
      <c r="AA115" s="248"/>
      <c r="AB115" s="247"/>
      <c r="AC115" s="247"/>
      <c r="AD115" s="247"/>
      <c r="AE115" s="247"/>
      <c r="AF115" s="248"/>
      <c r="AG115" s="248"/>
      <c r="AH115" s="247"/>
      <c r="AI115" s="249">
        <f t="shared" si="36"/>
        <v>795</v>
      </c>
      <c r="AJ115" s="254">
        <f t="shared" si="37"/>
        <v>0</v>
      </c>
    </row>
    <row r="116" spans="1:36" s="251" customFormat="1" ht="19.5" hidden="1" outlineLevel="2" x14ac:dyDescent="0.3">
      <c r="A116" s="260"/>
      <c r="B116" s="252"/>
      <c r="C116" s="263" t="s">
        <v>622</v>
      </c>
      <c r="D116" s="253"/>
      <c r="E116" s="248"/>
      <c r="F116" s="247"/>
      <c r="G116" s="247"/>
      <c r="H116" s="247"/>
      <c r="I116" s="247"/>
      <c r="J116" s="248"/>
      <c r="K116" s="248"/>
      <c r="L116" s="248"/>
      <c r="M116" s="247"/>
      <c r="N116" s="247"/>
      <c r="O116" s="247"/>
      <c r="P116" s="247"/>
      <c r="Q116" s="247"/>
      <c r="R116" s="248"/>
      <c r="S116" s="248"/>
      <c r="T116" s="247"/>
      <c r="U116" s="247"/>
      <c r="V116" s="247"/>
      <c r="W116" s="247"/>
      <c r="X116" s="247"/>
      <c r="Y116" s="248"/>
      <c r="Z116" s="248"/>
      <c r="AA116" s="248"/>
      <c r="AB116" s="247"/>
      <c r="AC116" s="247"/>
      <c r="AD116" s="247"/>
      <c r="AE116" s="247"/>
      <c r="AF116" s="248"/>
      <c r="AG116" s="248"/>
      <c r="AH116" s="247"/>
      <c r="AI116" s="249">
        <f t="shared" si="36"/>
        <v>0</v>
      </c>
      <c r="AJ116" s="254">
        <f t="shared" si="37"/>
        <v>0</v>
      </c>
    </row>
    <row r="117" spans="1:36" s="251" customFormat="1" ht="19.5" hidden="1" outlineLevel="2" x14ac:dyDescent="0.3">
      <c r="A117" s="260"/>
      <c r="B117" s="252"/>
      <c r="C117" s="263" t="s">
        <v>864</v>
      </c>
      <c r="D117" s="253"/>
      <c r="E117" s="248"/>
      <c r="F117" s="247"/>
      <c r="G117" s="247"/>
      <c r="H117" s="247"/>
      <c r="I117" s="247"/>
      <c r="J117" s="248"/>
      <c r="K117" s="248"/>
      <c r="L117" s="248"/>
      <c r="M117" s="247"/>
      <c r="N117" s="247"/>
      <c r="O117" s="247"/>
      <c r="P117" s="247"/>
      <c r="Q117" s="247"/>
      <c r="R117" s="248"/>
      <c r="S117" s="248"/>
      <c r="T117" s="247"/>
      <c r="U117" s="247"/>
      <c r="V117" s="247"/>
      <c r="W117" s="247"/>
      <c r="X117" s="247"/>
      <c r="Y117" s="248"/>
      <c r="Z117" s="248"/>
      <c r="AA117" s="248"/>
      <c r="AB117" s="247"/>
      <c r="AC117" s="247"/>
      <c r="AD117" s="247"/>
      <c r="AE117" s="247"/>
      <c r="AF117" s="248"/>
      <c r="AG117" s="248"/>
      <c r="AH117" s="247"/>
      <c r="AI117" s="249">
        <f t="shared" si="36"/>
        <v>0</v>
      </c>
      <c r="AJ117" s="254">
        <f t="shared" si="37"/>
        <v>0</v>
      </c>
    </row>
    <row r="118" spans="1:36" s="251" customFormat="1" ht="19.5" hidden="1" outlineLevel="2" x14ac:dyDescent="0.3">
      <c r="A118" s="260"/>
      <c r="B118" s="252"/>
      <c r="C118" s="263" t="s">
        <v>865</v>
      </c>
      <c r="D118" s="264"/>
      <c r="E118" s="248"/>
      <c r="F118" s="247"/>
      <c r="G118" s="247"/>
      <c r="H118" s="247"/>
      <c r="I118" s="247"/>
      <c r="J118" s="248"/>
      <c r="K118" s="248"/>
      <c r="L118" s="248"/>
      <c r="M118" s="247"/>
      <c r="N118" s="247"/>
      <c r="O118" s="247"/>
      <c r="P118" s="247"/>
      <c r="Q118" s="247"/>
      <c r="R118" s="248"/>
      <c r="S118" s="248"/>
      <c r="T118" s="247"/>
      <c r="U118" s="247"/>
      <c r="V118" s="247"/>
      <c r="W118" s="247"/>
      <c r="X118" s="247"/>
      <c r="Y118" s="248"/>
      <c r="Z118" s="248"/>
      <c r="AA118" s="248"/>
      <c r="AB118" s="247"/>
      <c r="AC118" s="247"/>
      <c r="AD118" s="247"/>
      <c r="AE118" s="247"/>
      <c r="AF118" s="248"/>
      <c r="AG118" s="248"/>
      <c r="AH118" s="247"/>
      <c r="AI118" s="249">
        <f t="shared" si="36"/>
        <v>0</v>
      </c>
      <c r="AJ118" s="254">
        <f t="shared" si="37"/>
        <v>0</v>
      </c>
    </row>
    <row r="119" spans="1:36" s="251" customFormat="1" ht="19.5" hidden="1" outlineLevel="1" collapsed="1" x14ac:dyDescent="0.3">
      <c r="A119" s="260"/>
      <c r="B119" s="252"/>
      <c r="C119" s="246" t="s">
        <v>866</v>
      </c>
      <c r="D119" s="253">
        <f t="shared" ref="D119:AH119" si="41">SUM(D120:D123)</f>
        <v>11445.139487999999</v>
      </c>
      <c r="E119" s="248">
        <f t="shared" si="41"/>
        <v>0</v>
      </c>
      <c r="F119" s="247">
        <f t="shared" si="41"/>
        <v>0</v>
      </c>
      <c r="G119" s="247">
        <f t="shared" si="41"/>
        <v>0</v>
      </c>
      <c r="H119" s="247">
        <f t="shared" si="41"/>
        <v>0</v>
      </c>
      <c r="I119" s="247">
        <f t="shared" si="41"/>
        <v>0</v>
      </c>
      <c r="J119" s="248">
        <f t="shared" si="41"/>
        <v>0</v>
      </c>
      <c r="K119" s="248">
        <f t="shared" si="41"/>
        <v>0</v>
      </c>
      <c r="L119" s="248">
        <f t="shared" si="41"/>
        <v>0</v>
      </c>
      <c r="M119" s="247">
        <f t="shared" si="41"/>
        <v>0</v>
      </c>
      <c r="N119" s="247">
        <f t="shared" si="41"/>
        <v>11445.139487999999</v>
      </c>
      <c r="O119" s="247">
        <f t="shared" si="41"/>
        <v>0</v>
      </c>
      <c r="P119" s="247">
        <f t="shared" si="41"/>
        <v>0</v>
      </c>
      <c r="Q119" s="247">
        <f t="shared" si="41"/>
        <v>0</v>
      </c>
      <c r="R119" s="248">
        <f t="shared" si="41"/>
        <v>0</v>
      </c>
      <c r="S119" s="248">
        <f t="shared" si="41"/>
        <v>0</v>
      </c>
      <c r="T119" s="247">
        <f t="shared" si="41"/>
        <v>0</v>
      </c>
      <c r="U119" s="247">
        <f t="shared" si="41"/>
        <v>0</v>
      </c>
      <c r="V119" s="247">
        <f t="shared" si="41"/>
        <v>0</v>
      </c>
      <c r="W119" s="247">
        <f t="shared" si="41"/>
        <v>0</v>
      </c>
      <c r="X119" s="247">
        <f t="shared" si="41"/>
        <v>0</v>
      </c>
      <c r="Y119" s="248">
        <f t="shared" si="41"/>
        <v>0</v>
      </c>
      <c r="Z119" s="248">
        <f t="shared" si="41"/>
        <v>0</v>
      </c>
      <c r="AA119" s="248">
        <f t="shared" si="41"/>
        <v>0</v>
      </c>
      <c r="AB119" s="247">
        <f t="shared" si="41"/>
        <v>0</v>
      </c>
      <c r="AC119" s="247">
        <f t="shared" si="41"/>
        <v>0</v>
      </c>
      <c r="AD119" s="247">
        <f t="shared" si="41"/>
        <v>0</v>
      </c>
      <c r="AE119" s="247">
        <f t="shared" si="41"/>
        <v>0</v>
      </c>
      <c r="AF119" s="248">
        <f t="shared" si="41"/>
        <v>0</v>
      </c>
      <c r="AG119" s="248">
        <f t="shared" si="41"/>
        <v>0</v>
      </c>
      <c r="AH119" s="247">
        <f t="shared" si="41"/>
        <v>0</v>
      </c>
      <c r="AI119" s="249">
        <f t="shared" si="36"/>
        <v>11445.139487999999</v>
      </c>
      <c r="AJ119" s="254">
        <f t="shared" si="37"/>
        <v>0</v>
      </c>
    </row>
    <row r="120" spans="1:36" s="251" customFormat="1" ht="19.5" hidden="1" outlineLevel="2" x14ac:dyDescent="0.3">
      <c r="A120" s="260"/>
      <c r="B120" s="252"/>
      <c r="C120" s="263" t="s">
        <v>343</v>
      </c>
      <c r="D120" s="253">
        <f>+'[1]изх паричен поток'!$I$15+'[1]изх паричен поток'!$I$16+'[1]изх паричен поток'!$I$17</f>
        <v>11445.139487999999</v>
      </c>
      <c r="E120" s="248"/>
      <c r="F120" s="247"/>
      <c r="G120" s="247"/>
      <c r="H120" s="247"/>
      <c r="I120" s="247"/>
      <c r="J120" s="248"/>
      <c r="K120" s="248"/>
      <c r="L120" s="248"/>
      <c r="M120" s="247"/>
      <c r="N120" s="247">
        <v>11445.139487999999</v>
      </c>
      <c r="O120" s="247"/>
      <c r="P120" s="247"/>
      <c r="Q120" s="247"/>
      <c r="R120" s="248"/>
      <c r="S120" s="248"/>
      <c r="T120" s="247"/>
      <c r="U120" s="247"/>
      <c r="V120" s="247"/>
      <c r="W120" s="247"/>
      <c r="X120" s="247"/>
      <c r="Y120" s="248"/>
      <c r="Z120" s="248"/>
      <c r="AA120" s="248"/>
      <c r="AB120" s="247"/>
      <c r="AC120" s="247"/>
      <c r="AD120" s="247"/>
      <c r="AE120" s="247"/>
      <c r="AF120" s="248"/>
      <c r="AG120" s="248"/>
      <c r="AH120" s="247"/>
      <c r="AI120" s="249">
        <f t="shared" si="36"/>
        <v>11445.139487999999</v>
      </c>
      <c r="AJ120" s="254">
        <f t="shared" si="37"/>
        <v>0</v>
      </c>
    </row>
    <row r="121" spans="1:36" s="251" customFormat="1" ht="19.5" hidden="1" outlineLevel="2" x14ac:dyDescent="0.3">
      <c r="A121" s="260"/>
      <c r="B121" s="252"/>
      <c r="C121" s="263" t="s">
        <v>609</v>
      </c>
      <c r="D121" s="253"/>
      <c r="E121" s="248"/>
      <c r="F121" s="247"/>
      <c r="G121" s="247"/>
      <c r="H121" s="247"/>
      <c r="I121" s="247"/>
      <c r="J121" s="248"/>
      <c r="K121" s="248"/>
      <c r="L121" s="248"/>
      <c r="M121" s="247"/>
      <c r="N121" s="247"/>
      <c r="O121" s="247"/>
      <c r="P121" s="247"/>
      <c r="Q121" s="247"/>
      <c r="R121" s="248"/>
      <c r="S121" s="248"/>
      <c r="T121" s="247"/>
      <c r="U121" s="247"/>
      <c r="V121" s="247"/>
      <c r="W121" s="247"/>
      <c r="X121" s="247"/>
      <c r="Y121" s="248"/>
      <c r="Z121" s="248"/>
      <c r="AA121" s="248"/>
      <c r="AB121" s="247"/>
      <c r="AC121" s="247"/>
      <c r="AD121" s="247"/>
      <c r="AE121" s="247"/>
      <c r="AF121" s="248"/>
      <c r="AG121" s="248"/>
      <c r="AH121" s="247"/>
      <c r="AI121" s="249">
        <f t="shared" si="36"/>
        <v>0</v>
      </c>
      <c r="AJ121" s="254">
        <f t="shared" si="37"/>
        <v>0</v>
      </c>
    </row>
    <row r="122" spans="1:36" s="251" customFormat="1" ht="19.5" hidden="1" outlineLevel="2" x14ac:dyDescent="0.3">
      <c r="A122" s="260"/>
      <c r="B122" s="252"/>
      <c r="C122" s="263" t="s">
        <v>450</v>
      </c>
      <c r="D122" s="253"/>
      <c r="E122" s="248"/>
      <c r="F122" s="247"/>
      <c r="G122" s="247"/>
      <c r="H122" s="247"/>
      <c r="I122" s="247"/>
      <c r="J122" s="248"/>
      <c r="K122" s="248"/>
      <c r="L122" s="248"/>
      <c r="M122" s="247"/>
      <c r="N122" s="247"/>
      <c r="O122" s="247"/>
      <c r="P122" s="247"/>
      <c r="Q122" s="247"/>
      <c r="R122" s="248"/>
      <c r="S122" s="248"/>
      <c r="T122" s="247"/>
      <c r="U122" s="247"/>
      <c r="V122" s="247"/>
      <c r="W122" s="247"/>
      <c r="X122" s="247"/>
      <c r="Y122" s="248"/>
      <c r="Z122" s="248"/>
      <c r="AA122" s="248"/>
      <c r="AB122" s="247"/>
      <c r="AC122" s="247"/>
      <c r="AD122" s="247"/>
      <c r="AE122" s="247"/>
      <c r="AF122" s="248"/>
      <c r="AG122" s="248"/>
      <c r="AH122" s="247"/>
      <c r="AI122" s="249">
        <f t="shared" si="36"/>
        <v>0</v>
      </c>
      <c r="AJ122" s="254">
        <f t="shared" si="37"/>
        <v>0</v>
      </c>
    </row>
    <row r="123" spans="1:36" s="251" customFormat="1" ht="19.5" hidden="1" outlineLevel="2" x14ac:dyDescent="0.3">
      <c r="A123" s="260"/>
      <c r="B123" s="252"/>
      <c r="C123" s="263" t="s">
        <v>867</v>
      </c>
      <c r="D123" s="253"/>
      <c r="E123" s="248"/>
      <c r="F123" s="247"/>
      <c r="G123" s="247"/>
      <c r="H123" s="247"/>
      <c r="I123" s="247"/>
      <c r="J123" s="248"/>
      <c r="K123" s="248"/>
      <c r="L123" s="248"/>
      <c r="M123" s="247"/>
      <c r="N123" s="247"/>
      <c r="O123" s="247"/>
      <c r="P123" s="247"/>
      <c r="Q123" s="247"/>
      <c r="R123" s="248"/>
      <c r="S123" s="248"/>
      <c r="T123" s="247"/>
      <c r="U123" s="247"/>
      <c r="V123" s="247"/>
      <c r="W123" s="247"/>
      <c r="X123" s="247"/>
      <c r="Y123" s="248"/>
      <c r="Z123" s="248"/>
      <c r="AA123" s="248"/>
      <c r="AB123" s="247"/>
      <c r="AC123" s="247"/>
      <c r="AD123" s="247"/>
      <c r="AE123" s="247"/>
      <c r="AF123" s="248"/>
      <c r="AG123" s="248"/>
      <c r="AH123" s="247"/>
      <c r="AI123" s="249">
        <f t="shared" si="36"/>
        <v>0</v>
      </c>
      <c r="AJ123" s="254">
        <f t="shared" si="37"/>
        <v>0</v>
      </c>
    </row>
    <row r="124" spans="1:36" s="251" customFormat="1" ht="19.5" hidden="1" outlineLevel="1" collapsed="1" x14ac:dyDescent="0.3">
      <c r="A124" s="260"/>
      <c r="B124" s="252"/>
      <c r="C124" s="246" t="s">
        <v>868</v>
      </c>
      <c r="D124" s="253">
        <f t="shared" ref="D124:AH124" si="42">SUM(D125:D126)</f>
        <v>3000</v>
      </c>
      <c r="E124" s="248">
        <f t="shared" si="42"/>
        <v>0</v>
      </c>
      <c r="F124" s="247">
        <f t="shared" si="42"/>
        <v>0</v>
      </c>
      <c r="G124" s="247">
        <f t="shared" si="42"/>
        <v>0</v>
      </c>
      <c r="H124" s="247">
        <f t="shared" si="42"/>
        <v>0</v>
      </c>
      <c r="I124" s="247">
        <f t="shared" si="42"/>
        <v>0</v>
      </c>
      <c r="J124" s="248">
        <f t="shared" si="42"/>
        <v>0</v>
      </c>
      <c r="K124" s="248">
        <f t="shared" si="42"/>
        <v>0</v>
      </c>
      <c r="L124" s="248">
        <f t="shared" si="42"/>
        <v>0</v>
      </c>
      <c r="M124" s="247">
        <f t="shared" si="42"/>
        <v>3000</v>
      </c>
      <c r="N124" s="247">
        <f t="shared" si="42"/>
        <v>0</v>
      </c>
      <c r="O124" s="247">
        <f t="shared" si="42"/>
        <v>0</v>
      </c>
      <c r="P124" s="247">
        <f t="shared" si="42"/>
        <v>0</v>
      </c>
      <c r="Q124" s="247">
        <f t="shared" si="42"/>
        <v>0</v>
      </c>
      <c r="R124" s="248">
        <f t="shared" si="42"/>
        <v>0</v>
      </c>
      <c r="S124" s="248">
        <f t="shared" si="42"/>
        <v>0</v>
      </c>
      <c r="T124" s="247">
        <f t="shared" si="42"/>
        <v>0</v>
      </c>
      <c r="U124" s="247">
        <f t="shared" si="42"/>
        <v>0</v>
      </c>
      <c r="V124" s="247">
        <f t="shared" si="42"/>
        <v>0</v>
      </c>
      <c r="W124" s="247">
        <f t="shared" si="42"/>
        <v>0</v>
      </c>
      <c r="X124" s="247">
        <f t="shared" si="42"/>
        <v>0</v>
      </c>
      <c r="Y124" s="248">
        <f t="shared" si="42"/>
        <v>0</v>
      </c>
      <c r="Z124" s="248">
        <f t="shared" si="42"/>
        <v>0</v>
      </c>
      <c r="AA124" s="248">
        <f t="shared" si="42"/>
        <v>0</v>
      </c>
      <c r="AB124" s="247">
        <f t="shared" si="42"/>
        <v>0</v>
      </c>
      <c r="AC124" s="247">
        <f t="shared" si="42"/>
        <v>0</v>
      </c>
      <c r="AD124" s="247">
        <f t="shared" si="42"/>
        <v>0</v>
      </c>
      <c r="AE124" s="247">
        <f t="shared" si="42"/>
        <v>0</v>
      </c>
      <c r="AF124" s="248">
        <f t="shared" si="42"/>
        <v>0</v>
      </c>
      <c r="AG124" s="248">
        <f t="shared" si="42"/>
        <v>0</v>
      </c>
      <c r="AH124" s="247">
        <f t="shared" si="42"/>
        <v>0</v>
      </c>
      <c r="AI124" s="249">
        <f t="shared" si="36"/>
        <v>3000</v>
      </c>
      <c r="AJ124" s="254">
        <f t="shared" si="37"/>
        <v>0</v>
      </c>
    </row>
    <row r="125" spans="1:36" s="251" customFormat="1" ht="19.5" hidden="1" outlineLevel="2" x14ac:dyDescent="0.3">
      <c r="A125" s="260"/>
      <c r="B125" s="252"/>
      <c r="C125" s="263" t="s">
        <v>869</v>
      </c>
      <c r="D125" s="253"/>
      <c r="E125" s="248"/>
      <c r="F125" s="247"/>
      <c r="G125" s="247"/>
      <c r="H125" s="247"/>
      <c r="I125" s="247"/>
      <c r="J125" s="248"/>
      <c r="K125" s="248"/>
      <c r="L125" s="248"/>
      <c r="M125" s="247"/>
      <c r="N125" s="247"/>
      <c r="O125" s="247"/>
      <c r="P125" s="247"/>
      <c r="Q125" s="247"/>
      <c r="R125" s="248"/>
      <c r="S125" s="248"/>
      <c r="T125" s="247"/>
      <c r="U125" s="247"/>
      <c r="V125" s="247"/>
      <c r="W125" s="247"/>
      <c r="X125" s="247"/>
      <c r="Y125" s="248"/>
      <c r="Z125" s="248"/>
      <c r="AA125" s="248"/>
      <c r="AB125" s="247"/>
      <c r="AC125" s="247"/>
      <c r="AD125" s="247"/>
      <c r="AE125" s="247"/>
      <c r="AF125" s="248"/>
      <c r="AG125" s="248"/>
      <c r="AH125" s="247"/>
      <c r="AI125" s="249">
        <f t="shared" si="36"/>
        <v>0</v>
      </c>
      <c r="AJ125" s="254">
        <f t="shared" si="37"/>
        <v>0</v>
      </c>
    </row>
    <row r="126" spans="1:36" s="251" customFormat="1" ht="19.5" hidden="1" outlineLevel="2" x14ac:dyDescent="0.3">
      <c r="A126" s="260"/>
      <c r="B126" s="252"/>
      <c r="C126" s="263" t="s">
        <v>415</v>
      </c>
      <c r="D126" s="253">
        <f>+'[1]изх паричен поток'!$I$18</f>
        <v>3000</v>
      </c>
      <c r="E126" s="248"/>
      <c r="F126" s="247"/>
      <c r="G126" s="247"/>
      <c r="H126" s="247"/>
      <c r="I126" s="247"/>
      <c r="J126" s="248"/>
      <c r="K126" s="248"/>
      <c r="L126" s="248"/>
      <c r="M126" s="247">
        <v>3000</v>
      </c>
      <c r="N126" s="247"/>
      <c r="O126" s="247"/>
      <c r="P126" s="247"/>
      <c r="Q126" s="247"/>
      <c r="R126" s="248"/>
      <c r="S126" s="248"/>
      <c r="T126" s="247"/>
      <c r="U126" s="247"/>
      <c r="V126" s="247"/>
      <c r="W126" s="247"/>
      <c r="X126" s="247"/>
      <c r="Y126" s="248"/>
      <c r="Z126" s="248"/>
      <c r="AA126" s="248"/>
      <c r="AB126" s="247"/>
      <c r="AC126" s="247"/>
      <c r="AD126" s="247"/>
      <c r="AE126" s="247"/>
      <c r="AF126" s="248"/>
      <c r="AG126" s="248"/>
      <c r="AH126" s="247"/>
      <c r="AI126" s="249">
        <f t="shared" si="36"/>
        <v>3000</v>
      </c>
      <c r="AJ126" s="254">
        <f t="shared" si="37"/>
        <v>0</v>
      </c>
    </row>
    <row r="127" spans="1:36" s="259" customFormat="1" ht="19.5" hidden="1" outlineLevel="1" collapsed="1" x14ac:dyDescent="0.3">
      <c r="A127" s="256"/>
      <c r="B127" s="257"/>
      <c r="C127" s="246" t="s">
        <v>870</v>
      </c>
      <c r="D127" s="253">
        <f t="shared" ref="D127:AH127" si="43">SUM(D128:D132)</f>
        <v>3200</v>
      </c>
      <c r="E127" s="248">
        <f t="shared" si="43"/>
        <v>0</v>
      </c>
      <c r="F127" s="247">
        <f t="shared" si="43"/>
        <v>0</v>
      </c>
      <c r="G127" s="247">
        <f t="shared" si="43"/>
        <v>0</v>
      </c>
      <c r="H127" s="247">
        <f t="shared" si="43"/>
        <v>0</v>
      </c>
      <c r="I127" s="247">
        <f t="shared" si="43"/>
        <v>0</v>
      </c>
      <c r="J127" s="248">
        <f t="shared" si="43"/>
        <v>0</v>
      </c>
      <c r="K127" s="248">
        <f t="shared" si="43"/>
        <v>0</v>
      </c>
      <c r="L127" s="248">
        <f t="shared" si="43"/>
        <v>0</v>
      </c>
      <c r="M127" s="247">
        <f t="shared" si="43"/>
        <v>0</v>
      </c>
      <c r="N127" s="247">
        <f t="shared" si="43"/>
        <v>3200</v>
      </c>
      <c r="O127" s="247">
        <f t="shared" si="43"/>
        <v>0</v>
      </c>
      <c r="P127" s="247">
        <f t="shared" si="43"/>
        <v>0</v>
      </c>
      <c r="Q127" s="247">
        <f t="shared" si="43"/>
        <v>0</v>
      </c>
      <c r="R127" s="248">
        <f t="shared" si="43"/>
        <v>0</v>
      </c>
      <c r="S127" s="248">
        <f t="shared" si="43"/>
        <v>0</v>
      </c>
      <c r="T127" s="247">
        <f t="shared" si="43"/>
        <v>0</v>
      </c>
      <c r="U127" s="247">
        <f t="shared" si="43"/>
        <v>0</v>
      </c>
      <c r="V127" s="247">
        <f t="shared" si="43"/>
        <v>0</v>
      </c>
      <c r="W127" s="247">
        <f t="shared" si="43"/>
        <v>0</v>
      </c>
      <c r="X127" s="247">
        <f t="shared" si="43"/>
        <v>0</v>
      </c>
      <c r="Y127" s="248">
        <f t="shared" si="43"/>
        <v>0</v>
      </c>
      <c r="Z127" s="248">
        <f t="shared" si="43"/>
        <v>0</v>
      </c>
      <c r="AA127" s="248">
        <f t="shared" si="43"/>
        <v>0</v>
      </c>
      <c r="AB127" s="247">
        <f t="shared" si="43"/>
        <v>0</v>
      </c>
      <c r="AC127" s="247">
        <f t="shared" si="43"/>
        <v>0</v>
      </c>
      <c r="AD127" s="247">
        <f t="shared" si="43"/>
        <v>0</v>
      </c>
      <c r="AE127" s="247">
        <f t="shared" si="43"/>
        <v>0</v>
      </c>
      <c r="AF127" s="248">
        <f t="shared" si="43"/>
        <v>0</v>
      </c>
      <c r="AG127" s="248">
        <f t="shared" si="43"/>
        <v>0</v>
      </c>
      <c r="AH127" s="247">
        <f t="shared" si="43"/>
        <v>0</v>
      </c>
      <c r="AI127" s="249">
        <f t="shared" si="36"/>
        <v>3200</v>
      </c>
      <c r="AJ127" s="254">
        <f t="shared" si="37"/>
        <v>0</v>
      </c>
    </row>
    <row r="128" spans="1:36" s="259" customFormat="1" ht="19.5" hidden="1" outlineLevel="2" x14ac:dyDescent="0.3">
      <c r="A128" s="256"/>
      <c r="B128" s="257"/>
      <c r="C128" s="263" t="s">
        <v>871</v>
      </c>
      <c r="D128" s="253"/>
      <c r="E128" s="248"/>
      <c r="F128" s="247"/>
      <c r="G128" s="247"/>
      <c r="H128" s="247"/>
      <c r="I128" s="247"/>
      <c r="J128" s="248"/>
      <c r="K128" s="248"/>
      <c r="L128" s="248"/>
      <c r="M128" s="247"/>
      <c r="N128" s="247"/>
      <c r="O128" s="247"/>
      <c r="P128" s="247"/>
      <c r="Q128" s="247"/>
      <c r="R128" s="248"/>
      <c r="S128" s="248"/>
      <c r="T128" s="247"/>
      <c r="U128" s="247"/>
      <c r="V128" s="247"/>
      <c r="W128" s="247"/>
      <c r="X128" s="247"/>
      <c r="Y128" s="248"/>
      <c r="Z128" s="248"/>
      <c r="AA128" s="248"/>
      <c r="AB128" s="247"/>
      <c r="AC128" s="247"/>
      <c r="AD128" s="247"/>
      <c r="AE128" s="247"/>
      <c r="AF128" s="248"/>
      <c r="AG128" s="248"/>
      <c r="AH128" s="247"/>
      <c r="AI128" s="249">
        <f t="shared" si="36"/>
        <v>0</v>
      </c>
      <c r="AJ128" s="254">
        <f t="shared" si="37"/>
        <v>0</v>
      </c>
    </row>
    <row r="129" spans="1:36" s="259" customFormat="1" ht="19.5" hidden="1" outlineLevel="2" x14ac:dyDescent="0.3">
      <c r="A129" s="256"/>
      <c r="B129" s="257"/>
      <c r="C129" s="263" t="s">
        <v>872</v>
      </c>
      <c r="D129" s="253">
        <f>+'[1]изх паричен поток'!$I$19</f>
        <v>3200</v>
      </c>
      <c r="E129" s="248"/>
      <c r="F129" s="247"/>
      <c r="G129" s="247"/>
      <c r="H129" s="247"/>
      <c r="I129" s="247"/>
      <c r="J129" s="248"/>
      <c r="K129" s="248"/>
      <c r="L129" s="248"/>
      <c r="M129" s="247"/>
      <c r="N129" s="247">
        <v>3200</v>
      </c>
      <c r="O129" s="247"/>
      <c r="P129" s="247"/>
      <c r="Q129" s="247"/>
      <c r="R129" s="248"/>
      <c r="S129" s="248"/>
      <c r="T129" s="247"/>
      <c r="U129" s="247"/>
      <c r="V129" s="247"/>
      <c r="W129" s="247"/>
      <c r="X129" s="247"/>
      <c r="Y129" s="248"/>
      <c r="Z129" s="248"/>
      <c r="AA129" s="248"/>
      <c r="AB129" s="247"/>
      <c r="AC129" s="247"/>
      <c r="AD129" s="247"/>
      <c r="AE129" s="247"/>
      <c r="AF129" s="248"/>
      <c r="AG129" s="248"/>
      <c r="AH129" s="247"/>
      <c r="AI129" s="249">
        <f t="shared" si="36"/>
        <v>3200</v>
      </c>
      <c r="AJ129" s="254">
        <f t="shared" si="37"/>
        <v>0</v>
      </c>
    </row>
    <row r="130" spans="1:36" s="259" customFormat="1" ht="19.5" hidden="1" outlineLevel="2" x14ac:dyDescent="0.3">
      <c r="A130" s="256"/>
      <c r="B130" s="257"/>
      <c r="C130" s="263" t="s">
        <v>786</v>
      </c>
      <c r="D130" s="253"/>
      <c r="E130" s="248"/>
      <c r="F130" s="247"/>
      <c r="G130" s="247"/>
      <c r="H130" s="247"/>
      <c r="I130" s="247"/>
      <c r="J130" s="248"/>
      <c r="K130" s="248"/>
      <c r="L130" s="248"/>
      <c r="M130" s="247"/>
      <c r="N130" s="247"/>
      <c r="O130" s="247"/>
      <c r="P130" s="247"/>
      <c r="Q130" s="247"/>
      <c r="R130" s="248"/>
      <c r="S130" s="248"/>
      <c r="T130" s="247"/>
      <c r="U130" s="247"/>
      <c r="V130" s="247"/>
      <c r="W130" s="247"/>
      <c r="X130" s="247"/>
      <c r="Y130" s="248"/>
      <c r="Z130" s="248"/>
      <c r="AA130" s="248"/>
      <c r="AB130" s="247"/>
      <c r="AC130" s="247"/>
      <c r="AD130" s="247"/>
      <c r="AE130" s="247"/>
      <c r="AF130" s="248"/>
      <c r="AG130" s="248"/>
      <c r="AH130" s="247"/>
      <c r="AI130" s="249">
        <f t="shared" si="36"/>
        <v>0</v>
      </c>
      <c r="AJ130" s="254">
        <f t="shared" si="37"/>
        <v>0</v>
      </c>
    </row>
    <row r="131" spans="1:36" s="259" customFormat="1" ht="19.5" hidden="1" outlineLevel="2" x14ac:dyDescent="0.3">
      <c r="A131" s="256"/>
      <c r="B131" s="257"/>
      <c r="C131" s="263" t="s">
        <v>873</v>
      </c>
      <c r="D131" s="253"/>
      <c r="E131" s="248"/>
      <c r="F131" s="247"/>
      <c r="G131" s="247"/>
      <c r="H131" s="247"/>
      <c r="I131" s="247"/>
      <c r="J131" s="248"/>
      <c r="K131" s="248"/>
      <c r="L131" s="248"/>
      <c r="M131" s="247"/>
      <c r="N131" s="247"/>
      <c r="O131" s="247"/>
      <c r="P131" s="247"/>
      <c r="Q131" s="247"/>
      <c r="R131" s="248"/>
      <c r="S131" s="248"/>
      <c r="T131" s="247"/>
      <c r="U131" s="247"/>
      <c r="V131" s="247"/>
      <c r="W131" s="247"/>
      <c r="X131" s="247"/>
      <c r="Y131" s="248"/>
      <c r="Z131" s="248"/>
      <c r="AA131" s="248"/>
      <c r="AB131" s="247"/>
      <c r="AC131" s="247"/>
      <c r="AD131" s="247"/>
      <c r="AE131" s="247"/>
      <c r="AF131" s="248"/>
      <c r="AG131" s="248"/>
      <c r="AH131" s="247"/>
      <c r="AI131" s="249">
        <f t="shared" si="36"/>
        <v>0</v>
      </c>
      <c r="AJ131" s="254">
        <f t="shared" si="37"/>
        <v>0</v>
      </c>
    </row>
    <row r="132" spans="1:36" s="259" customFormat="1" ht="19.5" hidden="1" outlineLevel="2" x14ac:dyDescent="0.3">
      <c r="A132" s="256"/>
      <c r="B132" s="257"/>
      <c r="C132" s="263" t="s">
        <v>874</v>
      </c>
      <c r="D132" s="253"/>
      <c r="E132" s="248"/>
      <c r="F132" s="247"/>
      <c r="G132" s="247"/>
      <c r="H132" s="247"/>
      <c r="I132" s="247"/>
      <c r="J132" s="248"/>
      <c r="K132" s="248"/>
      <c r="L132" s="248"/>
      <c r="M132" s="247"/>
      <c r="N132" s="247"/>
      <c r="O132" s="247"/>
      <c r="P132" s="247"/>
      <c r="Q132" s="247"/>
      <c r="R132" s="248"/>
      <c r="S132" s="248"/>
      <c r="T132" s="247"/>
      <c r="U132" s="247"/>
      <c r="V132" s="247"/>
      <c r="W132" s="247"/>
      <c r="X132" s="247"/>
      <c r="Y132" s="248"/>
      <c r="Z132" s="248"/>
      <c r="AA132" s="248"/>
      <c r="AB132" s="247"/>
      <c r="AC132" s="247"/>
      <c r="AD132" s="247"/>
      <c r="AE132" s="247"/>
      <c r="AF132" s="248"/>
      <c r="AG132" s="248"/>
      <c r="AH132" s="247"/>
      <c r="AI132" s="249">
        <f t="shared" si="36"/>
        <v>0</v>
      </c>
      <c r="AJ132" s="254">
        <f t="shared" si="37"/>
        <v>0</v>
      </c>
    </row>
    <row r="133" spans="1:36" s="259" customFormat="1" ht="19.5" hidden="1" outlineLevel="1" collapsed="1" x14ac:dyDescent="0.3">
      <c r="A133" s="256"/>
      <c r="B133" s="257"/>
      <c r="C133" s="258" t="s">
        <v>875</v>
      </c>
      <c r="D133" s="253">
        <f t="shared" ref="D133:AH133" si="44">SUM(D134:D136)</f>
        <v>43000</v>
      </c>
      <c r="E133" s="248">
        <f t="shared" si="44"/>
        <v>0</v>
      </c>
      <c r="F133" s="247">
        <f t="shared" si="44"/>
        <v>0</v>
      </c>
      <c r="G133" s="247">
        <f t="shared" si="44"/>
        <v>0</v>
      </c>
      <c r="H133" s="247">
        <f t="shared" si="44"/>
        <v>0</v>
      </c>
      <c r="I133" s="247">
        <f t="shared" si="44"/>
        <v>0</v>
      </c>
      <c r="J133" s="248">
        <f t="shared" si="44"/>
        <v>0</v>
      </c>
      <c r="K133" s="248">
        <f t="shared" si="44"/>
        <v>0</v>
      </c>
      <c r="L133" s="248">
        <f t="shared" si="44"/>
        <v>0</v>
      </c>
      <c r="M133" s="247">
        <f t="shared" si="44"/>
        <v>0</v>
      </c>
      <c r="N133" s="247">
        <f t="shared" si="44"/>
        <v>0</v>
      </c>
      <c r="O133" s="247">
        <f t="shared" si="44"/>
        <v>0</v>
      </c>
      <c r="P133" s="247">
        <f t="shared" si="44"/>
        <v>0</v>
      </c>
      <c r="Q133" s="247">
        <f t="shared" si="44"/>
        <v>0</v>
      </c>
      <c r="R133" s="248">
        <f t="shared" si="44"/>
        <v>0</v>
      </c>
      <c r="S133" s="248">
        <f t="shared" si="44"/>
        <v>0</v>
      </c>
      <c r="T133" s="247">
        <f t="shared" si="44"/>
        <v>0</v>
      </c>
      <c r="U133" s="247">
        <f t="shared" si="44"/>
        <v>0</v>
      </c>
      <c r="V133" s="247">
        <f t="shared" si="44"/>
        <v>0</v>
      </c>
      <c r="W133" s="247">
        <f t="shared" si="44"/>
        <v>0</v>
      </c>
      <c r="X133" s="247">
        <f t="shared" si="44"/>
        <v>43000</v>
      </c>
      <c r="Y133" s="248">
        <f t="shared" si="44"/>
        <v>0</v>
      </c>
      <c r="Z133" s="248">
        <f t="shared" si="44"/>
        <v>0</v>
      </c>
      <c r="AA133" s="248">
        <f t="shared" si="44"/>
        <v>0</v>
      </c>
      <c r="AB133" s="247">
        <f t="shared" si="44"/>
        <v>0</v>
      </c>
      <c r="AC133" s="247">
        <f t="shared" si="44"/>
        <v>0</v>
      </c>
      <c r="AD133" s="247">
        <f t="shared" si="44"/>
        <v>0</v>
      </c>
      <c r="AE133" s="247">
        <f t="shared" si="44"/>
        <v>0</v>
      </c>
      <c r="AF133" s="248">
        <f t="shared" si="44"/>
        <v>0</v>
      </c>
      <c r="AG133" s="248">
        <f t="shared" si="44"/>
        <v>0</v>
      </c>
      <c r="AH133" s="247">
        <f t="shared" si="44"/>
        <v>0</v>
      </c>
      <c r="AI133" s="249">
        <f t="shared" si="36"/>
        <v>43000</v>
      </c>
      <c r="AJ133" s="254">
        <f t="shared" si="37"/>
        <v>0</v>
      </c>
    </row>
    <row r="134" spans="1:36" s="259" customFormat="1" ht="19.5" hidden="1" outlineLevel="2" x14ac:dyDescent="0.3">
      <c r="A134" s="256"/>
      <c r="B134" s="257"/>
      <c r="C134" s="265" t="s">
        <v>876</v>
      </c>
      <c r="D134" s="253">
        <v>43000</v>
      </c>
      <c r="E134" s="248"/>
      <c r="F134" s="247"/>
      <c r="G134" s="247"/>
      <c r="H134" s="247"/>
      <c r="I134" s="247"/>
      <c r="J134" s="248"/>
      <c r="K134" s="248"/>
      <c r="L134" s="248"/>
      <c r="M134" s="247"/>
      <c r="N134" s="247"/>
      <c r="O134" s="247"/>
      <c r="P134" s="247"/>
      <c r="Q134" s="247"/>
      <c r="R134" s="248"/>
      <c r="S134" s="248"/>
      <c r="T134" s="247"/>
      <c r="U134" s="247"/>
      <c r="V134" s="247"/>
      <c r="W134" s="247"/>
      <c r="X134" s="247">
        <v>43000</v>
      </c>
      <c r="Y134" s="248"/>
      <c r="Z134" s="248"/>
      <c r="AA134" s="248"/>
      <c r="AB134" s="247"/>
      <c r="AC134" s="247"/>
      <c r="AD134" s="247"/>
      <c r="AE134" s="247"/>
      <c r="AF134" s="248"/>
      <c r="AG134" s="248"/>
      <c r="AH134" s="247"/>
      <c r="AI134" s="249">
        <f t="shared" si="36"/>
        <v>43000</v>
      </c>
      <c r="AJ134" s="254">
        <f t="shared" si="37"/>
        <v>0</v>
      </c>
    </row>
    <row r="135" spans="1:36" s="259" customFormat="1" ht="19.5" hidden="1" outlineLevel="2" x14ac:dyDescent="0.3">
      <c r="A135" s="256"/>
      <c r="B135" s="257"/>
      <c r="C135" s="265" t="s">
        <v>623</v>
      </c>
      <c r="D135" s="253"/>
      <c r="E135" s="248"/>
      <c r="F135" s="247"/>
      <c r="G135" s="247"/>
      <c r="H135" s="247"/>
      <c r="I135" s="247"/>
      <c r="J135" s="248"/>
      <c r="K135" s="248"/>
      <c r="L135" s="248"/>
      <c r="M135" s="247"/>
      <c r="N135" s="247"/>
      <c r="O135" s="247"/>
      <c r="P135" s="247"/>
      <c r="Q135" s="247"/>
      <c r="R135" s="248"/>
      <c r="S135" s="248"/>
      <c r="T135" s="247"/>
      <c r="U135" s="247"/>
      <c r="V135" s="247"/>
      <c r="W135" s="247"/>
      <c r="X135" s="247"/>
      <c r="Y135" s="248"/>
      <c r="Z135" s="248"/>
      <c r="AA135" s="248"/>
      <c r="AB135" s="247"/>
      <c r="AC135" s="247"/>
      <c r="AD135" s="247"/>
      <c r="AE135" s="247"/>
      <c r="AF135" s="248"/>
      <c r="AG135" s="248"/>
      <c r="AH135" s="247"/>
      <c r="AI135" s="249">
        <f t="shared" si="36"/>
        <v>0</v>
      </c>
      <c r="AJ135" s="254">
        <f t="shared" si="37"/>
        <v>0</v>
      </c>
    </row>
    <row r="136" spans="1:36" s="259" customFormat="1" ht="19.5" hidden="1" outlineLevel="2" x14ac:dyDescent="0.3">
      <c r="A136" s="256"/>
      <c r="B136" s="257"/>
      <c r="C136" s="265" t="s">
        <v>877</v>
      </c>
      <c r="D136" s="253"/>
      <c r="E136" s="248"/>
      <c r="F136" s="247"/>
      <c r="G136" s="247"/>
      <c r="H136" s="247"/>
      <c r="I136" s="247"/>
      <c r="J136" s="248"/>
      <c r="K136" s="248"/>
      <c r="L136" s="248"/>
      <c r="M136" s="247"/>
      <c r="N136" s="247"/>
      <c r="O136" s="247"/>
      <c r="P136" s="247"/>
      <c r="Q136" s="247"/>
      <c r="R136" s="248"/>
      <c r="S136" s="248"/>
      <c r="T136" s="247"/>
      <c r="U136" s="247"/>
      <c r="V136" s="247"/>
      <c r="W136" s="247"/>
      <c r="X136" s="247"/>
      <c r="Y136" s="248"/>
      <c r="Z136" s="248"/>
      <c r="AA136" s="248"/>
      <c r="AB136" s="247"/>
      <c r="AC136" s="247"/>
      <c r="AD136" s="247"/>
      <c r="AE136" s="247"/>
      <c r="AF136" s="248"/>
      <c r="AG136" s="248"/>
      <c r="AH136" s="247"/>
      <c r="AI136" s="249">
        <f t="shared" si="36"/>
        <v>0</v>
      </c>
      <c r="AJ136" s="254">
        <f t="shared" si="37"/>
        <v>0</v>
      </c>
    </row>
    <row r="137" spans="1:36" s="269" customFormat="1" ht="18.75" collapsed="1" x14ac:dyDescent="0.25">
      <c r="A137" s="266"/>
      <c r="B137" s="267" t="s">
        <v>878</v>
      </c>
      <c r="C137" s="268" t="s">
        <v>879</v>
      </c>
      <c r="D137" s="237">
        <f t="shared" ref="D137:AH137" si="45">D74-D94</f>
        <v>-5502489.1101900414</v>
      </c>
      <c r="E137" s="237">
        <f t="shared" si="45"/>
        <v>0</v>
      </c>
      <c r="F137" s="237">
        <f t="shared" si="45"/>
        <v>-170336.84210526315</v>
      </c>
      <c r="G137" s="237">
        <f t="shared" si="45"/>
        <v>-170336.84210526315</v>
      </c>
      <c r="H137" s="237">
        <f t="shared" si="45"/>
        <v>-170336.84210526315</v>
      </c>
      <c r="I137" s="237">
        <f t="shared" si="45"/>
        <v>-170336.84210526315</v>
      </c>
      <c r="J137" s="237">
        <f t="shared" si="45"/>
        <v>0</v>
      </c>
      <c r="K137" s="237">
        <f t="shared" si="45"/>
        <v>0</v>
      </c>
      <c r="L137" s="237">
        <f t="shared" si="45"/>
        <v>0</v>
      </c>
      <c r="M137" s="237">
        <f t="shared" si="45"/>
        <v>-460387.57042830321</v>
      </c>
      <c r="N137" s="237">
        <f t="shared" si="45"/>
        <v>-544912.09086126322</v>
      </c>
      <c r="O137" s="237">
        <f t="shared" si="45"/>
        <v>-170336.84210526315</v>
      </c>
      <c r="P137" s="237">
        <f t="shared" si="45"/>
        <v>-170336.84210526315</v>
      </c>
      <c r="Q137" s="237">
        <f t="shared" si="45"/>
        <v>-170336.84210526315</v>
      </c>
      <c r="R137" s="237">
        <f t="shared" si="45"/>
        <v>0</v>
      </c>
      <c r="S137" s="237">
        <f t="shared" si="45"/>
        <v>0</v>
      </c>
      <c r="T137" s="237">
        <f t="shared" si="45"/>
        <v>-828799.97521626321</v>
      </c>
      <c r="U137" s="237">
        <f t="shared" si="45"/>
        <v>-170336.84210526315</v>
      </c>
      <c r="V137" s="237">
        <f t="shared" si="45"/>
        <v>-170336.84210526315</v>
      </c>
      <c r="W137" s="237">
        <f t="shared" si="45"/>
        <v>-170336.84210526315</v>
      </c>
      <c r="X137" s="237">
        <f t="shared" si="45"/>
        <v>-213336.84210526315</v>
      </c>
      <c r="Y137" s="237">
        <f t="shared" si="45"/>
        <v>0</v>
      </c>
      <c r="Z137" s="237">
        <f t="shared" si="45"/>
        <v>0</v>
      </c>
      <c r="AA137" s="237">
        <f t="shared" si="45"/>
        <v>0</v>
      </c>
      <c r="AB137" s="237">
        <f t="shared" si="45"/>
        <v>-170336.84210526315</v>
      </c>
      <c r="AC137" s="237">
        <f t="shared" si="45"/>
        <v>-170336.84210526315</v>
      </c>
      <c r="AD137" s="237">
        <f t="shared" si="45"/>
        <v>-170336.84210526315</v>
      </c>
      <c r="AE137" s="237">
        <f t="shared" si="45"/>
        <v>-1070336.8421052631</v>
      </c>
      <c r="AF137" s="237">
        <f t="shared" si="45"/>
        <v>0</v>
      </c>
      <c r="AG137" s="237">
        <f t="shared" si="45"/>
        <v>0</v>
      </c>
      <c r="AH137" s="237">
        <f t="shared" si="45"/>
        <v>-170336.84210526315</v>
      </c>
      <c r="AI137" s="237">
        <f t="shared" si="36"/>
        <v>-5502489.1101900376</v>
      </c>
      <c r="AJ137" s="237">
        <f t="shared" si="37"/>
        <v>0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82FB-11E3-434E-BE4B-7D70456B03EC}">
  <sheetPr>
    <tabColor theme="7" tint="0.79998168889431442"/>
  </sheetPr>
  <dimension ref="A1:AK67"/>
  <sheetViews>
    <sheetView zoomScale="60" zoomScaleNormal="60" workbookViewId="0">
      <pane xSplit="3" ySplit="2" topLeftCell="D17" activePane="bottomRight" state="frozen"/>
      <selection pane="topRight" activeCell="D34" sqref="D34"/>
      <selection pane="bottomLeft" activeCell="D34" sqref="D34"/>
      <selection pane="bottomRight" activeCell="D63" sqref="D63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45566</v>
      </c>
      <c r="F2" s="81">
        <f>+E2+1</f>
        <v>45567</v>
      </c>
      <c r="G2" s="81">
        <f t="shared" ref="G2:AI2" si="0">+F2+1</f>
        <v>45568</v>
      </c>
      <c r="H2" s="81">
        <f t="shared" si="0"/>
        <v>45569</v>
      </c>
      <c r="I2" s="83">
        <f t="shared" si="0"/>
        <v>45570</v>
      </c>
      <c r="J2" s="83">
        <f t="shared" si="0"/>
        <v>45571</v>
      </c>
      <c r="K2" s="81">
        <f t="shared" si="0"/>
        <v>45572</v>
      </c>
      <c r="L2" s="81">
        <f t="shared" si="0"/>
        <v>45573</v>
      </c>
      <c r="M2" s="81">
        <f t="shared" si="0"/>
        <v>45574</v>
      </c>
      <c r="N2" s="81">
        <f t="shared" si="0"/>
        <v>45575</v>
      </c>
      <c r="O2" s="81">
        <f>+N2+1</f>
        <v>45576</v>
      </c>
      <c r="P2" s="83">
        <f t="shared" si="0"/>
        <v>45577</v>
      </c>
      <c r="Q2" s="85">
        <f t="shared" si="0"/>
        <v>45578</v>
      </c>
      <c r="R2" s="82">
        <f t="shared" si="0"/>
        <v>45579</v>
      </c>
      <c r="S2" s="81">
        <f t="shared" si="0"/>
        <v>45580</v>
      </c>
      <c r="T2" s="81">
        <f t="shared" si="0"/>
        <v>45581</v>
      </c>
      <c r="U2" s="81">
        <f t="shared" si="0"/>
        <v>45582</v>
      </c>
      <c r="V2" s="81">
        <f t="shared" si="0"/>
        <v>45583</v>
      </c>
      <c r="W2" s="83">
        <f t="shared" si="0"/>
        <v>45584</v>
      </c>
      <c r="X2" s="83">
        <f t="shared" si="0"/>
        <v>45585</v>
      </c>
      <c r="Y2" s="81">
        <f t="shared" si="0"/>
        <v>45586</v>
      </c>
      <c r="Z2" s="81">
        <f t="shared" si="0"/>
        <v>45587</v>
      </c>
      <c r="AA2" s="81">
        <f t="shared" si="0"/>
        <v>45588</v>
      </c>
      <c r="AB2" s="81">
        <f t="shared" si="0"/>
        <v>45589</v>
      </c>
      <c r="AC2" s="81">
        <f t="shared" si="0"/>
        <v>45590</v>
      </c>
      <c r="AD2" s="83">
        <f t="shared" si="0"/>
        <v>45591</v>
      </c>
      <c r="AE2" s="83">
        <f t="shared" si="0"/>
        <v>45592</v>
      </c>
      <c r="AF2" s="81">
        <f t="shared" si="0"/>
        <v>45593</v>
      </c>
      <c r="AG2" s="81">
        <f t="shared" si="0"/>
        <v>45594</v>
      </c>
      <c r="AH2" s="81">
        <f t="shared" si="0"/>
        <v>45595</v>
      </c>
      <c r="AI2" s="81">
        <f t="shared" si="0"/>
        <v>45596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0</v>
      </c>
      <c r="AK3" s="54">
        <f t="shared" ref="AK3:AK66" si="3">+D3-AJ3</f>
        <v>0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3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7">
        <f t="shared" ref="I4:AI4" si="5">SUM(I5,I9,I10)</f>
        <v>0</v>
      </c>
      <c r="J4" s="77">
        <f t="shared" si="5"/>
        <v>0</v>
      </c>
      <c r="K4" s="73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7">
        <f t="shared" si="5"/>
        <v>0</v>
      </c>
      <c r="Q4" s="77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7">
        <f t="shared" si="5"/>
        <v>0</v>
      </c>
      <c r="X4" s="77">
        <f t="shared" si="5"/>
        <v>0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0</v>
      </c>
      <c r="AD4" s="77">
        <f t="shared" si="5"/>
        <v>0</v>
      </c>
      <c r="AE4" s="77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0</v>
      </c>
      <c r="AJ4" s="57">
        <f t="shared" si="2"/>
        <v>0</v>
      </c>
      <c r="AK4" s="58">
        <f t="shared" si="3"/>
        <v>0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6">
        <f t="shared" ref="I5:AI5" si="7">SUM(I6:I8)</f>
        <v>0</v>
      </c>
      <c r="J5" s="76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6">
        <f t="shared" si="7"/>
        <v>0</v>
      </c>
      <c r="Q5" s="76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6">
        <f t="shared" si="7"/>
        <v>0</v>
      </c>
      <c r="X5" s="76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6">
        <f t="shared" si="7"/>
        <v>0</v>
      </c>
      <c r="AE5" s="76">
        <f t="shared" si="7"/>
        <v>0</v>
      </c>
      <c r="AF5" s="74">
        <f t="shared" si="7"/>
        <v>0</v>
      </c>
      <c r="AG5" s="74">
        <f t="shared" si="7"/>
        <v>0</v>
      </c>
      <c r="AH5" s="74">
        <f t="shared" si="7"/>
        <v>0</v>
      </c>
      <c r="AI5" s="74">
        <f t="shared" si="7"/>
        <v>0</v>
      </c>
      <c r="AJ5" s="61">
        <f t="shared" si="2"/>
        <v>0</v>
      </c>
      <c r="AK5" s="62">
        <f t="shared" si="3"/>
        <v>0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5"/>
      <c r="F6" s="75"/>
      <c r="G6" s="75"/>
      <c r="H6" s="75"/>
      <c r="I6" s="78"/>
      <c r="J6" s="78"/>
      <c r="K6" s="75"/>
      <c r="L6" s="75"/>
      <c r="M6" s="75"/>
      <c r="N6" s="75"/>
      <c r="O6" s="75"/>
      <c r="P6" s="78"/>
      <c r="Q6" s="78"/>
      <c r="R6" s="75"/>
      <c r="S6" s="75"/>
      <c r="T6" s="75"/>
      <c r="U6" s="75"/>
      <c r="V6" s="75"/>
      <c r="W6" s="78"/>
      <c r="X6" s="78"/>
      <c r="Y6" s="75"/>
      <c r="Z6" s="75"/>
      <c r="AA6" s="75"/>
      <c r="AB6" s="75"/>
      <c r="AC6" s="75"/>
      <c r="AD6" s="78"/>
      <c r="AE6" s="78"/>
      <c r="AF6" s="75"/>
      <c r="AG6" s="75"/>
      <c r="AH6" s="75"/>
      <c r="AI6" s="75"/>
      <c r="AJ6" s="66">
        <f t="shared" si="2"/>
        <v>0</v>
      </c>
      <c r="AK6" s="67">
        <f t="shared" si="3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Октомври'!$C$7,приходи!$M:$M,'ПП Октомври'!E2)</f>
        <v>0</v>
      </c>
      <c r="F7" s="74">
        <f>SUMIFS(приходи!$L:$L,приходи!$E:$E,'ПП Октомври'!$C$7,приходи!$M:$M,'ПП Октомври'!F2)</f>
        <v>0</v>
      </c>
      <c r="G7" s="74">
        <f>SUMIFS(приходи!$L:$L,приходи!$E:$E,'ПП Октомври'!$C$7,приходи!$M:$M,'ПП Октомври'!G2)</f>
        <v>0</v>
      </c>
      <c r="H7" s="74">
        <f>SUMIFS(приходи!$L:$L,приходи!$E:$E,'ПП Октомври'!$C$7,приходи!$M:$M,'ПП Октомври'!H2)</f>
        <v>0</v>
      </c>
      <c r="I7" s="76">
        <f>SUMIFS(приходи!$L:$L,приходи!$E:$E,'ПП Октомври'!$C$7,приходи!$M:$M,'ПП Октомври'!I2)</f>
        <v>0</v>
      </c>
      <c r="J7" s="76">
        <f>SUMIFS(приходи!$L:$L,приходи!$E:$E,'ПП Октомври'!$C$7,приходи!$M:$M,'ПП Октомври'!J2)</f>
        <v>0</v>
      </c>
      <c r="K7" s="74">
        <f>SUMIFS(приходи!$L:$L,приходи!$E:$E,'ПП Октомври'!$C$7,приходи!$M:$M,'ПП Октомври'!K2)</f>
        <v>0</v>
      </c>
      <c r="L7" s="74">
        <f>SUMIFS(приходи!$L:$L,приходи!$E:$E,'ПП Октомври'!$C$7,приходи!$M:$M,'ПП Октомври'!L2)</f>
        <v>0</v>
      </c>
      <c r="M7" s="74">
        <f>SUMIFS(приходи!$L:$L,приходи!$E:$E,'ПП Октомври'!$C$7,приходи!$M:$M,'ПП Октомври'!M2)</f>
        <v>0</v>
      </c>
      <c r="N7" s="74">
        <f>SUMIFS(приходи!$L:$L,приходи!$E:$E,'ПП Октомври'!$C$7,приходи!$M:$M,'ПП Октомври'!N2)</f>
        <v>0</v>
      </c>
      <c r="O7" s="74">
        <f>SUMIFS(приходи!$L:$L,приходи!$E:$E,'ПП Октомври'!$C$7,приходи!$M:$M,'ПП Октомври'!O2)</f>
        <v>0</v>
      </c>
      <c r="P7" s="76">
        <f>SUMIFS(приходи!$L:$L,приходи!$E:$E,'ПП Октомври'!$C$7,приходи!$M:$M,'ПП Октомври'!P2)</f>
        <v>0</v>
      </c>
      <c r="Q7" s="76">
        <f>SUMIFS(приходи!$L:$L,приходи!$E:$E,'ПП Октомври'!$C$7,приходи!$M:$M,'ПП Октомври'!Q2)</f>
        <v>0</v>
      </c>
      <c r="R7" s="74">
        <f>SUMIFS(приходи!$L:$L,приходи!$E:$E,'ПП Октомври'!$C$7,приходи!$M:$M,'ПП Октомври'!R2)</f>
        <v>0</v>
      </c>
      <c r="S7" s="74">
        <f>SUMIFS(приходи!$L:$L,приходи!$E:$E,'ПП Октомври'!$C$7,приходи!$M:$M,'ПП Октомври'!S2)</f>
        <v>0</v>
      </c>
      <c r="T7" s="74">
        <f>SUMIFS(приходи!$L:$L,приходи!$E:$E,'ПП Октомври'!$C$7,приходи!$M:$M,'ПП Октомври'!T2)</f>
        <v>0</v>
      </c>
      <c r="U7" s="74">
        <f>SUMIFS(приходи!$L:$L,приходи!$E:$E,'ПП Октомври'!$C$7,приходи!$M:$M,'ПП Октомври'!U2)</f>
        <v>0</v>
      </c>
      <c r="V7" s="74">
        <f>SUMIFS(приходи!$L:$L,приходи!$E:$E,'ПП Октомври'!$C$7,приходи!$M:$M,'ПП Октомври'!V2)</f>
        <v>0</v>
      </c>
      <c r="W7" s="76">
        <f>SUMIFS(приходи!$L:$L,приходи!$E:$E,'ПП Октомври'!$C$7,приходи!$M:$M,'ПП Октомври'!W2)</f>
        <v>0</v>
      </c>
      <c r="X7" s="76">
        <f>SUMIFS(приходи!$L:$L,приходи!$E:$E,'ПП Октомври'!$C$7,приходи!$M:$M,'ПП Октомври'!X2)</f>
        <v>0</v>
      </c>
      <c r="Y7" s="74">
        <f>SUMIFS(приходи!$L:$L,приходи!$E:$E,'ПП Октомври'!$C$7,приходи!$M:$M,'ПП Октомври'!Y2)</f>
        <v>0</v>
      </c>
      <c r="Z7" s="74">
        <f>SUMIFS(приходи!$L:$L,приходи!$E:$E,'ПП Октомври'!$C$7,приходи!$M:$M,'ПП Октомври'!Z2)</f>
        <v>0</v>
      </c>
      <c r="AA7" s="74">
        <f>SUMIFS(приходи!$L:$L,приходи!$E:$E,'ПП Октомври'!$C$7,приходи!$M:$M,'ПП Октомври'!AA2)</f>
        <v>0</v>
      </c>
      <c r="AB7" s="74">
        <f>SUMIFS(приходи!$L:$L,приходи!$E:$E,'ПП Октомври'!$C$7,приходи!$M:$M,'ПП Октомври'!AB2)</f>
        <v>0</v>
      </c>
      <c r="AC7" s="74">
        <f>SUMIFS(приходи!$L:$L,приходи!$E:$E,'ПП Октомври'!$C$7,приходи!$M:$M,'ПП Октомври'!AC2)</f>
        <v>0</v>
      </c>
      <c r="AD7" s="76">
        <f>SUMIFS(приходи!$L:$L,приходи!$E:$E,'ПП Октомври'!$C$7,приходи!$M:$M,'ПП Октомври'!AD2)</f>
        <v>0</v>
      </c>
      <c r="AE7" s="76">
        <f>SUMIFS(приходи!$L:$L,приходи!$E:$E,'ПП Октомври'!$C$7,приходи!$M:$M,'ПП Октомври'!AE2)</f>
        <v>0</v>
      </c>
      <c r="AF7" s="74">
        <f>SUMIFS(приходи!$L:$L,приходи!$E:$E,'ПП Октомври'!$C$7,приходи!$M:$M,'ПП Октомври'!AF2)</f>
        <v>0</v>
      </c>
      <c r="AG7" s="74">
        <f>SUMIFS(приходи!$L:$L,приходи!$E:$E,'ПП Октомври'!$C$7,приходи!$M:$M,'ПП Октомври'!AG2)</f>
        <v>0</v>
      </c>
      <c r="AH7" s="74">
        <f>SUMIFS(приходи!$L:$L,приходи!$E:$E,'ПП Октомври'!$C$7,приходи!$M:$M,'ПП Октомври'!AH2)</f>
        <v>0</v>
      </c>
      <c r="AI7" s="74">
        <f>SUMIFS(приходи!$L:$L,приходи!$E:$E,'ПП Октомври'!$C$7,приходи!$M:$M,'ПП Октомври'!AI2)</f>
        <v>0</v>
      </c>
      <c r="AJ7" s="61">
        <f t="shared" si="2"/>
        <v>0</v>
      </c>
      <c r="AK7" s="69">
        <f t="shared" si="3"/>
        <v>0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Октомври'!$C$8,приходи!$M:$M,'ПП Октомври'!E2)</f>
        <v>0</v>
      </c>
      <c r="F8" s="74">
        <f>SUMIFS(приходи!$L:$L,приходи!$E:$E,'ПП Октомври'!$C$8,приходи!$M:$M,'ПП Октомври'!F2)</f>
        <v>0</v>
      </c>
      <c r="G8" s="74">
        <f>SUMIFS(приходи!$L:$L,приходи!$E:$E,'ПП Октомври'!$C$8,приходи!$M:$M,'ПП Октомври'!G2)</f>
        <v>0</v>
      </c>
      <c r="H8" s="74">
        <f>SUMIFS(приходи!$L:$L,приходи!$E:$E,'ПП Октомври'!$C$8,приходи!$M:$M,'ПП Октомври'!H2)</f>
        <v>0</v>
      </c>
      <c r="I8" s="76">
        <f>SUMIFS(приходи!$L:$L,приходи!$E:$E,'ПП Октомври'!$C$8,приходи!$M:$M,'ПП Октомври'!I2)</f>
        <v>0</v>
      </c>
      <c r="J8" s="76">
        <f>SUMIFS(приходи!$L:$L,приходи!$E:$E,'ПП Октомври'!$C$8,приходи!$M:$M,'ПП Октомври'!J2)</f>
        <v>0</v>
      </c>
      <c r="K8" s="74">
        <f>SUMIFS(приходи!$L:$L,приходи!$E:$E,'ПП Октомври'!$C$8,приходи!$M:$M,'ПП Октомври'!K2)</f>
        <v>0</v>
      </c>
      <c r="L8" s="74">
        <f>SUMIFS(приходи!$L:$L,приходи!$E:$E,'ПП Октомври'!$C$8,приходи!$M:$M,'ПП Октомври'!L2)</f>
        <v>0</v>
      </c>
      <c r="M8" s="74">
        <f>SUMIFS(приходи!$L:$L,приходи!$E:$E,'ПП Октомври'!$C$8,приходи!$M:$M,'ПП Октомври'!M2)</f>
        <v>0</v>
      </c>
      <c r="N8" s="74">
        <f>SUMIFS(приходи!$L:$L,приходи!$E:$E,'ПП Октомври'!$C$8,приходи!$M:$M,'ПП Октомври'!N2)</f>
        <v>0</v>
      </c>
      <c r="O8" s="74">
        <f>SUMIFS(приходи!$L:$L,приходи!$E:$E,'ПП Октомври'!$C$8,приходи!$M:$M,'ПП Октомври'!O2)</f>
        <v>0</v>
      </c>
      <c r="P8" s="76">
        <f>SUMIFS(приходи!$L:$L,приходи!$E:$E,'ПП Октомври'!$C$8,приходи!$M:$M,'ПП Октомври'!P2)</f>
        <v>0</v>
      </c>
      <c r="Q8" s="76">
        <f>SUMIFS(приходи!$L:$L,приходи!$E:$E,'ПП Октомври'!$C$8,приходи!$M:$M,'ПП Октомври'!Q2)</f>
        <v>0</v>
      </c>
      <c r="R8" s="74">
        <f>SUMIFS(приходи!$L:$L,приходи!$E:$E,'ПП Октомври'!$C$8,приходи!$M:$M,'ПП Октомври'!R2)</f>
        <v>0</v>
      </c>
      <c r="S8" s="74">
        <f>SUMIFS(приходи!$L:$L,приходи!$E:$E,'ПП Октомври'!$C$8,приходи!$M:$M,'ПП Октомври'!S2)</f>
        <v>0</v>
      </c>
      <c r="T8" s="74">
        <f>SUMIFS(приходи!$L:$L,приходи!$E:$E,'ПП Октомври'!$C$8,приходи!$M:$M,'ПП Октомври'!T2)</f>
        <v>0</v>
      </c>
      <c r="U8" s="74">
        <f>SUMIFS(приходи!$L:$L,приходи!$E:$E,'ПП Октомври'!$C$8,приходи!$M:$M,'ПП Октомври'!U2)</f>
        <v>0</v>
      </c>
      <c r="V8" s="74">
        <f>SUMIFS(приходи!$L:$L,приходи!$E:$E,'ПП Октомври'!$C$8,приходи!$M:$M,'ПП Октомври'!V2)</f>
        <v>0</v>
      </c>
      <c r="W8" s="76">
        <f>SUMIFS(приходи!$L:$L,приходи!$E:$E,'ПП Октомври'!$C$8,приходи!$M:$M,'ПП Октомври'!W2)</f>
        <v>0</v>
      </c>
      <c r="X8" s="76">
        <f>SUMIFS(приходи!$L:$L,приходи!$E:$E,'ПП Октомври'!$C$8,приходи!$M:$M,'ПП Октомври'!X2)</f>
        <v>0</v>
      </c>
      <c r="Y8" s="74">
        <f>SUMIFS(приходи!$L:$L,приходи!$E:$E,'ПП Октомври'!$C$8,приходи!$M:$M,'ПП Октомври'!Y2)</f>
        <v>0</v>
      </c>
      <c r="Z8" s="74">
        <f>SUMIFS(приходи!$L:$L,приходи!$E:$E,'ПП Октомври'!$C$8,приходи!$M:$M,'ПП Октомври'!Z2)</f>
        <v>0</v>
      </c>
      <c r="AA8" s="74">
        <f>SUMIFS(приходи!$L:$L,приходи!$E:$E,'ПП Октомври'!$C$8,приходи!$M:$M,'ПП Октомври'!AA2)</f>
        <v>0</v>
      </c>
      <c r="AB8" s="74">
        <f>SUMIFS(приходи!$L:$L,приходи!$E:$E,'ПП Октомври'!$C$8,приходи!$M:$M,'ПП Октомври'!AB2)</f>
        <v>0</v>
      </c>
      <c r="AC8" s="74">
        <f>SUMIFS(приходи!$L:$L,приходи!$E:$E,'ПП Октомври'!$C$8,приходи!$M:$M,'ПП Октомври'!AC2)</f>
        <v>0</v>
      </c>
      <c r="AD8" s="76">
        <f>SUMIFS(приходи!$L:$L,приходи!$E:$E,'ПП Октомври'!$C$8,приходи!$M:$M,'ПП Октомври'!AD2)</f>
        <v>0</v>
      </c>
      <c r="AE8" s="76">
        <f>SUMIFS(приходи!$L:$L,приходи!$E:$E,'ПП Октомври'!$C$8,приходи!$M:$M,'ПП Октомври'!AE2)</f>
        <v>0</v>
      </c>
      <c r="AF8" s="74">
        <f>SUMIFS(приходи!$L:$L,приходи!$E:$E,'ПП Октомври'!$C$8,приходи!$M:$M,'ПП Октомври'!AF2)</f>
        <v>0</v>
      </c>
      <c r="AG8" s="74">
        <f>SUMIFS(приходи!$L:$L,приходи!$E:$E,'ПП Октомври'!$C$8,приходи!$M:$M,'ПП Октомври'!AG2)</f>
        <v>0</v>
      </c>
      <c r="AH8" s="74">
        <f>SUMIFS(приходи!$L:$L,приходи!$E:$E,'ПП Октомври'!$C$8,приходи!$M:$M,'ПП Октомври'!AH2)</f>
        <v>0</v>
      </c>
      <c r="AI8" s="74">
        <f>SUMIFS(приходи!$L:$L,приходи!$E:$E,'ПП Октомври'!$C$8,приходи!$M:$M,'ПП Октомври'!AI2)</f>
        <v>0</v>
      </c>
      <c r="AJ8" s="61">
        <f t="shared" si="2"/>
        <v>0</v>
      </c>
      <c r="AK8" s="69">
        <f t="shared" si="3"/>
        <v>0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Октомври'!$C$9,приходи!$M:$M,'ПП Октомври'!E2)</f>
        <v>0</v>
      </c>
      <c r="F9" s="74">
        <f>SUMIFS(приходи!$L:$L,приходи!$E:$E,'ПП Октомври'!$C$9,приходи!$M:$M,'ПП Октомври'!F2)</f>
        <v>0</v>
      </c>
      <c r="G9" s="74">
        <f>SUMIFS(приходи!$L:$L,приходи!$E:$E,'ПП Октомври'!$C$9,приходи!$M:$M,'ПП Октомври'!G2)</f>
        <v>0</v>
      </c>
      <c r="H9" s="74">
        <f>SUMIFS(приходи!$L:$L,приходи!$E:$E,'ПП Октомври'!$C$9,приходи!$M:$M,'ПП Октомври'!H2)</f>
        <v>0</v>
      </c>
      <c r="I9" s="76">
        <f>SUMIFS(приходи!$L:$L,приходи!$E:$E,'ПП Октомври'!$C$9,приходи!$M:$M,'ПП Октомври'!I2)</f>
        <v>0</v>
      </c>
      <c r="J9" s="76">
        <f>SUMIFS(приходи!$L:$L,приходи!$E:$E,'ПП Октомври'!$C$9,приходи!$M:$M,'ПП Октомври'!J2)</f>
        <v>0</v>
      </c>
      <c r="K9" s="74">
        <f>SUMIFS(приходи!$L:$L,приходи!$E:$E,'ПП Октомври'!$C$9,приходи!$M:$M,'ПП Октомври'!K2)</f>
        <v>0</v>
      </c>
      <c r="L9" s="74">
        <f>SUMIFS(приходи!$L:$L,приходи!$E:$E,'ПП Октомври'!$C$9,приходи!$M:$M,'ПП Октомври'!L2)</f>
        <v>0</v>
      </c>
      <c r="M9" s="74">
        <f>SUMIFS(приходи!$L:$L,приходи!$E:$E,'ПП Октомври'!$C$9,приходи!$M:$M,'ПП Октомври'!M2)</f>
        <v>0</v>
      </c>
      <c r="N9" s="74">
        <f>SUMIFS(приходи!$L:$L,приходи!$E:$E,'ПП Октомври'!$C$9,приходи!$M:$M,'ПП Октомври'!N2)</f>
        <v>0</v>
      </c>
      <c r="O9" s="74">
        <f>SUMIFS(приходи!$L:$L,приходи!$E:$E,'ПП Октомври'!$C$9,приходи!$M:$M,'ПП Октомври'!O2)</f>
        <v>0</v>
      </c>
      <c r="P9" s="76">
        <f>SUMIFS(приходи!$L:$L,приходи!$E:$E,'ПП Октомври'!$C$9,приходи!$M:$M,'ПП Октомври'!P2)</f>
        <v>0</v>
      </c>
      <c r="Q9" s="76">
        <f>SUMIFS(приходи!$L:$L,приходи!$E:$E,'ПП Октомври'!$C$9,приходи!$M:$M,'ПП Октомври'!Q2)</f>
        <v>0</v>
      </c>
      <c r="R9" s="74">
        <f>SUMIFS(приходи!$L:$L,приходи!$E:$E,'ПП Октомври'!$C$9,приходи!$M:$M,'ПП Октомври'!R2)</f>
        <v>0</v>
      </c>
      <c r="S9" s="74">
        <f>SUMIFS(приходи!$L:$L,приходи!$E:$E,'ПП Октомври'!$C$9,приходи!$M:$M,'ПП Октомври'!S2)</f>
        <v>0</v>
      </c>
      <c r="T9" s="74">
        <f>SUMIFS(приходи!$L:$L,приходи!$E:$E,'ПП Октомври'!$C$9,приходи!$M:$M,'ПП Октомври'!T2)</f>
        <v>0</v>
      </c>
      <c r="U9" s="74">
        <f>SUMIFS(приходи!$L:$L,приходи!$E:$E,'ПП Октомври'!$C$9,приходи!$M:$M,'ПП Октомври'!U2)</f>
        <v>0</v>
      </c>
      <c r="V9" s="74">
        <f>SUMIFS(приходи!$L:$L,приходи!$E:$E,'ПП Октомври'!$C$9,приходи!$M:$M,'ПП Октомври'!V2)</f>
        <v>0</v>
      </c>
      <c r="W9" s="76">
        <f>SUMIFS(приходи!$L:$L,приходи!$E:$E,'ПП Октомври'!$C$9,приходи!$M:$M,'ПП Октомври'!W2)</f>
        <v>0</v>
      </c>
      <c r="X9" s="76">
        <f>SUMIFS(приходи!$L:$L,приходи!$E:$E,'ПП Октомври'!$C$9,приходи!$M:$M,'ПП Октомври'!X2)</f>
        <v>0</v>
      </c>
      <c r="Y9" s="74">
        <f>SUMIFS(приходи!$L:$L,приходи!$E:$E,'ПП Октомври'!$C$9,приходи!$M:$M,'ПП Октомври'!Y2)</f>
        <v>0</v>
      </c>
      <c r="Z9" s="74">
        <f>SUMIFS(приходи!$L:$L,приходи!$E:$E,'ПП Октомври'!$C$9,приходи!$M:$M,'ПП Октомври'!Z2)</f>
        <v>0</v>
      </c>
      <c r="AA9" s="74">
        <f>SUMIFS(приходи!$L:$L,приходи!$E:$E,'ПП Октомври'!$C$9,приходи!$M:$M,'ПП Октомври'!AA2)</f>
        <v>0</v>
      </c>
      <c r="AB9" s="74">
        <f>SUMIFS(приходи!$L:$L,приходи!$E:$E,'ПП Октомври'!$C$9,приходи!$M:$M,'ПП Октомври'!AB2)</f>
        <v>0</v>
      </c>
      <c r="AC9" s="74">
        <f>SUMIFS(приходи!$L:$L,приходи!$E:$E,'ПП Октомври'!$C$9,приходи!$M:$M,'ПП Октомври'!AC2)</f>
        <v>0</v>
      </c>
      <c r="AD9" s="76">
        <f>SUMIFS(приходи!$L:$L,приходи!$E:$E,'ПП Октомври'!$C$9,приходи!$M:$M,'ПП Октомври'!AD2)</f>
        <v>0</v>
      </c>
      <c r="AE9" s="76">
        <f>SUMIFS(приходи!$L:$L,приходи!$E:$E,'ПП Октомври'!$C$9,приходи!$M:$M,'ПП Октомври'!AE2)</f>
        <v>0</v>
      </c>
      <c r="AF9" s="74">
        <f>SUMIFS(приходи!$L:$L,приходи!$E:$E,'ПП Октомври'!$C$9,приходи!$M:$M,'ПП Октомври'!AF2)</f>
        <v>0</v>
      </c>
      <c r="AG9" s="74">
        <f>SUMIFS(приходи!$L:$L,приходи!$E:$E,'ПП Октомври'!$C$9,приходи!$M:$M,'ПП Октомври'!AG2)</f>
        <v>0</v>
      </c>
      <c r="AH9" s="74">
        <f>SUMIFS(приходи!$L:$L,приходи!$E:$E,'ПП Октомври'!$C$9,приходи!$M:$M,'ПП Октомври'!AH2)</f>
        <v>0</v>
      </c>
      <c r="AI9" s="74">
        <f>SUMIFS(приходи!$L:$L,приходи!$E:$E,'ПП Октомври'!$C$9,приходи!$M:$M,'ПП Октомври'!AI2)</f>
        <v>0</v>
      </c>
      <c r="AJ9" s="61">
        <f t="shared" si="2"/>
        <v>0</v>
      </c>
      <c r="AK9" s="69">
        <f t="shared" si="3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Октомври'!$C$10,приходи!$M:$M,'ПП Октомври'!E2)</f>
        <v>0</v>
      </c>
      <c r="F10" s="74">
        <f>SUMIFS(приходи!$L:$L,приходи!$E:$E,'ПП Октомври'!$C$10,приходи!$M:$M,'ПП Октомври'!F2)</f>
        <v>0</v>
      </c>
      <c r="G10" s="74">
        <f>SUMIFS(приходи!$L:$L,приходи!$E:$E,'ПП Октомври'!$C$10,приходи!$M:$M,'ПП Октомври'!G2)</f>
        <v>0</v>
      </c>
      <c r="H10" s="74">
        <f>SUMIFS(приходи!$L:$L,приходи!$E:$E,'ПП Октомври'!$C$10,приходи!$M:$M,'ПП Октомври'!H2)</f>
        <v>0</v>
      </c>
      <c r="I10" s="76">
        <f>SUMIFS(приходи!$L:$L,приходи!$E:$E,'ПП Октомври'!$C$10,приходи!$M:$M,'ПП Октомври'!I2)</f>
        <v>0</v>
      </c>
      <c r="J10" s="76">
        <f>SUMIFS(приходи!$L:$L,приходи!$E:$E,'ПП Октомври'!$C$10,приходи!$M:$M,'ПП Октомври'!J2)</f>
        <v>0</v>
      </c>
      <c r="K10" s="74">
        <f>SUMIFS(приходи!$L:$L,приходи!$E:$E,'ПП Октомври'!$C$10,приходи!$M:$M,'ПП Октомври'!K2)</f>
        <v>0</v>
      </c>
      <c r="L10" s="74">
        <f>SUMIFS(приходи!$L:$L,приходи!$E:$E,'ПП Октомври'!$C$10,приходи!$M:$M,'ПП Октомври'!L2)</f>
        <v>0</v>
      </c>
      <c r="M10" s="74">
        <f>SUMIFS(приходи!$L:$L,приходи!$E:$E,'ПП Октомври'!$C$10,приходи!$M:$M,'ПП Октомври'!M2)</f>
        <v>0</v>
      </c>
      <c r="N10" s="74">
        <f>SUMIFS(приходи!$L:$L,приходи!$E:$E,'ПП Октомври'!$C$10,приходи!$M:$M,'ПП Октомври'!N2)</f>
        <v>0</v>
      </c>
      <c r="O10" s="74">
        <f>SUMIFS(приходи!$L:$L,приходи!$E:$E,'ПП Октомври'!$C$10,приходи!$M:$M,'ПП Октомври'!O2)</f>
        <v>0</v>
      </c>
      <c r="P10" s="76">
        <f>SUMIFS(приходи!$L:$L,приходи!$E:$E,'ПП Октомври'!$C$10,приходи!$M:$M,'ПП Октомври'!P2)</f>
        <v>0</v>
      </c>
      <c r="Q10" s="76">
        <f>SUMIFS(приходи!$L:$L,приходи!$E:$E,'ПП Октомври'!$C$10,приходи!$M:$M,'ПП Октомври'!Q2)</f>
        <v>0</v>
      </c>
      <c r="R10" s="74">
        <f>SUMIFS(приходи!$L:$L,приходи!$E:$E,'ПП Октомври'!$C$10,приходи!$M:$M,'ПП Октомври'!R2)</f>
        <v>0</v>
      </c>
      <c r="S10" s="74">
        <f>SUMIFS(приходи!$L:$L,приходи!$E:$E,'ПП Октомври'!$C$10,приходи!$M:$M,'ПП Октомври'!S2)</f>
        <v>0</v>
      </c>
      <c r="T10" s="74">
        <f>SUMIFS(приходи!$L:$L,приходи!$E:$E,'ПП Октомври'!$C$10,приходи!$M:$M,'ПП Октомври'!T2)</f>
        <v>0</v>
      </c>
      <c r="U10" s="74">
        <f>SUMIFS(приходи!$L:$L,приходи!$E:$E,'ПП Октомври'!$C$10,приходи!$M:$M,'ПП Октомври'!U2)</f>
        <v>0</v>
      </c>
      <c r="V10" s="74">
        <f>SUMIFS(приходи!$L:$L,приходи!$E:$E,'ПП Октомври'!$C$10,приходи!$M:$M,'ПП Октомври'!V2)</f>
        <v>0</v>
      </c>
      <c r="W10" s="76">
        <f>SUMIFS(приходи!$L:$L,приходи!$E:$E,'ПП Октомври'!$C$10,приходи!$M:$M,'ПП Октомври'!W2)</f>
        <v>0</v>
      </c>
      <c r="X10" s="76">
        <f>SUMIFS(приходи!$L:$L,приходи!$E:$E,'ПП Октомври'!$C$10,приходи!$M:$M,'ПП Октомври'!X2)</f>
        <v>0</v>
      </c>
      <c r="Y10" s="74">
        <f>SUMIFS(приходи!$L:$L,приходи!$E:$E,'ПП Октомври'!$C$10,приходи!$M:$M,'ПП Октомври'!Y2)</f>
        <v>0</v>
      </c>
      <c r="Z10" s="74">
        <f>SUMIFS(приходи!$L:$L,приходи!$E:$E,'ПП Октомври'!$C$10,приходи!$M:$M,'ПП Октомври'!Z2)</f>
        <v>0</v>
      </c>
      <c r="AA10" s="74">
        <f>SUMIFS(приходи!$L:$L,приходи!$E:$E,'ПП Октомври'!$C$10,приходи!$M:$M,'ПП Октомври'!AA2)</f>
        <v>0</v>
      </c>
      <c r="AB10" s="74">
        <f>SUMIFS(приходи!$L:$L,приходи!$E:$E,'ПП Октомври'!$C$10,приходи!$M:$M,'ПП Октомври'!AB2)</f>
        <v>0</v>
      </c>
      <c r="AC10" s="74">
        <f>SUMIFS(приходи!$L:$L,приходи!$E:$E,'ПП Октомври'!$C$10,приходи!$M:$M,'ПП Октомври'!AC2)</f>
        <v>0</v>
      </c>
      <c r="AD10" s="76">
        <f>SUMIFS(приходи!$L:$L,приходи!$E:$E,'ПП Октомври'!$C$10,приходи!$M:$M,'ПП Октомври'!AD2)</f>
        <v>0</v>
      </c>
      <c r="AE10" s="76">
        <f>SUMIFS(приходи!$L:$L,приходи!$E:$E,'ПП Октомври'!$C$10,приходи!$M:$M,'ПП Октомври'!AE2)</f>
        <v>0</v>
      </c>
      <c r="AF10" s="74">
        <f>SUMIFS(приходи!$L:$L,приходи!$E:$E,'ПП Октомври'!$C$10,приходи!$M:$M,'ПП Октомври'!AF2)</f>
        <v>0</v>
      </c>
      <c r="AG10" s="74">
        <f>SUMIFS(приходи!$L:$L,приходи!$E:$E,'ПП Октомври'!$C$10,приходи!$M:$M,'ПП Октомври'!AG2)</f>
        <v>0</v>
      </c>
      <c r="AH10" s="74">
        <f>SUMIFS(приходи!$L:$L,приходи!$E:$E,'ПП Октомври'!$C$10,приходи!$M:$M,'ПП Октомври'!AH2)</f>
        <v>0</v>
      </c>
      <c r="AI10" s="74">
        <f>SUMIFS(приходи!$L:$L,приходи!$E:$E,'ПП Октомври'!$C$10,приходи!$M:$M,'ПП Октомври'!AI2)</f>
        <v>0</v>
      </c>
      <c r="AJ10" s="61">
        <f t="shared" si="2"/>
        <v>0</v>
      </c>
      <c r="AK10" s="69">
        <f t="shared" si="3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0</v>
      </c>
      <c r="E11" s="73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7">
        <f t="shared" si="8"/>
        <v>0</v>
      </c>
      <c r="J11" s="77">
        <f t="shared" si="8"/>
        <v>0</v>
      </c>
      <c r="K11" s="73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7">
        <f t="shared" si="8"/>
        <v>0</v>
      </c>
      <c r="Q11" s="77">
        <f t="shared" si="8"/>
        <v>0</v>
      </c>
      <c r="R11" s="73">
        <f t="shared" si="8"/>
        <v>0</v>
      </c>
      <c r="S11" s="73">
        <f t="shared" si="8"/>
        <v>0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7">
        <f t="shared" si="8"/>
        <v>0</v>
      </c>
      <c r="X11" s="77">
        <f t="shared" si="8"/>
        <v>0</v>
      </c>
      <c r="Y11" s="73">
        <f t="shared" si="8"/>
        <v>0</v>
      </c>
      <c r="Z11" s="73">
        <f t="shared" si="8"/>
        <v>0</v>
      </c>
      <c r="AA11" s="73">
        <f t="shared" si="8"/>
        <v>0</v>
      </c>
      <c r="AB11" s="73">
        <f t="shared" si="8"/>
        <v>0</v>
      </c>
      <c r="AC11" s="73">
        <f t="shared" si="8"/>
        <v>0</v>
      </c>
      <c r="AD11" s="77">
        <f t="shared" si="8"/>
        <v>0</v>
      </c>
      <c r="AE11" s="77">
        <f t="shared" si="8"/>
        <v>0</v>
      </c>
      <c r="AF11" s="73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0</v>
      </c>
      <c r="AK11" s="58">
        <f t="shared" si="3"/>
        <v>0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Октомври'!$C$12,приходи!$M:$M,'ПП Октомври'!E2)</f>
        <v>0</v>
      </c>
      <c r="F12" s="74">
        <f>SUMIFS(приходи!$L:$L,приходи!$E:$E,'ПП Октомври'!$C$12,приходи!$M:$M,'ПП Октомври'!F2)</f>
        <v>0</v>
      </c>
      <c r="G12" s="74">
        <f>SUMIFS(приходи!$L:$L,приходи!$E:$E,'ПП Октомври'!$C$12,приходи!$M:$M,'ПП Октомври'!G2)</f>
        <v>0</v>
      </c>
      <c r="H12" s="74">
        <f>SUMIFS(приходи!$L:$L,приходи!$E:$E,'ПП Октомври'!$C$12,приходи!$M:$M,'ПП Октомври'!H2)</f>
        <v>0</v>
      </c>
      <c r="I12" s="76">
        <f>SUMIFS(приходи!$L:$L,приходи!$E:$E,'ПП Октомври'!$C$12,приходи!$M:$M,'ПП Октомври'!I2)</f>
        <v>0</v>
      </c>
      <c r="J12" s="76">
        <f>SUMIFS(приходи!$L:$L,приходи!$E:$E,'ПП Октомври'!$C$12,приходи!$M:$M,'ПП Октомври'!J2)</f>
        <v>0</v>
      </c>
      <c r="K12" s="74">
        <f>SUMIFS(приходи!$L:$L,приходи!$E:$E,'ПП Октомври'!$C$12,приходи!$M:$M,'ПП Октомври'!K2)</f>
        <v>0</v>
      </c>
      <c r="L12" s="74">
        <f>SUMIFS(приходи!$L:$L,приходи!$E:$E,'ПП Октомври'!$C$12,приходи!$M:$M,'ПП Октомври'!L2)</f>
        <v>0</v>
      </c>
      <c r="M12" s="74">
        <f>SUMIFS(приходи!$L:$L,приходи!$E:$E,'ПП Октомври'!$C$12,приходи!$M:$M,'ПП Октомври'!M2)</f>
        <v>0</v>
      </c>
      <c r="N12" s="74">
        <f>SUMIFS(приходи!$L:$L,приходи!$E:$E,'ПП Октомври'!$C$12,приходи!$M:$M,'ПП Октомври'!N2)</f>
        <v>0</v>
      </c>
      <c r="O12" s="74">
        <f>SUMIFS(приходи!$L:$L,приходи!$E:$E,'ПП Октомври'!$C$12,приходи!$M:$M,'ПП Октомври'!O2)</f>
        <v>0</v>
      </c>
      <c r="P12" s="76">
        <f>SUMIFS(приходи!$L:$L,приходи!$E:$E,'ПП Октомври'!$C$12,приходи!$M:$M,'ПП Октомври'!P2)</f>
        <v>0</v>
      </c>
      <c r="Q12" s="76">
        <f>SUMIFS(приходи!$L:$L,приходи!$E:$E,'ПП Октомври'!$C$12,приходи!$M:$M,'ПП Октомври'!Q2)</f>
        <v>0</v>
      </c>
      <c r="R12" s="74">
        <f>SUMIFS(приходи!$L:$L,приходи!$E:$E,'ПП Октомври'!$C$12,приходи!$M:$M,'ПП Октомври'!R2)</f>
        <v>0</v>
      </c>
      <c r="S12" s="74">
        <f>SUMIFS(приходи!$L:$L,приходи!$E:$E,'ПП Октомври'!$C$12,приходи!$M:$M,'ПП Октомври'!S2)</f>
        <v>0</v>
      </c>
      <c r="T12" s="74">
        <f>SUMIFS(приходи!$L:$L,приходи!$E:$E,'ПП Октомври'!$C$12,приходи!$M:$M,'ПП Октомври'!T2)</f>
        <v>0</v>
      </c>
      <c r="U12" s="74">
        <f>SUMIFS(приходи!$L:$L,приходи!$E:$E,'ПП Октомври'!$C$12,приходи!$M:$M,'ПП Октомври'!U2)</f>
        <v>0</v>
      </c>
      <c r="V12" s="74">
        <f>SUMIFS(приходи!$L:$L,приходи!$E:$E,'ПП Октомври'!$C$12,приходи!$M:$M,'ПП Октомври'!V2)</f>
        <v>0</v>
      </c>
      <c r="W12" s="76">
        <f>SUMIFS(приходи!$L:$L,приходи!$E:$E,'ПП Октомври'!$C$12,приходи!$M:$M,'ПП Октомври'!W2)</f>
        <v>0</v>
      </c>
      <c r="X12" s="76">
        <f>SUMIFS(приходи!$L:$L,приходи!$E:$E,'ПП Октомври'!$C$12,приходи!$M:$M,'ПП Октомври'!X2)</f>
        <v>0</v>
      </c>
      <c r="Y12" s="74">
        <f>SUMIFS(приходи!$L:$L,приходи!$E:$E,'ПП Октомври'!$C$12,приходи!$M:$M,'ПП Октомври'!Y2)</f>
        <v>0</v>
      </c>
      <c r="Z12" s="74">
        <f>SUMIFS(приходи!$L:$L,приходи!$E:$E,'ПП Октомври'!$C$12,приходи!$M:$M,'ПП Октомври'!Z2)</f>
        <v>0</v>
      </c>
      <c r="AA12" s="74">
        <f>SUMIFS(приходи!$L:$L,приходи!$E:$E,'ПП Октомври'!$C$12,приходи!$M:$M,'ПП Октомври'!AA2)</f>
        <v>0</v>
      </c>
      <c r="AB12" s="74">
        <f>SUMIFS(приходи!$L:$L,приходи!$E:$E,'ПП Октомври'!$C$12,приходи!$M:$M,'ПП Октомври'!AB2)</f>
        <v>0</v>
      </c>
      <c r="AC12" s="74">
        <f>SUMIFS(приходи!$L:$L,приходи!$E:$E,'ПП Октомври'!$C$12,приходи!$M:$M,'ПП Октомври'!AC2)</f>
        <v>0</v>
      </c>
      <c r="AD12" s="76">
        <f>SUMIFS(приходи!$L:$L,приходи!$E:$E,'ПП Октомври'!$C$12,приходи!$M:$M,'ПП Октомври'!AD2)</f>
        <v>0</v>
      </c>
      <c r="AE12" s="76">
        <f>SUMIFS(приходи!$L:$L,приходи!$E:$E,'ПП Октомври'!$C$12,приходи!$M:$M,'ПП Октомври'!AE2)</f>
        <v>0</v>
      </c>
      <c r="AF12" s="74">
        <f>SUMIFS(приходи!$L:$L,приходи!$E:$E,'ПП Октомври'!$C$12,приходи!$M:$M,'ПП Октомври'!AF2)</f>
        <v>0</v>
      </c>
      <c r="AG12" s="74">
        <f>SUMIFS(приходи!$L:$L,приходи!$E:$E,'ПП Октомври'!$C$12,приходи!$M:$M,'ПП Октомври'!AG2)</f>
        <v>0</v>
      </c>
      <c r="AH12" s="74">
        <f>SUMIFS(приходи!$L:$L,приходи!$E:$E,'ПП Октомври'!$C$12,приходи!$M:$M,'ПП Октомври'!AH2)</f>
        <v>0</v>
      </c>
      <c r="AI12" s="74">
        <f>SUMIFS(приходи!$L:$L,приходи!$E:$E,'ПП Октомври'!$C$12,приходи!$M:$M,'ПП Октомври'!AI2)</f>
        <v>0</v>
      </c>
      <c r="AJ12" s="61">
        <f t="shared" si="2"/>
        <v>0</v>
      </c>
      <c r="AK12" s="69">
        <f t="shared" si="3"/>
        <v>0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6">
        <f t="shared" si="10"/>
        <v>0</v>
      </c>
      <c r="J13" s="76">
        <f t="shared" si="10"/>
        <v>0</v>
      </c>
      <c r="K13" s="74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6">
        <f t="shared" si="10"/>
        <v>0</v>
      </c>
      <c r="Q13" s="76">
        <f t="shared" si="10"/>
        <v>0</v>
      </c>
      <c r="R13" s="74">
        <f t="shared" si="10"/>
        <v>0</v>
      </c>
      <c r="S13" s="74">
        <f t="shared" si="10"/>
        <v>0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6">
        <f t="shared" si="10"/>
        <v>0</v>
      </c>
      <c r="X13" s="76">
        <f t="shared" si="10"/>
        <v>0</v>
      </c>
      <c r="Y13" s="74">
        <f t="shared" si="10"/>
        <v>0</v>
      </c>
      <c r="Z13" s="74">
        <f t="shared" si="10"/>
        <v>0</v>
      </c>
      <c r="AA13" s="74">
        <f t="shared" si="10"/>
        <v>0</v>
      </c>
      <c r="AB13" s="74">
        <f t="shared" si="10"/>
        <v>0</v>
      </c>
      <c r="AC13" s="74">
        <f t="shared" si="10"/>
        <v>0</v>
      </c>
      <c r="AD13" s="76">
        <f t="shared" si="10"/>
        <v>0</v>
      </c>
      <c r="AE13" s="76">
        <f t="shared" si="10"/>
        <v>0</v>
      </c>
      <c r="AF13" s="74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0</v>
      </c>
      <c r="AK13" s="62">
        <f t="shared" si="3"/>
        <v>0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Октомври'!$C$14,приходи!$M:$M,'ПП Октомври'!E2)</f>
        <v>0</v>
      </c>
      <c r="F14" s="74">
        <f>SUMIFS(приходи!$L:$L,приходи!$E:$E,'ПП Октомври'!$C$14,приходи!$M:$M,'ПП Октомври'!F2)</f>
        <v>0</v>
      </c>
      <c r="G14" s="74">
        <f>SUMIFS(приходи!$L:$L,приходи!$E:$E,'ПП Октомври'!$C$14,приходи!$M:$M,'ПП Октомври'!G2)</f>
        <v>0</v>
      </c>
      <c r="H14" s="74">
        <f>SUMIFS(приходи!$L:$L,приходи!$E:$E,'ПП Октомври'!$C$14,приходи!$M:$M,'ПП Октомври'!H2)</f>
        <v>0</v>
      </c>
      <c r="I14" s="76">
        <f>SUMIFS(приходи!$L:$L,приходи!$E:$E,'ПП Октомври'!$C$14,приходи!$M:$M,'ПП Октомври'!I2)</f>
        <v>0</v>
      </c>
      <c r="J14" s="76">
        <f>SUMIFS(приходи!$L:$L,приходи!$E:$E,'ПП Октомври'!$C$14,приходи!$M:$M,'ПП Октомври'!J2)</f>
        <v>0</v>
      </c>
      <c r="K14" s="74">
        <f>SUMIFS(приходи!$L:$L,приходи!$E:$E,'ПП Октомври'!$C$14,приходи!$M:$M,'ПП Октомври'!K2)</f>
        <v>0</v>
      </c>
      <c r="L14" s="74">
        <f>SUMIFS(приходи!$L:$L,приходи!$E:$E,'ПП Октомври'!$C$14,приходи!$M:$M,'ПП Октомври'!L2)</f>
        <v>0</v>
      </c>
      <c r="M14" s="74">
        <f>SUMIFS(приходи!$L:$L,приходи!$E:$E,'ПП Октомври'!$C$14,приходи!$M:$M,'ПП Октомври'!M2)</f>
        <v>0</v>
      </c>
      <c r="N14" s="74">
        <f>SUMIFS(приходи!$L:$L,приходи!$E:$E,'ПП Октомври'!$C$14,приходи!$M:$M,'ПП Октомври'!N2)</f>
        <v>0</v>
      </c>
      <c r="O14" s="74">
        <f>SUMIFS(приходи!$L:$L,приходи!$E:$E,'ПП Октомври'!$C$14,приходи!$M:$M,'ПП Октомври'!O2)</f>
        <v>0</v>
      </c>
      <c r="P14" s="76">
        <f>SUMIFS(приходи!$L:$L,приходи!$E:$E,'ПП Октомври'!$C$14,приходи!$M:$M,'ПП Октомври'!P2)</f>
        <v>0</v>
      </c>
      <c r="Q14" s="76">
        <f>SUMIFS(приходи!$L:$L,приходи!$E:$E,'ПП Октомври'!$C$14,приходи!$M:$M,'ПП Октомври'!Q2)</f>
        <v>0</v>
      </c>
      <c r="R14" s="74">
        <f>SUMIFS(приходи!$L:$L,приходи!$E:$E,'ПП Октомври'!$C$14,приходи!$M:$M,'ПП Октомври'!R2)</f>
        <v>0</v>
      </c>
      <c r="S14" s="74">
        <f>SUMIFS(приходи!$L:$L,приходи!$E:$E,'ПП Октомври'!$C$14,приходи!$M:$M,'ПП Октомври'!S2)</f>
        <v>0</v>
      </c>
      <c r="T14" s="74">
        <f>SUMIFS(приходи!$L:$L,приходи!$E:$E,'ПП Октомври'!$C$14,приходи!$M:$M,'ПП Октомври'!T2)</f>
        <v>0</v>
      </c>
      <c r="U14" s="74">
        <f>SUMIFS(приходи!$L:$L,приходи!$E:$E,'ПП Октомври'!$C$14,приходи!$M:$M,'ПП Октомври'!U2)</f>
        <v>0</v>
      </c>
      <c r="V14" s="74">
        <f>SUMIFS(приходи!$L:$L,приходи!$E:$E,'ПП Октомври'!$C$14,приходи!$M:$M,'ПП Октомври'!V2)</f>
        <v>0</v>
      </c>
      <c r="W14" s="76">
        <f>SUMIFS(приходи!$L:$L,приходи!$E:$E,'ПП Октомври'!$C$14,приходи!$M:$M,'ПП Октомври'!W2)</f>
        <v>0</v>
      </c>
      <c r="X14" s="76">
        <f>SUMIFS(приходи!$L:$L,приходи!$E:$E,'ПП Октомври'!$C$14,приходи!$M:$M,'ПП Октомври'!X2)</f>
        <v>0</v>
      </c>
      <c r="Y14" s="74">
        <f>SUMIFS(приходи!$L:$L,приходи!$E:$E,'ПП Октомври'!$C$14,приходи!$M:$M,'ПП Октомври'!Y2)</f>
        <v>0</v>
      </c>
      <c r="Z14" s="74">
        <f>SUMIFS(приходи!$L:$L,приходи!$E:$E,'ПП Октомври'!$C$14,приходи!$M:$M,'ПП Октомври'!Z2)</f>
        <v>0</v>
      </c>
      <c r="AA14" s="74">
        <f>SUMIFS(приходи!$L:$L,приходи!$E:$E,'ПП Октомври'!$C$14,приходи!$M:$M,'ПП Октомври'!AA2)</f>
        <v>0</v>
      </c>
      <c r="AB14" s="74">
        <f>SUMIFS(приходи!$L:$L,приходи!$E:$E,'ПП Октомври'!$C$14,приходи!$M:$M,'ПП Октомври'!AB2)</f>
        <v>0</v>
      </c>
      <c r="AC14" s="74">
        <f>SUMIFS(приходи!$L:$L,приходи!$E:$E,'ПП Октомври'!$C$14,приходи!$M:$M,'ПП Октомври'!AC2)</f>
        <v>0</v>
      </c>
      <c r="AD14" s="76">
        <f>SUMIFS(приходи!$L:$L,приходи!$E:$E,'ПП Октомври'!$C$14,приходи!$M:$M,'ПП Октомври'!AD2)</f>
        <v>0</v>
      </c>
      <c r="AE14" s="76">
        <f>SUMIFS(приходи!$L:$L,приходи!$E:$E,'ПП Октомври'!$C$14,приходи!$M:$M,'ПП Октомври'!AE2)</f>
        <v>0</v>
      </c>
      <c r="AF14" s="74">
        <f>SUMIFS(приходи!$L:$L,приходи!$E:$E,'ПП Октомври'!$C$14,приходи!$M:$M,'ПП Октомври'!AF2)</f>
        <v>0</v>
      </c>
      <c r="AG14" s="74">
        <f>SUMIFS(приходи!$L:$L,приходи!$E:$E,'ПП Октомври'!$C$14,приходи!$M:$M,'ПП Октомври'!AG2)</f>
        <v>0</v>
      </c>
      <c r="AH14" s="74">
        <f>SUMIFS(приходи!$L:$L,приходи!$E:$E,'ПП Октомври'!$C$14,приходи!$M:$M,'ПП Октомври'!AH2)</f>
        <v>0</v>
      </c>
      <c r="AI14" s="74">
        <f>SUMIFS(приходи!$L:$L,приходи!$E:$E,'ПП Октомври'!$C$14,приходи!$M:$M,'ПП Октомври'!AI2)</f>
        <v>0</v>
      </c>
      <c r="AJ14" s="61">
        <f t="shared" si="2"/>
        <v>0</v>
      </c>
      <c r="AK14" s="69">
        <f t="shared" si="3"/>
        <v>0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Октомври'!$C$15,приходи!$M:$M,'ПП Октомври'!E2)</f>
        <v>0</v>
      </c>
      <c r="F15" s="74">
        <f>SUMIFS(приходи!$L:$L,приходи!$E:$E,'ПП Октомври'!$C$15,приходи!$M:$M,'ПП Октомври'!F2)</f>
        <v>0</v>
      </c>
      <c r="G15" s="74">
        <f>SUMIFS(приходи!$L:$L,приходи!$E:$E,'ПП Октомври'!$C$15,приходи!$M:$M,'ПП Октомври'!G2)</f>
        <v>0</v>
      </c>
      <c r="H15" s="74">
        <f>SUMIFS(приходи!$L:$L,приходи!$E:$E,'ПП Октомври'!$C$15,приходи!$M:$M,'ПП Октомври'!H2)</f>
        <v>0</v>
      </c>
      <c r="I15" s="76">
        <f>SUMIFS(приходи!$L:$L,приходи!$E:$E,'ПП Октомври'!$C$15,приходи!$M:$M,'ПП Октомври'!I2)</f>
        <v>0</v>
      </c>
      <c r="J15" s="76">
        <f>SUMIFS(приходи!$L:$L,приходи!$E:$E,'ПП Октомври'!$C$15,приходи!$M:$M,'ПП Октомври'!J2)</f>
        <v>0</v>
      </c>
      <c r="K15" s="74">
        <f>SUMIFS(приходи!$L:$L,приходи!$E:$E,'ПП Октомври'!$C$15,приходи!$M:$M,'ПП Октомври'!K2)</f>
        <v>0</v>
      </c>
      <c r="L15" s="74">
        <f>SUMIFS(приходи!$L:$L,приходи!$E:$E,'ПП Октомври'!$C$15,приходи!$M:$M,'ПП Октомври'!L2)</f>
        <v>0</v>
      </c>
      <c r="M15" s="74">
        <f>SUMIFS(приходи!$L:$L,приходи!$E:$E,'ПП Октомври'!$C$15,приходи!$M:$M,'ПП Октомври'!M2)</f>
        <v>0</v>
      </c>
      <c r="N15" s="74">
        <f>SUMIFS(приходи!$L:$L,приходи!$E:$E,'ПП Октомври'!$C$15,приходи!$M:$M,'ПП Октомври'!N2)</f>
        <v>0</v>
      </c>
      <c r="O15" s="74">
        <f>SUMIFS(приходи!$L:$L,приходи!$E:$E,'ПП Октомври'!$C$15,приходи!$M:$M,'ПП Октомври'!O2)</f>
        <v>0</v>
      </c>
      <c r="P15" s="76">
        <f>SUMIFS(приходи!$L:$L,приходи!$E:$E,'ПП Октомври'!$C$15,приходи!$M:$M,'ПП Октомври'!P2)</f>
        <v>0</v>
      </c>
      <c r="Q15" s="76">
        <f>SUMIFS(приходи!$L:$L,приходи!$E:$E,'ПП Октомври'!$C$15,приходи!$M:$M,'ПП Октомври'!Q2)</f>
        <v>0</v>
      </c>
      <c r="R15" s="74">
        <f>SUMIFS(приходи!$L:$L,приходи!$E:$E,'ПП Октомври'!$C$15,приходи!$M:$M,'ПП Октомври'!R2)</f>
        <v>0</v>
      </c>
      <c r="S15" s="74">
        <f>SUMIFS(приходи!$L:$L,приходи!$E:$E,'ПП Октомври'!$C$15,приходи!$M:$M,'ПП Октомври'!S2)</f>
        <v>0</v>
      </c>
      <c r="T15" s="74">
        <f>SUMIFS(приходи!$L:$L,приходи!$E:$E,'ПП Октомври'!$C$15,приходи!$M:$M,'ПП Октомври'!T2)</f>
        <v>0</v>
      </c>
      <c r="U15" s="74">
        <f>SUMIFS(приходи!$L:$L,приходи!$E:$E,'ПП Октомври'!$C$15,приходи!$M:$M,'ПП Октомври'!U2)</f>
        <v>0</v>
      </c>
      <c r="V15" s="74">
        <f>SUMIFS(приходи!$L:$L,приходи!$E:$E,'ПП Октомври'!$C$15,приходи!$M:$M,'ПП Октомври'!V2)</f>
        <v>0</v>
      </c>
      <c r="W15" s="76">
        <f>SUMIFS(приходи!$L:$L,приходи!$E:$E,'ПП Октомври'!$C$15,приходи!$M:$M,'ПП Октомври'!W2)</f>
        <v>0</v>
      </c>
      <c r="X15" s="76">
        <f>SUMIFS(приходи!$L:$L,приходи!$E:$E,'ПП Октомври'!$C$15,приходи!$M:$M,'ПП Октомври'!X2)</f>
        <v>0</v>
      </c>
      <c r="Y15" s="74">
        <f>SUMIFS(приходи!$L:$L,приходи!$E:$E,'ПП Октомври'!$C$15,приходи!$M:$M,'ПП Октомври'!Y2)</f>
        <v>0</v>
      </c>
      <c r="Z15" s="74">
        <f>SUMIFS(приходи!$L:$L,приходи!$E:$E,'ПП Октомври'!$C$15,приходи!$M:$M,'ПП Октомври'!Z2)</f>
        <v>0</v>
      </c>
      <c r="AA15" s="74">
        <f>SUMIFS(приходи!$L:$L,приходи!$E:$E,'ПП Октомври'!$C$15,приходи!$M:$M,'ПП Октомври'!AA2)</f>
        <v>0</v>
      </c>
      <c r="AB15" s="74">
        <f>SUMIFS(приходи!$L:$L,приходи!$E:$E,'ПП Октомври'!$C$15,приходи!$M:$M,'ПП Октомври'!AB2)</f>
        <v>0</v>
      </c>
      <c r="AC15" s="74">
        <f>SUMIFS(приходи!$L:$L,приходи!$E:$E,'ПП Октомври'!$C$15,приходи!$M:$M,'ПП Октомври'!AC2)</f>
        <v>0</v>
      </c>
      <c r="AD15" s="76">
        <f>SUMIFS(приходи!$L:$L,приходи!$E:$E,'ПП Октомври'!$C$15,приходи!$M:$M,'ПП Октомври'!AD2)</f>
        <v>0</v>
      </c>
      <c r="AE15" s="76">
        <f>SUMIFS(приходи!$L:$L,приходи!$E:$E,'ПП Октомври'!$C$15,приходи!$M:$M,'ПП Октомври'!AE2)</f>
        <v>0</v>
      </c>
      <c r="AF15" s="74">
        <f>SUMIFS(приходи!$L:$L,приходи!$E:$E,'ПП Октомври'!$C$15,приходи!$M:$M,'ПП Октомври'!AF2)</f>
        <v>0</v>
      </c>
      <c r="AG15" s="74">
        <f>SUMIFS(приходи!$L:$L,приходи!$E:$E,'ПП Октомври'!$C$15,приходи!$M:$M,'ПП Октомври'!AG2)</f>
        <v>0</v>
      </c>
      <c r="AH15" s="74">
        <f>SUMIFS(приходи!$L:$L,приходи!$E:$E,'ПП Октомври'!$C$15,приходи!$M:$M,'ПП Октомври'!AH2)</f>
        <v>0</v>
      </c>
      <c r="AI15" s="74">
        <f>SUMIFS(приходи!$L:$L,приходи!$E:$E,'ПП Октомври'!$C$15,приходи!$M:$M,'ПП Октомври'!AI2)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Октомври'!$C$16,приходи!$M:$M,'ПП Октомври'!E2)</f>
        <v>0</v>
      </c>
      <c r="F16" s="74">
        <f>SUMIFS(приходи!$L:$L,приходи!$E:$E,'ПП Октомври'!$C$16,приходи!$M:$M,'ПП Октомври'!F2)</f>
        <v>0</v>
      </c>
      <c r="G16" s="74">
        <f>SUMIFS(приходи!$L:$L,приходи!$E:$E,'ПП Октомври'!$C$16,приходи!$M:$M,'ПП Октомври'!G2)</f>
        <v>0</v>
      </c>
      <c r="H16" s="74">
        <f>SUMIFS(приходи!$L:$L,приходи!$E:$E,'ПП Октомври'!$C$16,приходи!$M:$M,'ПП Октомври'!H2)</f>
        <v>0</v>
      </c>
      <c r="I16" s="76">
        <f>SUMIFS(приходи!$L:$L,приходи!$E:$E,'ПП Октомври'!$C$16,приходи!$M:$M,'ПП Октомври'!I2)</f>
        <v>0</v>
      </c>
      <c r="J16" s="76">
        <f>SUMIFS(приходи!$L:$L,приходи!$E:$E,'ПП Октомври'!$C$16,приходи!$M:$M,'ПП Октомври'!J2)</f>
        <v>0</v>
      </c>
      <c r="K16" s="74">
        <f>SUMIFS(приходи!$L:$L,приходи!$E:$E,'ПП Октомври'!$C$16,приходи!$M:$M,'ПП Октомври'!K2)</f>
        <v>0</v>
      </c>
      <c r="L16" s="74">
        <f>SUMIFS(приходи!$L:$L,приходи!$E:$E,'ПП Октомври'!$C$16,приходи!$M:$M,'ПП Октомври'!L2)</f>
        <v>0</v>
      </c>
      <c r="M16" s="74">
        <f>SUMIFS(приходи!$L:$L,приходи!$E:$E,'ПП Октомври'!$C$16,приходи!$M:$M,'ПП Октомври'!M2)</f>
        <v>0</v>
      </c>
      <c r="N16" s="74">
        <f>SUMIFS(приходи!$L:$L,приходи!$E:$E,'ПП Октомври'!$C$16,приходи!$M:$M,'ПП Октомври'!N2)</f>
        <v>0</v>
      </c>
      <c r="O16" s="74">
        <f>SUMIFS(приходи!$L:$L,приходи!$E:$E,'ПП Октомври'!$C$16,приходи!$M:$M,'ПП Октомври'!O2)</f>
        <v>0</v>
      </c>
      <c r="P16" s="76">
        <f>SUMIFS(приходи!$L:$L,приходи!$E:$E,'ПП Октомври'!$C$16,приходи!$M:$M,'ПП Октомври'!P2)</f>
        <v>0</v>
      </c>
      <c r="Q16" s="76">
        <f>SUMIFS(приходи!$L:$L,приходи!$E:$E,'ПП Октомври'!$C$16,приходи!$M:$M,'ПП Октомври'!Q2)</f>
        <v>0</v>
      </c>
      <c r="R16" s="74">
        <f>SUMIFS(приходи!$L:$L,приходи!$E:$E,'ПП Октомври'!$C$16,приходи!$M:$M,'ПП Октомври'!R2)</f>
        <v>0</v>
      </c>
      <c r="S16" s="74">
        <f>SUMIFS(приходи!$L:$L,приходи!$E:$E,'ПП Октомври'!$C$16,приходи!$M:$M,'ПП Октомври'!S2)</f>
        <v>0</v>
      </c>
      <c r="T16" s="74">
        <f>SUMIFS(приходи!$L:$L,приходи!$E:$E,'ПП Октомври'!$C$16,приходи!$M:$M,'ПП Октомври'!T2)</f>
        <v>0</v>
      </c>
      <c r="U16" s="74">
        <f>SUMIFS(приходи!$L:$L,приходи!$E:$E,'ПП Октомври'!$C$16,приходи!$M:$M,'ПП Октомври'!U2)</f>
        <v>0</v>
      </c>
      <c r="V16" s="74">
        <f>SUMIFS(приходи!$L:$L,приходи!$E:$E,'ПП Октомври'!$C$16,приходи!$M:$M,'ПП Октомври'!V2)</f>
        <v>0</v>
      </c>
      <c r="W16" s="76">
        <f>SUMIFS(приходи!$L:$L,приходи!$E:$E,'ПП Октомври'!$C$16,приходи!$M:$M,'ПП Октомври'!W2)</f>
        <v>0</v>
      </c>
      <c r="X16" s="76">
        <f>SUMIFS(приходи!$L:$L,приходи!$E:$E,'ПП Октомври'!$C$16,приходи!$M:$M,'ПП Октомври'!X2)</f>
        <v>0</v>
      </c>
      <c r="Y16" s="74">
        <f>SUMIFS(приходи!$L:$L,приходи!$E:$E,'ПП Октомври'!$C$16,приходи!$M:$M,'ПП Октомври'!Y2)</f>
        <v>0</v>
      </c>
      <c r="Z16" s="74">
        <f>SUMIFS(приходи!$L:$L,приходи!$E:$E,'ПП Октомври'!$C$16,приходи!$M:$M,'ПП Октомври'!Z2)</f>
        <v>0</v>
      </c>
      <c r="AA16" s="74">
        <f>SUMIFS(приходи!$L:$L,приходи!$E:$E,'ПП Октомври'!$C$16,приходи!$M:$M,'ПП Октомври'!AA2)</f>
        <v>0</v>
      </c>
      <c r="AB16" s="74">
        <f>SUMIFS(приходи!$L:$L,приходи!$E:$E,'ПП Октомври'!$C$16,приходи!$M:$M,'ПП Октомври'!AB2)</f>
        <v>0</v>
      </c>
      <c r="AC16" s="74">
        <f>SUMIFS(приходи!$L:$L,приходи!$E:$E,'ПП Октомври'!$C$16,приходи!$M:$M,'ПП Октомври'!AC2)</f>
        <v>0</v>
      </c>
      <c r="AD16" s="76">
        <f>SUMIFS(приходи!$L:$L,приходи!$E:$E,'ПП Октомври'!$C$16,приходи!$M:$M,'ПП Октомври'!AD2)</f>
        <v>0</v>
      </c>
      <c r="AE16" s="76">
        <f>SUMIFS(приходи!$L:$L,приходи!$E:$E,'ПП Октомври'!$C$16,приходи!$M:$M,'ПП Октомври'!AE2)</f>
        <v>0</v>
      </c>
      <c r="AF16" s="74">
        <f>SUMIFS(приходи!$L:$L,приходи!$E:$E,'ПП Октомври'!$C$16,приходи!$M:$M,'ПП Октомври'!AF2)</f>
        <v>0</v>
      </c>
      <c r="AG16" s="74">
        <f>SUMIFS(приходи!$L:$L,приходи!$E:$E,'ПП Октомври'!$C$16,приходи!$M:$M,'ПП Октомври'!AG2)</f>
        <v>0</v>
      </c>
      <c r="AH16" s="74">
        <f>SUMIFS(приходи!$L:$L,приходи!$E:$E,'ПП Октомври'!$C$16,приходи!$M:$M,'ПП Октомври'!AH2)</f>
        <v>0</v>
      </c>
      <c r="AI16" s="74">
        <f>SUMIFS(приходи!$L:$L,приходи!$E:$E,'ПП Октомври'!$C$16,приходи!$M:$M,'ПП Октомври'!AI2)</f>
        <v>0</v>
      </c>
      <c r="AJ16" s="61">
        <f t="shared" si="2"/>
        <v>0</v>
      </c>
      <c r="AK16" s="69">
        <f t="shared" si="3"/>
        <v>0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Октомври'!$C$17,приходи!$M:$M,'ПП Октомври'!E2)</f>
        <v>0</v>
      </c>
      <c r="F17" s="74">
        <f>SUMIFS(приходи!$L:$L,приходи!$E:$E,'ПП Октомври'!$C$17,приходи!$M:$M,'ПП Октомври'!F2)</f>
        <v>0</v>
      </c>
      <c r="G17" s="74">
        <f>SUMIFS(приходи!$L:$L,приходи!$E:$E,'ПП Октомври'!$C$17,приходи!$M:$M,'ПП Октомври'!G2)</f>
        <v>0</v>
      </c>
      <c r="H17" s="74">
        <f>SUMIFS(приходи!$L:$L,приходи!$E:$E,'ПП Октомври'!$C$17,приходи!$M:$M,'ПП Октомври'!H2)</f>
        <v>0</v>
      </c>
      <c r="I17" s="76">
        <f>SUMIFS(приходи!$L:$L,приходи!$E:$E,'ПП Октомври'!$C$17,приходи!$M:$M,'ПП Октомври'!I2)</f>
        <v>0</v>
      </c>
      <c r="J17" s="76">
        <f>SUMIFS(приходи!$L:$L,приходи!$E:$E,'ПП Октомври'!$C$17,приходи!$M:$M,'ПП Октомври'!J2)</f>
        <v>0</v>
      </c>
      <c r="K17" s="74">
        <f>SUMIFS(приходи!$L:$L,приходи!$E:$E,'ПП Октомври'!$C$17,приходи!$M:$M,'ПП Октомври'!K2)</f>
        <v>0</v>
      </c>
      <c r="L17" s="74">
        <f>SUMIFS(приходи!$L:$L,приходи!$E:$E,'ПП Октомври'!$C$17,приходи!$M:$M,'ПП Октомври'!L2)</f>
        <v>0</v>
      </c>
      <c r="M17" s="74">
        <f>SUMIFS(приходи!$L:$L,приходи!$E:$E,'ПП Октомври'!$C$17,приходи!$M:$M,'ПП Октомври'!M2)</f>
        <v>0</v>
      </c>
      <c r="N17" s="74">
        <f>SUMIFS(приходи!$L:$L,приходи!$E:$E,'ПП Октомври'!$C$17,приходи!$M:$M,'ПП Октомври'!N2)</f>
        <v>0</v>
      </c>
      <c r="O17" s="74">
        <f>SUMIFS(приходи!$L:$L,приходи!$E:$E,'ПП Октомври'!$C$17,приходи!$M:$M,'ПП Октомври'!O2)</f>
        <v>0</v>
      </c>
      <c r="P17" s="76">
        <f>SUMIFS(приходи!$L:$L,приходи!$E:$E,'ПП Октомври'!$C$17,приходи!$M:$M,'ПП Октомври'!P2)</f>
        <v>0</v>
      </c>
      <c r="Q17" s="76">
        <f>SUMIFS(приходи!$L:$L,приходи!$E:$E,'ПП Октомври'!$C$17,приходи!$M:$M,'ПП Октомври'!Q2)</f>
        <v>0</v>
      </c>
      <c r="R17" s="74">
        <f>SUMIFS(приходи!$L:$L,приходи!$E:$E,'ПП Октомври'!$C$17,приходи!$M:$M,'ПП Октомври'!R2)</f>
        <v>0</v>
      </c>
      <c r="S17" s="74">
        <f>SUMIFS(приходи!$L:$L,приходи!$E:$E,'ПП Октомври'!$C$17,приходи!$M:$M,'ПП Октомври'!S2)</f>
        <v>0</v>
      </c>
      <c r="T17" s="74">
        <f>SUMIFS(приходи!$L:$L,приходи!$E:$E,'ПП Октомври'!$C$17,приходи!$M:$M,'ПП Октомври'!T2)</f>
        <v>0</v>
      </c>
      <c r="U17" s="74">
        <f>SUMIFS(приходи!$L:$L,приходи!$E:$E,'ПП Октомври'!$C$17,приходи!$M:$M,'ПП Октомври'!U2)</f>
        <v>0</v>
      </c>
      <c r="V17" s="74">
        <f>SUMIFS(приходи!$L:$L,приходи!$E:$E,'ПП Октомври'!$C$17,приходи!$M:$M,'ПП Октомври'!V2)</f>
        <v>0</v>
      </c>
      <c r="W17" s="76">
        <f>SUMIFS(приходи!$L:$L,приходи!$E:$E,'ПП Октомври'!$C$17,приходи!$M:$M,'ПП Октомври'!W2)</f>
        <v>0</v>
      </c>
      <c r="X17" s="76">
        <f>SUMIFS(приходи!$L:$L,приходи!$E:$E,'ПП Октомври'!$C$17,приходи!$M:$M,'ПП Октомври'!X2)</f>
        <v>0</v>
      </c>
      <c r="Y17" s="74">
        <f>SUMIFS(приходи!$L:$L,приходи!$E:$E,'ПП Октомври'!$C$17,приходи!$M:$M,'ПП Октомври'!Y2)</f>
        <v>0</v>
      </c>
      <c r="Z17" s="74">
        <f>SUMIFS(приходи!$L:$L,приходи!$E:$E,'ПП Октомври'!$C$17,приходи!$M:$M,'ПП Октомври'!Z2)</f>
        <v>0</v>
      </c>
      <c r="AA17" s="74">
        <f>SUMIFS(приходи!$L:$L,приходи!$E:$E,'ПП Октомври'!$C$17,приходи!$M:$M,'ПП Октомври'!AA2)</f>
        <v>0</v>
      </c>
      <c r="AB17" s="74">
        <f>SUMIFS(приходи!$L:$L,приходи!$E:$E,'ПП Октомври'!$C$17,приходи!$M:$M,'ПП Октомври'!AB2)</f>
        <v>0</v>
      </c>
      <c r="AC17" s="74">
        <f>SUMIFS(приходи!$L:$L,приходи!$E:$E,'ПП Октомври'!$C$17,приходи!$M:$M,'ПП Октомври'!AC2)</f>
        <v>0</v>
      </c>
      <c r="AD17" s="76">
        <f>SUMIFS(приходи!$L:$L,приходи!$E:$E,'ПП Октомври'!$C$17,приходи!$M:$M,'ПП Октомври'!AD2)</f>
        <v>0</v>
      </c>
      <c r="AE17" s="76">
        <f>SUMIFS(приходи!$L:$L,приходи!$E:$E,'ПП Октомври'!$C$17,приходи!$M:$M,'ПП Октомври'!AE2)</f>
        <v>0</v>
      </c>
      <c r="AF17" s="74">
        <f>SUMIFS(приходи!$L:$L,приходи!$E:$E,'ПП Октомври'!$C$17,приходи!$M:$M,'ПП Октомври'!AF2)</f>
        <v>0</v>
      </c>
      <c r="AG17" s="74">
        <f>SUMIFS(приходи!$L:$L,приходи!$E:$E,'ПП Октомври'!$C$17,приходи!$M:$M,'ПП Октомври'!AG2)</f>
        <v>0</v>
      </c>
      <c r="AH17" s="74">
        <f>SUMIFS(приходи!$L:$L,приходи!$E:$E,'ПП Октомври'!$C$17,приходи!$M:$M,'ПП Октомври'!AH2)</f>
        <v>0</v>
      </c>
      <c r="AI17" s="74">
        <f>SUMIFS(приходи!$L:$L,приходи!$E:$E,'ПП Октомври'!$C$17,приходи!$M:$M,'ПП Октомври'!AI2)</f>
        <v>0</v>
      </c>
      <c r="AJ17" s="61">
        <f t="shared" si="2"/>
        <v>0</v>
      </c>
      <c r="AK17" s="69">
        <f t="shared" si="3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Октомври'!$C$18,приходи!$M:$M,'ПП Октомври'!E2)</f>
        <v>0</v>
      </c>
      <c r="F18" s="74">
        <f>SUMIFS(приходи!$L:$L,приходи!$E:$E,'ПП Октомври'!$C$18,приходи!$M:$M,'ПП Октомври'!F2)</f>
        <v>0</v>
      </c>
      <c r="G18" s="74">
        <f>SUMIFS(приходи!$L:$L,приходи!$E:$E,'ПП Октомври'!$C$18,приходи!$M:$M,'ПП Октомври'!G2)</f>
        <v>0</v>
      </c>
      <c r="H18" s="74">
        <f>SUMIFS(приходи!$L:$L,приходи!$E:$E,'ПП Октомври'!$C$18,приходи!$M:$M,'ПП Октомври'!H2)</f>
        <v>0</v>
      </c>
      <c r="I18" s="76">
        <f>SUMIFS(приходи!$L:$L,приходи!$E:$E,'ПП Октомври'!$C$18,приходи!$M:$M,'ПП Октомври'!I2)</f>
        <v>0</v>
      </c>
      <c r="J18" s="76">
        <f>SUMIFS(приходи!$L:$L,приходи!$E:$E,'ПП Октомври'!$C$18,приходи!$M:$M,'ПП Октомври'!J2)</f>
        <v>0</v>
      </c>
      <c r="K18" s="74">
        <f>SUMIFS(приходи!$L:$L,приходи!$E:$E,'ПП Октомври'!$C$18,приходи!$M:$M,'ПП Октомври'!K2)</f>
        <v>0</v>
      </c>
      <c r="L18" s="74">
        <f>SUMIFS(приходи!$L:$L,приходи!$E:$E,'ПП Октомври'!$C$18,приходи!$M:$M,'ПП Октомври'!L2)</f>
        <v>0</v>
      </c>
      <c r="M18" s="74">
        <f>SUMIFS(приходи!$L:$L,приходи!$E:$E,'ПП Октомври'!$C$18,приходи!$M:$M,'ПП Октомври'!M2)</f>
        <v>0</v>
      </c>
      <c r="N18" s="74">
        <f>SUMIFS(приходи!$L:$L,приходи!$E:$E,'ПП Октомври'!$C$18,приходи!$M:$M,'ПП Октомври'!N2)</f>
        <v>0</v>
      </c>
      <c r="O18" s="74">
        <f>SUMIFS(приходи!$L:$L,приходи!$E:$E,'ПП Октомври'!$C$18,приходи!$M:$M,'ПП Октомври'!O2)</f>
        <v>0</v>
      </c>
      <c r="P18" s="76">
        <f>SUMIFS(приходи!$L:$L,приходи!$E:$E,'ПП Октомври'!$C$18,приходи!$M:$M,'ПП Октомври'!P2)</f>
        <v>0</v>
      </c>
      <c r="Q18" s="76">
        <f>SUMIFS(приходи!$L:$L,приходи!$E:$E,'ПП Октомври'!$C$18,приходи!$M:$M,'ПП Октомври'!Q2)</f>
        <v>0</v>
      </c>
      <c r="R18" s="74">
        <f>SUMIFS(приходи!$L:$L,приходи!$E:$E,'ПП Октомври'!$C$18,приходи!$M:$M,'ПП Октомври'!R2)</f>
        <v>0</v>
      </c>
      <c r="S18" s="74">
        <f>SUMIFS(приходи!$L:$L,приходи!$E:$E,'ПП Октомври'!$C$18,приходи!$M:$M,'ПП Октомври'!S2)</f>
        <v>0</v>
      </c>
      <c r="T18" s="74">
        <f>SUMIFS(приходи!$L:$L,приходи!$E:$E,'ПП Октомври'!$C$18,приходи!$M:$M,'ПП Октомври'!T2)</f>
        <v>0</v>
      </c>
      <c r="U18" s="74">
        <f>SUMIFS(приходи!$L:$L,приходи!$E:$E,'ПП Октомври'!$C$18,приходи!$M:$M,'ПП Октомври'!U2)</f>
        <v>0</v>
      </c>
      <c r="V18" s="74">
        <f>SUMIFS(приходи!$L:$L,приходи!$E:$E,'ПП Октомври'!$C$18,приходи!$M:$M,'ПП Октомври'!V2)</f>
        <v>0</v>
      </c>
      <c r="W18" s="76">
        <f>SUMIFS(приходи!$L:$L,приходи!$E:$E,'ПП Октомври'!$C$18,приходи!$M:$M,'ПП Октомври'!W2)</f>
        <v>0</v>
      </c>
      <c r="X18" s="76">
        <f>SUMIFS(приходи!$L:$L,приходи!$E:$E,'ПП Октомври'!$C$18,приходи!$M:$M,'ПП Октомври'!X2)</f>
        <v>0</v>
      </c>
      <c r="Y18" s="74">
        <f>SUMIFS(приходи!$L:$L,приходи!$E:$E,'ПП Октомври'!$C$18,приходи!$M:$M,'ПП Октомври'!Y2)</f>
        <v>0</v>
      </c>
      <c r="Z18" s="74">
        <f>SUMIFS(приходи!$L:$L,приходи!$E:$E,'ПП Октомври'!$C$18,приходи!$M:$M,'ПП Октомври'!Z2)</f>
        <v>0</v>
      </c>
      <c r="AA18" s="74">
        <f>SUMIFS(приходи!$L:$L,приходи!$E:$E,'ПП Октомври'!$C$18,приходи!$M:$M,'ПП Октомври'!AA2)</f>
        <v>0</v>
      </c>
      <c r="AB18" s="74">
        <f>SUMIFS(приходи!$L:$L,приходи!$E:$E,'ПП Октомври'!$C$18,приходи!$M:$M,'ПП Октомври'!AB2)</f>
        <v>0</v>
      </c>
      <c r="AC18" s="74">
        <f>SUMIFS(приходи!$L:$L,приходи!$E:$E,'ПП Октомври'!$C$18,приходи!$M:$M,'ПП Октомври'!AC2)</f>
        <v>0</v>
      </c>
      <c r="AD18" s="76">
        <f>SUMIFS(приходи!$L:$L,приходи!$E:$E,'ПП Октомври'!$C$18,приходи!$M:$M,'ПП Октомври'!AD2)</f>
        <v>0</v>
      </c>
      <c r="AE18" s="76">
        <f>SUMIFS(приходи!$L:$L,приходи!$E:$E,'ПП Октомври'!$C$18,приходи!$M:$M,'ПП Октомври'!AE2)</f>
        <v>0</v>
      </c>
      <c r="AF18" s="74">
        <f>SUMIFS(приходи!$L:$L,приходи!$E:$E,'ПП Октомври'!$C$18,приходи!$M:$M,'ПП Октомври'!AF2)</f>
        <v>0</v>
      </c>
      <c r="AG18" s="74">
        <f>SUMIFS(приходи!$L:$L,приходи!$E:$E,'ПП Октомври'!$C$18,приходи!$M:$M,'ПП Октомври'!AG2)</f>
        <v>0</v>
      </c>
      <c r="AH18" s="74">
        <f>SUMIFS(приходи!$L:$L,приходи!$E:$E,'ПП Октомври'!$C$18,приходи!$M:$M,'ПП Октомври'!AH2)</f>
        <v>0</v>
      </c>
      <c r="AI18" s="74">
        <f>SUMIFS(приходи!$L:$L,приходи!$E:$E,'ПП Октомври'!$C$18,приходи!$M:$M,'ПП Октомври'!AI2)</f>
        <v>0</v>
      </c>
      <c r="AJ18" s="61">
        <f t="shared" si="2"/>
        <v>0</v>
      </c>
      <c r="AK18" s="69">
        <f t="shared" si="3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Октомври'!$C$19,приходи!$M:$M,'ПП Октомври'!E2)</f>
        <v>0</v>
      </c>
      <c r="F19" s="74">
        <f>SUMIFS(приходи!$L:$L,приходи!$E:$E,'ПП Октомври'!$C$19,приходи!$M:$M,'ПП Октомври'!F2)</f>
        <v>0</v>
      </c>
      <c r="G19" s="74">
        <f>SUMIFS(приходи!$L:$L,приходи!$E:$E,'ПП Октомври'!$C$19,приходи!$M:$M,'ПП Октомври'!G2)</f>
        <v>0</v>
      </c>
      <c r="H19" s="74">
        <f>SUMIFS(приходи!$L:$L,приходи!$E:$E,'ПП Октомври'!$C$19,приходи!$M:$M,'ПП Октомври'!H2)</f>
        <v>0</v>
      </c>
      <c r="I19" s="76">
        <f>SUMIFS(приходи!$L:$L,приходи!$E:$E,'ПП Октомври'!$C$19,приходи!$M:$M,'ПП Октомври'!I2)</f>
        <v>0</v>
      </c>
      <c r="J19" s="76">
        <f>SUMIFS(приходи!$L:$L,приходи!$E:$E,'ПП Октомври'!$C$19,приходи!$M:$M,'ПП Октомври'!J2)</f>
        <v>0</v>
      </c>
      <c r="K19" s="74">
        <f>SUMIFS(приходи!$L:$L,приходи!$E:$E,'ПП Октомври'!$C$19,приходи!$M:$M,'ПП Октомври'!K2)</f>
        <v>0</v>
      </c>
      <c r="L19" s="74">
        <f>SUMIFS(приходи!$L:$L,приходи!$E:$E,'ПП Октомври'!$C$19,приходи!$M:$M,'ПП Октомври'!L2)</f>
        <v>0</v>
      </c>
      <c r="M19" s="74">
        <f>SUMIFS(приходи!$L:$L,приходи!$E:$E,'ПП Октомври'!$C$19,приходи!$M:$M,'ПП Октомври'!M2)</f>
        <v>0</v>
      </c>
      <c r="N19" s="74">
        <f>SUMIFS(приходи!$L:$L,приходи!$E:$E,'ПП Октомври'!$C$19,приходи!$M:$M,'ПП Октомври'!N2)</f>
        <v>0</v>
      </c>
      <c r="O19" s="74">
        <f>SUMIFS(приходи!$L:$L,приходи!$E:$E,'ПП Октомври'!$C$19,приходи!$M:$M,'ПП Октомври'!O2)</f>
        <v>0</v>
      </c>
      <c r="P19" s="76">
        <f>SUMIFS(приходи!$L:$L,приходи!$E:$E,'ПП Октомври'!$C$19,приходи!$M:$M,'ПП Октомври'!P2)</f>
        <v>0</v>
      </c>
      <c r="Q19" s="76">
        <f>SUMIFS(приходи!$L:$L,приходи!$E:$E,'ПП Октомври'!$C$19,приходи!$M:$M,'ПП Октомври'!Q2)</f>
        <v>0</v>
      </c>
      <c r="R19" s="74">
        <f>SUMIFS(приходи!$L:$L,приходи!$E:$E,'ПП Октомври'!$C$19,приходи!$M:$M,'ПП Октомври'!R2)</f>
        <v>0</v>
      </c>
      <c r="S19" s="74">
        <f>SUMIFS(приходи!$L:$L,приходи!$E:$E,'ПП Октомври'!$C$19,приходи!$M:$M,'ПП Октомври'!S2)</f>
        <v>0</v>
      </c>
      <c r="T19" s="74">
        <f>SUMIFS(приходи!$L:$L,приходи!$E:$E,'ПП Октомври'!$C$19,приходи!$M:$M,'ПП Октомври'!T2)</f>
        <v>0</v>
      </c>
      <c r="U19" s="74">
        <f>SUMIFS(приходи!$L:$L,приходи!$E:$E,'ПП Октомври'!$C$19,приходи!$M:$M,'ПП Октомври'!U2)</f>
        <v>0</v>
      </c>
      <c r="V19" s="74">
        <f>SUMIFS(приходи!$L:$L,приходи!$E:$E,'ПП Октомври'!$C$19,приходи!$M:$M,'ПП Октомври'!V2)</f>
        <v>0</v>
      </c>
      <c r="W19" s="76">
        <f>SUMIFS(приходи!$L:$L,приходи!$E:$E,'ПП Октомври'!$C$19,приходи!$M:$M,'ПП Октомври'!W2)</f>
        <v>0</v>
      </c>
      <c r="X19" s="76">
        <f>SUMIFS(приходи!$L:$L,приходи!$E:$E,'ПП Октомври'!$C$19,приходи!$M:$M,'ПП Октомври'!X2)</f>
        <v>0</v>
      </c>
      <c r="Y19" s="74">
        <f>SUMIFS(приходи!$L:$L,приходи!$E:$E,'ПП Октомври'!$C$19,приходи!$M:$M,'ПП Октомври'!Y2)</f>
        <v>0</v>
      </c>
      <c r="Z19" s="74">
        <f>SUMIFS(приходи!$L:$L,приходи!$E:$E,'ПП Октомври'!$C$19,приходи!$M:$M,'ПП Октомври'!Z2)</f>
        <v>0</v>
      </c>
      <c r="AA19" s="74">
        <f>SUMIFS(приходи!$L:$L,приходи!$E:$E,'ПП Октомври'!$C$19,приходи!$M:$M,'ПП Октомври'!AA2)</f>
        <v>0</v>
      </c>
      <c r="AB19" s="74">
        <f>SUMIFS(приходи!$L:$L,приходи!$E:$E,'ПП Октомври'!$C$19,приходи!$M:$M,'ПП Октомври'!AB2)</f>
        <v>0</v>
      </c>
      <c r="AC19" s="74">
        <f>SUMIFS(приходи!$L:$L,приходи!$E:$E,'ПП Октомври'!$C$19,приходи!$M:$M,'ПП Октомври'!AC2)</f>
        <v>0</v>
      </c>
      <c r="AD19" s="76">
        <f>SUMIFS(приходи!$L:$L,приходи!$E:$E,'ПП Октомври'!$C$19,приходи!$M:$M,'ПП Октомври'!AD2)</f>
        <v>0</v>
      </c>
      <c r="AE19" s="76">
        <f>SUMIFS(приходи!$L:$L,приходи!$E:$E,'ПП Октомври'!$C$19,приходи!$M:$M,'ПП Октомври'!AE2)</f>
        <v>0</v>
      </c>
      <c r="AF19" s="74">
        <f>SUMIFS(приходи!$L:$L,приходи!$E:$E,'ПП Октомври'!$C$19,приходи!$M:$M,'ПП Октомври'!AF2)</f>
        <v>0</v>
      </c>
      <c r="AG19" s="74">
        <f>SUMIFS(приходи!$L:$L,приходи!$E:$E,'ПП Октомври'!$C$19,приходи!$M:$M,'ПП Октомври'!AG2)</f>
        <v>0</v>
      </c>
      <c r="AH19" s="74">
        <f>SUMIFS(приходи!$L:$L,приходи!$E:$E,'ПП Октомври'!$C$19,приходи!$M:$M,'ПП Октомври'!AH2)</f>
        <v>0</v>
      </c>
      <c r="AI19" s="74">
        <f>SUMIFS(приходи!$L:$L,приходи!$E:$E,'ПП Октомври'!$C$19,приходи!$M:$M,'ПП Октомври'!AI2)</f>
        <v>0</v>
      </c>
      <c r="AJ19" s="61">
        <f t="shared" si="2"/>
        <v>0</v>
      </c>
      <c r="AK19" s="69">
        <f t="shared" si="3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Октомври'!$C$20,приходи!$M:$M,'ПП Октомври'!E2)</f>
        <v>0</v>
      </c>
      <c r="F20" s="74">
        <f>SUMIFS(приходи!$L:$L,приходи!$E:$E,'ПП Октомври'!$C$20,приходи!$M:$M,'ПП Октомври'!F2)</f>
        <v>0</v>
      </c>
      <c r="G20" s="74">
        <f>SUMIFS(приходи!$L:$L,приходи!$E:$E,'ПП Октомври'!$C$20,приходи!$M:$M,'ПП Октомври'!G2)</f>
        <v>0</v>
      </c>
      <c r="H20" s="74">
        <f>SUMIFS(приходи!$L:$L,приходи!$E:$E,'ПП Октомври'!$C$20,приходи!$M:$M,'ПП Октомври'!H2)</f>
        <v>0</v>
      </c>
      <c r="I20" s="76">
        <f>SUMIFS(приходи!$L:$L,приходи!$E:$E,'ПП Октомври'!$C$20,приходи!$M:$M,'ПП Октомври'!I2)</f>
        <v>0</v>
      </c>
      <c r="J20" s="76">
        <f>SUMIFS(приходи!$L:$L,приходи!$E:$E,'ПП Октомври'!$C$20,приходи!$M:$M,'ПП Октомври'!J2)</f>
        <v>0</v>
      </c>
      <c r="K20" s="74">
        <f>SUMIFS(приходи!$L:$L,приходи!$E:$E,'ПП Октомври'!$C$20,приходи!$M:$M,'ПП Октомври'!K2)</f>
        <v>0</v>
      </c>
      <c r="L20" s="74">
        <f>SUMIFS(приходи!$L:$L,приходи!$E:$E,'ПП Октомври'!$C$20,приходи!$M:$M,'ПП Октомври'!L2)</f>
        <v>0</v>
      </c>
      <c r="M20" s="74">
        <f>SUMIFS(приходи!$L:$L,приходи!$E:$E,'ПП Октомври'!$C$20,приходи!$M:$M,'ПП Октомври'!M2)</f>
        <v>0</v>
      </c>
      <c r="N20" s="74">
        <f>SUMIFS(приходи!$L:$L,приходи!$E:$E,'ПП Октомври'!$C$20,приходи!$M:$M,'ПП Октомври'!N2)</f>
        <v>0</v>
      </c>
      <c r="O20" s="74">
        <f>SUMIFS(приходи!$L:$L,приходи!$E:$E,'ПП Октомври'!$C$20,приходи!$M:$M,'ПП Октомври'!O2)</f>
        <v>0</v>
      </c>
      <c r="P20" s="76">
        <f>SUMIFS(приходи!$L:$L,приходи!$E:$E,'ПП Октомври'!$C$20,приходи!$M:$M,'ПП Октомври'!P2)</f>
        <v>0</v>
      </c>
      <c r="Q20" s="76">
        <f>SUMIFS(приходи!$L:$L,приходи!$E:$E,'ПП Октомври'!$C$20,приходи!$M:$M,'ПП Октомври'!Q2)</f>
        <v>0</v>
      </c>
      <c r="R20" s="74">
        <f>SUMIFS(приходи!$L:$L,приходи!$E:$E,'ПП Октомври'!$C$20,приходи!$M:$M,'ПП Октомври'!R2)</f>
        <v>0</v>
      </c>
      <c r="S20" s="74">
        <f>SUMIFS(приходи!$L:$L,приходи!$E:$E,'ПП Октомври'!$C$20,приходи!$M:$M,'ПП Октомври'!S2)</f>
        <v>0</v>
      </c>
      <c r="T20" s="74">
        <f>SUMIFS(приходи!$L:$L,приходи!$E:$E,'ПП Октомври'!$C$20,приходи!$M:$M,'ПП Октомври'!T2)</f>
        <v>0</v>
      </c>
      <c r="U20" s="74">
        <f>SUMIFS(приходи!$L:$L,приходи!$E:$E,'ПП Октомври'!$C$20,приходи!$M:$M,'ПП Октомври'!U2)</f>
        <v>0</v>
      </c>
      <c r="V20" s="74">
        <f>SUMIFS(приходи!$L:$L,приходи!$E:$E,'ПП Октомври'!$C$20,приходи!$M:$M,'ПП Октомври'!V2)</f>
        <v>0</v>
      </c>
      <c r="W20" s="76">
        <f>SUMIFS(приходи!$L:$L,приходи!$E:$E,'ПП Октомври'!$C$20,приходи!$M:$M,'ПП Октомври'!W2)</f>
        <v>0</v>
      </c>
      <c r="X20" s="76">
        <f>SUMIFS(приходи!$L:$L,приходи!$E:$E,'ПП Октомври'!$C$20,приходи!$M:$M,'ПП Октомври'!X2)</f>
        <v>0</v>
      </c>
      <c r="Y20" s="74">
        <f>SUMIFS(приходи!$L:$L,приходи!$E:$E,'ПП Октомври'!$C$20,приходи!$M:$M,'ПП Октомври'!Y2)</f>
        <v>0</v>
      </c>
      <c r="Z20" s="74">
        <f>SUMIFS(приходи!$L:$L,приходи!$E:$E,'ПП Октомври'!$C$20,приходи!$M:$M,'ПП Октомври'!Z2)</f>
        <v>0</v>
      </c>
      <c r="AA20" s="74">
        <f>SUMIFS(приходи!$L:$L,приходи!$E:$E,'ПП Октомври'!$C$20,приходи!$M:$M,'ПП Октомври'!AA2)</f>
        <v>0</v>
      </c>
      <c r="AB20" s="74">
        <f>SUMIFS(приходи!$L:$L,приходи!$E:$E,'ПП Октомври'!$C$20,приходи!$M:$M,'ПП Октомври'!AB2)</f>
        <v>0</v>
      </c>
      <c r="AC20" s="74">
        <f>SUMIFS(приходи!$L:$L,приходи!$E:$E,'ПП Октомври'!$C$20,приходи!$M:$M,'ПП Октомври'!AC2)</f>
        <v>0</v>
      </c>
      <c r="AD20" s="76">
        <f>SUMIFS(приходи!$L:$L,приходи!$E:$E,'ПП Октомври'!$C$20,приходи!$M:$M,'ПП Октомври'!AD2)</f>
        <v>0</v>
      </c>
      <c r="AE20" s="76">
        <f>SUMIFS(приходи!$L:$L,приходи!$E:$E,'ПП Октомври'!$C$20,приходи!$M:$M,'ПП Октомври'!AE2)</f>
        <v>0</v>
      </c>
      <c r="AF20" s="74">
        <f>SUMIFS(приходи!$L:$L,приходи!$E:$E,'ПП Октомври'!$C$20,приходи!$M:$M,'ПП Октомври'!AF2)</f>
        <v>0</v>
      </c>
      <c r="AG20" s="74">
        <f>SUMIFS(приходи!$L:$L,приходи!$E:$E,'ПП Октомври'!$C$20,приходи!$M:$M,'ПП Октомври'!AG2)</f>
        <v>0</v>
      </c>
      <c r="AH20" s="74">
        <f>SUMIFS(приходи!$L:$L,приходи!$E:$E,'ПП Октомври'!$C$20,приходи!$M:$M,'ПП Октомври'!AH2)</f>
        <v>0</v>
      </c>
      <c r="AI20" s="74">
        <f>SUMIFS(приходи!$L:$L,приходи!$E:$E,'ПП Октомври'!$C$20,приходи!$M:$M,'ПП Октомври'!AI2)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Октомври'!$C$21,приходи!$M:$M,'ПП Октомври'!E2)</f>
        <v>0</v>
      </c>
      <c r="F21" s="74">
        <f>SUMIFS(приходи!$L:$L,приходи!$E:$E,'ПП Октомври'!$C$21,приходи!$M:$M,'ПП Октомври'!F2)</f>
        <v>0</v>
      </c>
      <c r="G21" s="74">
        <f>SUMIFS(приходи!$L:$L,приходи!$E:$E,'ПП Октомври'!$C$21,приходи!$M:$M,'ПП Октомври'!G2)</f>
        <v>0</v>
      </c>
      <c r="H21" s="74">
        <f>SUMIFS(приходи!$L:$L,приходи!$E:$E,'ПП Октомври'!$C$21,приходи!$M:$M,'ПП Октомври'!H2)</f>
        <v>0</v>
      </c>
      <c r="I21" s="76">
        <f>SUMIFS(приходи!$L:$L,приходи!$E:$E,'ПП Октомври'!$C$21,приходи!$M:$M,'ПП Октомври'!I2)</f>
        <v>0</v>
      </c>
      <c r="J21" s="76">
        <f>SUMIFS(приходи!$L:$L,приходи!$E:$E,'ПП Октомври'!$C$21,приходи!$M:$M,'ПП Октомври'!J2)</f>
        <v>0</v>
      </c>
      <c r="K21" s="74">
        <f>SUMIFS(приходи!$L:$L,приходи!$E:$E,'ПП Октомври'!$C$21,приходи!$M:$M,'ПП Октомври'!K2)</f>
        <v>0</v>
      </c>
      <c r="L21" s="74">
        <f>SUMIFS(приходи!$L:$L,приходи!$E:$E,'ПП Октомври'!$C$21,приходи!$M:$M,'ПП Октомври'!L2)</f>
        <v>0</v>
      </c>
      <c r="M21" s="74">
        <f>SUMIFS(приходи!$L:$L,приходи!$E:$E,'ПП Октомври'!$C$21,приходи!$M:$M,'ПП Октомври'!M2)</f>
        <v>0</v>
      </c>
      <c r="N21" s="74">
        <f>SUMIFS(приходи!$L:$L,приходи!$E:$E,'ПП Октомври'!$C$21,приходи!$M:$M,'ПП Октомври'!N2)</f>
        <v>0</v>
      </c>
      <c r="O21" s="74">
        <f>SUMIFS(приходи!$L:$L,приходи!$E:$E,'ПП Октомври'!$C$21,приходи!$M:$M,'ПП Октомври'!O2)</f>
        <v>0</v>
      </c>
      <c r="P21" s="76">
        <f>SUMIFS(приходи!$L:$L,приходи!$E:$E,'ПП Октомври'!$C$21,приходи!$M:$M,'ПП Октомври'!P2)</f>
        <v>0</v>
      </c>
      <c r="Q21" s="76">
        <f>SUMIFS(приходи!$L:$L,приходи!$E:$E,'ПП Октомври'!$C$21,приходи!$M:$M,'ПП Октомври'!Q2)</f>
        <v>0</v>
      </c>
      <c r="R21" s="74">
        <f>SUMIFS(приходи!$L:$L,приходи!$E:$E,'ПП Октомври'!$C$21,приходи!$M:$M,'ПП Октомври'!R2)</f>
        <v>0</v>
      </c>
      <c r="S21" s="74">
        <f>SUMIFS(приходи!$L:$L,приходи!$E:$E,'ПП Октомври'!$C$21,приходи!$M:$M,'ПП Октомври'!S2)</f>
        <v>0</v>
      </c>
      <c r="T21" s="74">
        <f>SUMIFS(приходи!$L:$L,приходи!$E:$E,'ПП Октомври'!$C$21,приходи!$M:$M,'ПП Октомври'!T2)</f>
        <v>0</v>
      </c>
      <c r="U21" s="74">
        <f>SUMIFS(приходи!$L:$L,приходи!$E:$E,'ПП Октомври'!$C$21,приходи!$M:$M,'ПП Октомври'!U2)</f>
        <v>0</v>
      </c>
      <c r="V21" s="74">
        <f>SUMIFS(приходи!$L:$L,приходи!$E:$E,'ПП Октомври'!$C$21,приходи!$M:$M,'ПП Октомври'!V2)</f>
        <v>0</v>
      </c>
      <c r="W21" s="76">
        <f>SUMIFS(приходи!$L:$L,приходи!$E:$E,'ПП Октомври'!$C$21,приходи!$M:$M,'ПП Октомври'!W2)</f>
        <v>0</v>
      </c>
      <c r="X21" s="76">
        <f>SUMIFS(приходи!$L:$L,приходи!$E:$E,'ПП Октомври'!$C$21,приходи!$M:$M,'ПП Октомври'!X2)</f>
        <v>0</v>
      </c>
      <c r="Y21" s="74">
        <f>SUMIFS(приходи!$L:$L,приходи!$E:$E,'ПП Октомври'!$C$21,приходи!$M:$M,'ПП Октомври'!Y2)</f>
        <v>0</v>
      </c>
      <c r="Z21" s="74">
        <f>SUMIFS(приходи!$L:$L,приходи!$E:$E,'ПП Октомври'!$C$21,приходи!$M:$M,'ПП Октомври'!Z2)</f>
        <v>0</v>
      </c>
      <c r="AA21" s="74">
        <f>SUMIFS(приходи!$L:$L,приходи!$E:$E,'ПП Октомври'!$C$21,приходи!$M:$M,'ПП Октомври'!AA2)</f>
        <v>0</v>
      </c>
      <c r="AB21" s="74">
        <f>SUMIFS(приходи!$L:$L,приходи!$E:$E,'ПП Октомври'!$C$21,приходи!$M:$M,'ПП Октомври'!AB2)</f>
        <v>0</v>
      </c>
      <c r="AC21" s="74">
        <f>SUMIFS(приходи!$L:$L,приходи!$E:$E,'ПП Октомври'!$C$21,приходи!$M:$M,'ПП Октомври'!AC2)</f>
        <v>0</v>
      </c>
      <c r="AD21" s="76">
        <f>SUMIFS(приходи!$L:$L,приходи!$E:$E,'ПП Октомври'!$C$21,приходи!$M:$M,'ПП Октомври'!AD2)</f>
        <v>0</v>
      </c>
      <c r="AE21" s="76">
        <f>SUMIFS(приходи!$L:$L,приходи!$E:$E,'ПП Октомври'!$C$21,приходи!$M:$M,'ПП Октомври'!AE2)</f>
        <v>0</v>
      </c>
      <c r="AF21" s="74">
        <f>SUMIFS(приходи!$L:$L,приходи!$E:$E,'ПП Октомври'!$C$21,приходи!$M:$M,'ПП Октомври'!AF2)</f>
        <v>0</v>
      </c>
      <c r="AG21" s="74">
        <f>SUMIFS(приходи!$L:$L,приходи!$E:$E,'ПП Октомври'!$C$21,приходи!$M:$M,'ПП Октомври'!AG2)</f>
        <v>0</v>
      </c>
      <c r="AH21" s="74">
        <f>SUMIFS(приходи!$L:$L,приходи!$E:$E,'ПП Октомври'!$C$21,приходи!$M:$M,'ПП Октомври'!AH2)</f>
        <v>0</v>
      </c>
      <c r="AI21" s="74">
        <f>SUMIFS(приходи!$L:$L,приходи!$E:$E,'ПП Октомври'!$C$21,приходи!$M:$M,'ПП Октомври'!AI2)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Октомври'!$C$22,приходи!$M:$M,'ПП Октомври'!E2)</f>
        <v>0</v>
      </c>
      <c r="F22" s="74">
        <f>SUMIFS(приходи!$L:$L,приходи!$E:$E,'ПП Октомври'!$C$22,приходи!$M:$M,'ПП Октомври'!F2)</f>
        <v>0</v>
      </c>
      <c r="G22" s="74">
        <f>SUMIFS(приходи!$L:$L,приходи!$E:$E,'ПП Октомври'!$C$22,приходи!$M:$M,'ПП Октомври'!G2)</f>
        <v>0</v>
      </c>
      <c r="H22" s="74">
        <f>SUMIFS(приходи!$L:$L,приходи!$E:$E,'ПП Октомври'!$C$22,приходи!$M:$M,'ПП Октомври'!H2)</f>
        <v>0</v>
      </c>
      <c r="I22" s="76">
        <f>SUMIFS(приходи!$L:$L,приходи!$E:$E,'ПП Октомври'!$C$22,приходи!$M:$M,'ПП Октомври'!I2)</f>
        <v>0</v>
      </c>
      <c r="J22" s="76">
        <f>SUMIFS(приходи!$L:$L,приходи!$E:$E,'ПП Октомври'!$C$22,приходи!$M:$M,'ПП Октомври'!J2)</f>
        <v>0</v>
      </c>
      <c r="K22" s="74">
        <f>SUMIFS(приходи!$L:$L,приходи!$E:$E,'ПП Октомври'!$C$22,приходи!$M:$M,'ПП Октомври'!K2)</f>
        <v>0</v>
      </c>
      <c r="L22" s="74">
        <f>SUMIFS(приходи!$L:$L,приходи!$E:$E,'ПП Октомври'!$C$22,приходи!$M:$M,'ПП Октомври'!L2)</f>
        <v>0</v>
      </c>
      <c r="M22" s="74">
        <f>SUMIFS(приходи!$L:$L,приходи!$E:$E,'ПП Октомври'!$C$22,приходи!$M:$M,'ПП Октомври'!M2)</f>
        <v>0</v>
      </c>
      <c r="N22" s="74">
        <f>SUMIFS(приходи!$L:$L,приходи!$E:$E,'ПП Октомври'!$C$22,приходи!$M:$M,'ПП Октомври'!N2)</f>
        <v>0</v>
      </c>
      <c r="O22" s="74">
        <f>SUMIFS(приходи!$L:$L,приходи!$E:$E,'ПП Октомври'!$C$22,приходи!$M:$M,'ПП Октомври'!O2)</f>
        <v>0</v>
      </c>
      <c r="P22" s="76">
        <f>SUMIFS(приходи!$L:$L,приходи!$E:$E,'ПП Октомври'!$C$22,приходи!$M:$M,'ПП Октомври'!P2)</f>
        <v>0</v>
      </c>
      <c r="Q22" s="76">
        <f>SUMIFS(приходи!$L:$L,приходи!$E:$E,'ПП Октомври'!$C$22,приходи!$M:$M,'ПП Октомври'!Q2)</f>
        <v>0</v>
      </c>
      <c r="R22" s="74">
        <f>SUMIFS(приходи!$L:$L,приходи!$E:$E,'ПП Октомври'!$C$22,приходи!$M:$M,'ПП Октомври'!R2)</f>
        <v>0</v>
      </c>
      <c r="S22" s="74">
        <f>SUMIFS(приходи!$L:$L,приходи!$E:$E,'ПП Октомври'!$C$22,приходи!$M:$M,'ПП Октомври'!S2)</f>
        <v>0</v>
      </c>
      <c r="T22" s="74">
        <f>SUMIFS(приходи!$L:$L,приходи!$E:$E,'ПП Октомври'!$C$22,приходи!$M:$M,'ПП Октомври'!T2)</f>
        <v>0</v>
      </c>
      <c r="U22" s="74">
        <f>SUMIFS(приходи!$L:$L,приходи!$E:$E,'ПП Октомври'!$C$22,приходи!$M:$M,'ПП Октомври'!U2)</f>
        <v>0</v>
      </c>
      <c r="V22" s="74">
        <f>SUMIFS(приходи!$L:$L,приходи!$E:$E,'ПП Октомври'!$C$22,приходи!$M:$M,'ПП Октомври'!V2)</f>
        <v>0</v>
      </c>
      <c r="W22" s="76">
        <f>SUMIFS(приходи!$L:$L,приходи!$E:$E,'ПП Октомври'!$C$22,приходи!$M:$M,'ПП Октомври'!W2)</f>
        <v>0</v>
      </c>
      <c r="X22" s="76">
        <f>SUMIFS(приходи!$L:$L,приходи!$E:$E,'ПП Октомври'!$C$22,приходи!$M:$M,'ПП Октомври'!X2)</f>
        <v>0</v>
      </c>
      <c r="Y22" s="74">
        <f>SUMIFS(приходи!$L:$L,приходи!$E:$E,'ПП Октомври'!$C$22,приходи!$M:$M,'ПП Октомври'!Y2)</f>
        <v>0</v>
      </c>
      <c r="Z22" s="74">
        <f>SUMIFS(приходи!$L:$L,приходи!$E:$E,'ПП Октомври'!$C$22,приходи!$M:$M,'ПП Октомври'!Z2)</f>
        <v>0</v>
      </c>
      <c r="AA22" s="74">
        <f>SUMIFS(приходи!$L:$L,приходи!$E:$E,'ПП Октомври'!$C$22,приходи!$M:$M,'ПП Октомври'!AA2)</f>
        <v>0</v>
      </c>
      <c r="AB22" s="74">
        <f>SUMIFS(приходи!$L:$L,приходи!$E:$E,'ПП Октомври'!$C$22,приходи!$M:$M,'ПП Октомври'!AB2)</f>
        <v>0</v>
      </c>
      <c r="AC22" s="74">
        <f>SUMIFS(приходи!$L:$L,приходи!$E:$E,'ПП Октомври'!$C$22,приходи!$M:$M,'ПП Октомври'!AC2)</f>
        <v>0</v>
      </c>
      <c r="AD22" s="76">
        <f>SUMIFS(приходи!$L:$L,приходи!$E:$E,'ПП Октомври'!$C$22,приходи!$M:$M,'ПП Октомври'!AD2)</f>
        <v>0</v>
      </c>
      <c r="AE22" s="76">
        <f>SUMIFS(приходи!$L:$L,приходи!$E:$E,'ПП Октомври'!$C$22,приходи!$M:$M,'ПП Октомври'!AE2)</f>
        <v>0</v>
      </c>
      <c r="AF22" s="74">
        <f>SUMIFS(приходи!$L:$L,приходи!$E:$E,'ПП Октомври'!$C$22,приходи!$M:$M,'ПП Октомври'!AF2)</f>
        <v>0</v>
      </c>
      <c r="AG22" s="74">
        <f>SUMIFS(приходи!$L:$L,приходи!$E:$E,'ПП Октомври'!$C$22,приходи!$M:$M,'ПП Октомври'!AG2)</f>
        <v>0</v>
      </c>
      <c r="AH22" s="74">
        <f>SUMIFS(приходи!$L:$L,приходи!$E:$E,'ПП Октомври'!$C$22,приходи!$M:$M,'ПП Октомври'!AH2)</f>
        <v>0</v>
      </c>
      <c r="AI22" s="74">
        <f>SUMIFS(приходи!$L:$L,приходи!$E:$E,'ПП Октомври'!$C$22,приходи!$M:$M,'ПП Октомври'!AI2)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AI23" si="11">SUM(D24,D29,D36,D41,D42)</f>
        <v>4969480.7116439994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si="3"/>
        <v>4969480.7116439994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4684736</v>
      </c>
      <c r="E24" s="73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7">
        <f t="shared" si="13"/>
        <v>0</v>
      </c>
      <c r="J24" s="77">
        <f t="shared" si="13"/>
        <v>0</v>
      </c>
      <c r="K24" s="73">
        <f t="shared" si="13"/>
        <v>0</v>
      </c>
      <c r="L24" s="73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7">
        <f t="shared" si="13"/>
        <v>0</v>
      </c>
      <c r="Q24" s="77">
        <f t="shared" si="13"/>
        <v>0</v>
      </c>
      <c r="R24" s="73">
        <f t="shared" si="13"/>
        <v>0</v>
      </c>
      <c r="S24" s="73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7">
        <f t="shared" si="13"/>
        <v>0</v>
      </c>
      <c r="X24" s="77">
        <f t="shared" si="13"/>
        <v>0</v>
      </c>
      <c r="Y24" s="73">
        <f t="shared" si="13"/>
        <v>0</v>
      </c>
      <c r="Z24" s="73">
        <f t="shared" si="13"/>
        <v>0</v>
      </c>
      <c r="AA24" s="73">
        <f t="shared" si="13"/>
        <v>0</v>
      </c>
      <c r="AB24" s="73">
        <f t="shared" si="13"/>
        <v>0</v>
      </c>
      <c r="AC24" s="73">
        <f t="shared" si="13"/>
        <v>0</v>
      </c>
      <c r="AD24" s="77">
        <f t="shared" si="13"/>
        <v>0</v>
      </c>
      <c r="AE24" s="77">
        <f t="shared" si="13"/>
        <v>0</v>
      </c>
      <c r="AF24" s="73">
        <f t="shared" si="13"/>
        <v>0</v>
      </c>
      <c r="AG24" s="73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4684736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5"/>
      <c r="F25" s="75"/>
      <c r="G25" s="75"/>
      <c r="H25" s="75"/>
      <c r="I25" s="78"/>
      <c r="J25" s="78"/>
      <c r="K25" s="75"/>
      <c r="L25" s="75"/>
      <c r="M25" s="75"/>
      <c r="N25" s="75"/>
      <c r="O25" s="75"/>
      <c r="P25" s="78"/>
      <c r="Q25" s="78"/>
      <c r="R25" s="75"/>
      <c r="S25" s="75"/>
      <c r="T25" s="75"/>
      <c r="U25" s="75"/>
      <c r="V25" s="75"/>
      <c r="W25" s="78"/>
      <c r="X25" s="78"/>
      <c r="Y25" s="75"/>
      <c r="Z25" s="75"/>
      <c r="AA25" s="75"/>
      <c r="AB25" s="75"/>
      <c r="AC25" s="75"/>
      <c r="AD25" s="78"/>
      <c r="AE25" s="78"/>
      <c r="AF25" s="75"/>
      <c r="AG25" s="75"/>
      <c r="AH25" s="75"/>
      <c r="AI25" s="75"/>
      <c r="AJ25" s="66">
        <f t="shared" si="2"/>
        <v>0</v>
      </c>
      <c r="AK25" s="67">
        <f t="shared" si="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v>1831496</v>
      </c>
      <c r="E26" s="74">
        <f>SUMIFS(разходи!$L:$L,разходи!$E:$E,'ПП Октомври'!$C$26,разходи!$M:$M,'ПП Октомври'!E2)</f>
        <v>0</v>
      </c>
      <c r="F26" s="74">
        <f>SUMIFS(разходи!$L:$L,разходи!$E:$E,'ПП Октомври'!$C$26,разходи!$M:$M,'ПП Октомври'!F2)</f>
        <v>0</v>
      </c>
      <c r="G26" s="74">
        <f>SUMIFS(разходи!$L:$L,разходи!$E:$E,'ПП Октомври'!$C$26,разходи!$M:$M,'ПП Октомври'!G2)</f>
        <v>0</v>
      </c>
      <c r="H26" s="74">
        <f>SUMIFS(разходи!$L:$L,разходи!$E:$E,'ПП Октомври'!$C$26,разходи!$M:$M,'ПП Октомври'!H2)</f>
        <v>0</v>
      </c>
      <c r="I26" s="76">
        <f>SUMIFS(разходи!$L:$L,разходи!$E:$E,'ПП Октомври'!$C$26,разходи!$M:$M,'ПП Октомври'!I2)</f>
        <v>0</v>
      </c>
      <c r="J26" s="76">
        <f>SUMIFS(разходи!$L:$L,разходи!$E:$E,'ПП Октомври'!$C$26,разходи!$M:$M,'ПП Октомври'!J2)</f>
        <v>0</v>
      </c>
      <c r="K26" s="74">
        <f>SUMIFS(разходи!$L:$L,разходи!$E:$E,'ПП Октомври'!$C$26,разходи!$M:$M,'ПП Октомври'!K2)</f>
        <v>0</v>
      </c>
      <c r="L26" s="74">
        <f>SUMIFS(разходи!$L:$L,разходи!$E:$E,'ПП Октомври'!$C$26,разходи!$M:$M,'ПП Октомври'!L2)</f>
        <v>0</v>
      </c>
      <c r="M26" s="74">
        <f>SUMIFS(разходи!$L:$L,разходи!$E:$E,'ПП Октомври'!$C$26,разходи!$M:$M,'ПП Октомври'!M2)</f>
        <v>0</v>
      </c>
      <c r="N26" s="74">
        <f>SUMIFS(разходи!$L:$L,разходи!$E:$E,'ПП Октомври'!$C$26,разходи!$M:$M,'ПП Октомври'!N2)</f>
        <v>0</v>
      </c>
      <c r="O26" s="74">
        <f>SUMIFS(разходи!$L:$L,разходи!$E:$E,'ПП Октомври'!$C$26,разходи!$M:$M,'ПП Октомври'!O2)</f>
        <v>0</v>
      </c>
      <c r="P26" s="76">
        <f>SUMIFS(разходи!$L:$L,разходи!$E:$E,'ПП Октомври'!$C$26,разходи!$M:$M,'ПП Октомври'!P2)</f>
        <v>0</v>
      </c>
      <c r="Q26" s="76">
        <f>SUMIFS(разходи!$L:$L,разходи!$E:$E,'ПП Октомври'!$C$26,разходи!$M:$M,'ПП Октомври'!Q2)</f>
        <v>0</v>
      </c>
      <c r="R26" s="74">
        <f>SUMIFS(разходи!$L:$L,разходи!$E:$E,'ПП Октомври'!$C$26,разходи!$M:$M,'ПП Октомври'!R2)</f>
        <v>0</v>
      </c>
      <c r="S26" s="74">
        <f>SUMIFS(разходи!$L:$L,разходи!$E:$E,'ПП Октомври'!$C$26,разходи!$M:$M,'ПП Октомври'!S2)</f>
        <v>0</v>
      </c>
      <c r="T26" s="74">
        <f>SUMIFS(разходи!$L:$L,разходи!$E:$E,'ПП Октомври'!$C$26,разходи!$M:$M,'ПП Октомври'!T2)</f>
        <v>0</v>
      </c>
      <c r="U26" s="74">
        <f>SUMIFS(разходи!$L:$L,разходи!$E:$E,'ПП Октомври'!$C$26,разходи!$M:$M,'ПП Октомври'!U2)</f>
        <v>0</v>
      </c>
      <c r="V26" s="74">
        <f>SUMIFS(разходи!$L:$L,разходи!$E:$E,'ПП Октомври'!$C$26,разходи!$M:$M,'ПП Октомври'!V2)</f>
        <v>0</v>
      </c>
      <c r="W26" s="76">
        <f>SUMIFS(разходи!$L:$L,разходи!$E:$E,'ПП Октомври'!$C$26,разходи!$M:$M,'ПП Октомври'!W2)</f>
        <v>0</v>
      </c>
      <c r="X26" s="76">
        <f>SUMIFS(разходи!$L:$L,разходи!$E:$E,'ПП Октомври'!$C$26,разходи!$M:$M,'ПП Октомври'!X2)</f>
        <v>0</v>
      </c>
      <c r="Y26" s="74">
        <f>SUMIFS(разходи!$L:$L,разходи!$E:$E,'ПП Октомври'!$C$26,разходи!$M:$M,'ПП Октомври'!Y2)</f>
        <v>0</v>
      </c>
      <c r="Z26" s="74">
        <f>SUMIFS(разходи!$L:$L,разходи!$E:$E,'ПП Октомври'!$C$26,разходи!$M:$M,'ПП Октомври'!Z2)</f>
        <v>0</v>
      </c>
      <c r="AA26" s="74">
        <f>SUMIFS(разходи!$L:$L,разходи!$E:$E,'ПП Октомври'!$C$26,разходи!$M:$M,'ПП Октомври'!AA2)</f>
        <v>0</v>
      </c>
      <c r="AB26" s="74">
        <f>SUMIFS(разходи!$L:$L,разходи!$E:$E,'ПП Октомври'!$C$26,разходи!$M:$M,'ПП Октомври'!AB2)</f>
        <v>0</v>
      </c>
      <c r="AC26" s="74">
        <f>SUMIFS(разходи!$L:$L,разходи!$E:$E,'ПП Октомври'!$C$26,разходи!$M:$M,'ПП Октомври'!AC2)</f>
        <v>0</v>
      </c>
      <c r="AD26" s="76">
        <f>SUMIFS(разходи!$L:$L,разходи!$E:$E,'ПП Октомври'!$C$26,разходи!$M:$M,'ПП Октомври'!AD2)</f>
        <v>0</v>
      </c>
      <c r="AE26" s="76">
        <f>SUMIFS(разходи!$L:$L,разходи!$E:$E,'ПП Октомври'!$C$26,разходи!$M:$M,'ПП Октомври'!AE2)</f>
        <v>0</v>
      </c>
      <c r="AF26" s="74">
        <f>SUMIFS(разходи!$L:$L,разходи!$E:$E,'ПП Октомври'!$C$26,разходи!$M:$M,'ПП Октомври'!AF2)</f>
        <v>0</v>
      </c>
      <c r="AG26" s="74">
        <f>SUMIFS(разходи!$L:$L,разходи!$E:$E,'ПП Октомври'!$C$26,разходи!$M:$M,'ПП Октомври'!AG2)</f>
        <v>0</v>
      </c>
      <c r="AH26" s="74">
        <f>SUMIFS(разходи!$L:$L,разходи!$E:$E,'ПП Октомври'!$C$26,разходи!$M:$M,'ПП Октомври'!AH2)</f>
        <v>0</v>
      </c>
      <c r="AI26" s="74">
        <f>SUMIFS(разходи!$L:$L,разходи!$E:$E,'ПП Октомври'!$C$26,разходи!$M:$M,'ПП Октомври'!AI2)</f>
        <v>0</v>
      </c>
      <c r="AJ26" s="61">
        <f t="shared" si="2"/>
        <v>0</v>
      </c>
      <c r="AK26" s="69">
        <f t="shared" si="3"/>
        <v>1831496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2853240</v>
      </c>
      <c r="E27" s="74">
        <f>SUMIFS(разходи!$L:$L,разходи!$E:$E,'ПП Октомври'!$C$27,разходи!$M:$M,'ПП Октомври'!E2)</f>
        <v>0</v>
      </c>
      <c r="F27" s="74">
        <f>SUMIFS(разходи!$L:$L,разходи!$E:$E,'ПП Октомври'!$C$27,разходи!$M:$M,'ПП Октомври'!F2)</f>
        <v>0</v>
      </c>
      <c r="G27" s="74">
        <f>SUMIFS(разходи!$L:$L,разходи!$E:$E,'ПП Октомври'!$C$27,разходи!$M:$M,'ПП Октомври'!G2)</f>
        <v>0</v>
      </c>
      <c r="H27" s="74">
        <f>SUMIFS(разходи!$L:$L,разходи!$E:$E,'ПП Октомври'!$C$27,разходи!$M:$M,'ПП Октомври'!H2)</f>
        <v>0</v>
      </c>
      <c r="I27" s="76">
        <f>SUMIFS(разходи!$L:$L,разходи!$E:$E,'ПП Октомври'!$C$27,разходи!$M:$M,'ПП Октомври'!I2)</f>
        <v>0</v>
      </c>
      <c r="J27" s="76">
        <f>SUMIFS(разходи!$L:$L,разходи!$E:$E,'ПП Октомври'!$C$27,разходи!$M:$M,'ПП Октомври'!J2)</f>
        <v>0</v>
      </c>
      <c r="K27" s="74">
        <f>SUMIFS(разходи!$L:$L,разходи!$E:$E,'ПП Октомври'!$C$27,разходи!$M:$M,'ПП Октомври'!K2)</f>
        <v>0</v>
      </c>
      <c r="L27" s="74">
        <f>SUMIFS(разходи!$L:$L,разходи!$E:$E,'ПП Октомври'!$C$27,разходи!$M:$M,'ПП Октомври'!L2)</f>
        <v>0</v>
      </c>
      <c r="M27" s="74">
        <f>SUMIFS(разходи!$L:$L,разходи!$E:$E,'ПП Октомври'!$C$27,разходи!$M:$M,'ПП Октомври'!M2)</f>
        <v>0</v>
      </c>
      <c r="N27" s="74">
        <f>SUMIFS(разходи!$L:$L,разходи!$E:$E,'ПП Октомври'!$C$27,разходи!$M:$M,'ПП Октомври'!N2)</f>
        <v>0</v>
      </c>
      <c r="O27" s="74">
        <f>SUMIFS(разходи!$L:$L,разходи!$E:$E,'ПП Октомври'!$C$27,разходи!$M:$M,'ПП Октомври'!O2)</f>
        <v>0</v>
      </c>
      <c r="P27" s="76">
        <f>SUMIFS(разходи!$L:$L,разходи!$E:$E,'ПП Октомври'!$C$27,разходи!$M:$M,'ПП Октомври'!P2)</f>
        <v>0</v>
      </c>
      <c r="Q27" s="76">
        <f>SUMIFS(разходи!$L:$L,разходи!$E:$E,'ПП Октомври'!$C$27,разходи!$M:$M,'ПП Октомври'!Q2)</f>
        <v>0</v>
      </c>
      <c r="R27" s="74">
        <f>SUMIFS(разходи!$L:$L,разходи!$E:$E,'ПП Октомври'!$C$27,разходи!$M:$M,'ПП Октомври'!R2)</f>
        <v>0</v>
      </c>
      <c r="S27" s="74">
        <f>SUMIFS(разходи!$L:$L,разходи!$E:$E,'ПП Октомври'!$C$27,разходи!$M:$M,'ПП Октомври'!S2)</f>
        <v>0</v>
      </c>
      <c r="T27" s="74">
        <f>SUMIFS(разходи!$L:$L,разходи!$E:$E,'ПП Октомври'!$C$27,разходи!$M:$M,'ПП Октомври'!T2)</f>
        <v>0</v>
      </c>
      <c r="U27" s="74">
        <f>SUMIFS(разходи!$L:$L,разходи!$E:$E,'ПП Октомври'!$C$27,разходи!$M:$M,'ПП Октомври'!U2)</f>
        <v>0</v>
      </c>
      <c r="V27" s="74">
        <f>SUMIFS(разходи!$L:$L,разходи!$E:$E,'ПП Октомври'!$C$27,разходи!$M:$M,'ПП Октомври'!V2)</f>
        <v>0</v>
      </c>
      <c r="W27" s="76">
        <f>SUMIFS(разходи!$L:$L,разходи!$E:$E,'ПП Октомври'!$C$27,разходи!$M:$M,'ПП Октомври'!W2)</f>
        <v>0</v>
      </c>
      <c r="X27" s="76">
        <f>SUMIFS(разходи!$L:$L,разходи!$E:$E,'ПП Октомври'!$C$27,разходи!$M:$M,'ПП Октомври'!X2)</f>
        <v>0</v>
      </c>
      <c r="Y27" s="74">
        <f>SUMIFS(разходи!$L:$L,разходи!$E:$E,'ПП Октомври'!$C$27,разходи!$M:$M,'ПП Октомври'!Y2)</f>
        <v>0</v>
      </c>
      <c r="Z27" s="74">
        <f>SUMIFS(разходи!$L:$L,разходи!$E:$E,'ПП Октомври'!$C$27,разходи!$M:$M,'ПП Октомври'!Z2)</f>
        <v>0</v>
      </c>
      <c r="AA27" s="74">
        <f>SUMIFS(разходи!$L:$L,разходи!$E:$E,'ПП Октомври'!$C$27,разходи!$M:$M,'ПП Октомври'!AA2)</f>
        <v>0</v>
      </c>
      <c r="AB27" s="74">
        <f>SUMIFS(разходи!$L:$L,разходи!$E:$E,'ПП Октомври'!$C$27,разходи!$M:$M,'ПП Октомври'!AB2)</f>
        <v>0</v>
      </c>
      <c r="AC27" s="74">
        <f>SUMIFS(разходи!$L:$L,разходи!$E:$E,'ПП Октомври'!$C$27,разходи!$M:$M,'ПП Октомври'!AC2)</f>
        <v>0</v>
      </c>
      <c r="AD27" s="76">
        <f>SUMIFS(разходи!$L:$L,разходи!$E:$E,'ПП Октомври'!$C$27,разходи!$M:$M,'ПП Октомври'!AD2)</f>
        <v>0</v>
      </c>
      <c r="AE27" s="76">
        <f>SUMIFS(разходи!$L:$L,разходи!$E:$E,'ПП Октомври'!$C$27,разходи!$M:$M,'ПП Октомври'!AE2)</f>
        <v>0</v>
      </c>
      <c r="AF27" s="74">
        <f>SUMIFS(разходи!$L:$L,разходи!$E:$E,'ПП Октомври'!$C$27,разходи!$M:$M,'ПП Октомври'!AF2)</f>
        <v>0</v>
      </c>
      <c r="AG27" s="74">
        <f>SUMIFS(разходи!$L:$L,разходи!$E:$E,'ПП Октомври'!$C$27,разходи!$M:$M,'ПП Октомври'!AG2)</f>
        <v>0</v>
      </c>
      <c r="AH27" s="74">
        <f>SUMIFS(разходи!$L:$L,разходи!$E:$E,'ПП Октомври'!$C$27,разходи!$M:$M,'ПП Октомври'!AH2)</f>
        <v>0</v>
      </c>
      <c r="AI27" s="74">
        <f>SUMIFS(разходи!$L:$L,разходи!$E:$E,'ПП Октомври'!$C$27,разходи!$M:$M,'ПП Октомври'!AI2)</f>
        <v>0</v>
      </c>
      <c r="AJ27" s="61">
        <f t="shared" si="2"/>
        <v>0</v>
      </c>
      <c r="AK27" s="69">
        <f t="shared" si="3"/>
        <v>2853240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Октомври'!$C$28,разходи!$M:$M,'ПП Октомври'!E2)</f>
        <v>0</v>
      </c>
      <c r="F28" s="74">
        <f>SUMIFS(разходи!$L:$L,разходи!$E:$E,'ПП Октомври'!$C$28,разходи!$M:$M,'ПП Октомври'!F2)</f>
        <v>0</v>
      </c>
      <c r="G28" s="74">
        <f>SUMIFS(разходи!$L:$L,разходи!$E:$E,'ПП Октомври'!$C$28,разходи!$M:$M,'ПП Октомври'!G2)</f>
        <v>0</v>
      </c>
      <c r="H28" s="74">
        <f>SUMIFS(разходи!$L:$L,разходи!$E:$E,'ПП Октомври'!$C$28,разходи!$M:$M,'ПП Октомври'!H2)</f>
        <v>0</v>
      </c>
      <c r="I28" s="76">
        <f>SUMIFS(разходи!$L:$L,разходи!$E:$E,'ПП Октомври'!$C$28,разходи!$M:$M,'ПП Октомври'!I2)</f>
        <v>0</v>
      </c>
      <c r="J28" s="76">
        <f>SUMIFS(разходи!$L:$L,разходи!$E:$E,'ПП Октомври'!$C$28,разходи!$M:$M,'ПП Октомври'!J2)</f>
        <v>0</v>
      </c>
      <c r="K28" s="74">
        <f>SUMIFS(разходи!$L:$L,разходи!$E:$E,'ПП Октомври'!$C$28,разходи!$M:$M,'ПП Октомври'!K2)</f>
        <v>0</v>
      </c>
      <c r="L28" s="74">
        <f>SUMIFS(разходи!$L:$L,разходи!$E:$E,'ПП Октомври'!$C$28,разходи!$M:$M,'ПП Октомври'!L2)</f>
        <v>0</v>
      </c>
      <c r="M28" s="74">
        <f>SUMIFS(разходи!$L:$L,разходи!$E:$E,'ПП Октомври'!$C$28,разходи!$M:$M,'ПП Октомври'!M2)</f>
        <v>0</v>
      </c>
      <c r="N28" s="74">
        <f>SUMIFS(разходи!$L:$L,разходи!$E:$E,'ПП Октомври'!$C$28,разходи!$M:$M,'ПП Октомври'!N2)</f>
        <v>0</v>
      </c>
      <c r="O28" s="74">
        <f>SUMIFS(разходи!$L:$L,разходи!$E:$E,'ПП Октомври'!$C$28,разходи!$M:$M,'ПП Октомври'!O2)</f>
        <v>0</v>
      </c>
      <c r="P28" s="76">
        <f>SUMIFS(разходи!$L:$L,разходи!$E:$E,'ПП Октомври'!$C$28,разходи!$M:$M,'ПП Октомври'!P2)</f>
        <v>0</v>
      </c>
      <c r="Q28" s="76">
        <f>SUMIFS(разходи!$L:$L,разходи!$E:$E,'ПП Октомври'!$C$28,разходи!$M:$M,'ПП Октомври'!Q2)</f>
        <v>0</v>
      </c>
      <c r="R28" s="74">
        <f>SUMIFS(разходи!$L:$L,разходи!$E:$E,'ПП Октомври'!$C$28,разходи!$M:$M,'ПП Октомври'!R2)</f>
        <v>0</v>
      </c>
      <c r="S28" s="74">
        <f>SUMIFS(разходи!$L:$L,разходи!$E:$E,'ПП Октомври'!$C$28,разходи!$M:$M,'ПП Октомври'!S2)</f>
        <v>0</v>
      </c>
      <c r="T28" s="74">
        <f>SUMIFS(разходи!$L:$L,разходи!$E:$E,'ПП Октомври'!$C$28,разходи!$M:$M,'ПП Октомври'!T2)</f>
        <v>0</v>
      </c>
      <c r="U28" s="74">
        <f>SUMIFS(разходи!$L:$L,разходи!$E:$E,'ПП Октомври'!$C$28,разходи!$M:$M,'ПП Октомври'!U2)</f>
        <v>0</v>
      </c>
      <c r="V28" s="74">
        <f>SUMIFS(разходи!$L:$L,разходи!$E:$E,'ПП Октомври'!$C$28,разходи!$M:$M,'ПП Октомври'!V2)</f>
        <v>0</v>
      </c>
      <c r="W28" s="76">
        <f>SUMIFS(разходи!$L:$L,разходи!$E:$E,'ПП Октомври'!$C$28,разходи!$M:$M,'ПП Октомври'!W2)</f>
        <v>0</v>
      </c>
      <c r="X28" s="76">
        <f>SUMIFS(разходи!$L:$L,разходи!$E:$E,'ПП Октомври'!$C$28,разходи!$M:$M,'ПП Октомври'!X2)</f>
        <v>0</v>
      </c>
      <c r="Y28" s="74">
        <f>SUMIFS(разходи!$L:$L,разходи!$E:$E,'ПП Октомври'!$C$28,разходи!$M:$M,'ПП Октомври'!Y2)</f>
        <v>0</v>
      </c>
      <c r="Z28" s="74">
        <f>SUMIFS(разходи!$L:$L,разходи!$E:$E,'ПП Октомври'!$C$28,разходи!$M:$M,'ПП Октомври'!Z2)</f>
        <v>0</v>
      </c>
      <c r="AA28" s="74">
        <f>SUMIFS(разходи!$L:$L,разходи!$E:$E,'ПП Октомври'!$C$28,разходи!$M:$M,'ПП Октомври'!AA2)</f>
        <v>0</v>
      </c>
      <c r="AB28" s="74">
        <f>SUMIFS(разходи!$L:$L,разходи!$E:$E,'ПП Октомври'!$C$28,разходи!$M:$M,'ПП Октомври'!AB2)</f>
        <v>0</v>
      </c>
      <c r="AC28" s="74">
        <f>SUMIFS(разходи!$L:$L,разходи!$E:$E,'ПП Октомври'!$C$28,разходи!$M:$M,'ПП Октомври'!AC2)</f>
        <v>0</v>
      </c>
      <c r="AD28" s="76">
        <f>SUMIFS(разходи!$L:$L,разходи!$E:$E,'ПП Октомври'!$C$28,разходи!$M:$M,'ПП Октомври'!AD2)</f>
        <v>0</v>
      </c>
      <c r="AE28" s="76">
        <f>SUMIFS(разходи!$L:$L,разходи!$E:$E,'ПП Октомври'!$C$28,разходи!$M:$M,'ПП Октомври'!AE2)</f>
        <v>0</v>
      </c>
      <c r="AF28" s="74">
        <f>SUMIFS(разходи!$L:$L,разходи!$E:$E,'ПП Октомври'!$C$28,разходи!$M:$M,'ПП Октомври'!AF2)</f>
        <v>0</v>
      </c>
      <c r="AG28" s="74">
        <f>SUMIFS(разходи!$L:$L,разходи!$E:$E,'ПП Октомври'!$C$28,разходи!$M:$M,'ПП Октомври'!AG2)</f>
        <v>0</v>
      </c>
      <c r="AH28" s="74">
        <f>SUMIFS(разходи!$L:$L,разходи!$E:$E,'ПП Октомври'!$C$28,разходи!$M:$M,'ПП Октомври'!AH2)</f>
        <v>0</v>
      </c>
      <c r="AI28" s="74">
        <f>SUMIFS(разходи!$L:$L,разходи!$E:$E,'ПП Октомври'!$C$28,разходи!$M:$M,'ПП Октомври'!AI2)</f>
        <v>0</v>
      </c>
      <c r="AJ28" s="61">
        <f t="shared" si="2"/>
        <v>0</v>
      </c>
      <c r="AK28" s="69">
        <f t="shared" si="3"/>
        <v>0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93360.956443999981</v>
      </c>
      <c r="E29" s="74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6">
        <f t="shared" si="15"/>
        <v>0</v>
      </c>
      <c r="J29" s="76">
        <f t="shared" si="15"/>
        <v>0</v>
      </c>
      <c r="K29" s="74">
        <f t="shared" si="15"/>
        <v>0</v>
      </c>
      <c r="L29" s="74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6">
        <f t="shared" si="15"/>
        <v>0</v>
      </c>
      <c r="Q29" s="76">
        <f t="shared" si="15"/>
        <v>0</v>
      </c>
      <c r="R29" s="74">
        <f t="shared" si="15"/>
        <v>0</v>
      </c>
      <c r="S29" s="74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6">
        <f t="shared" si="15"/>
        <v>0</v>
      </c>
      <c r="X29" s="76">
        <f t="shared" si="15"/>
        <v>0</v>
      </c>
      <c r="Y29" s="74">
        <f t="shared" si="15"/>
        <v>0</v>
      </c>
      <c r="Z29" s="74">
        <f t="shared" si="15"/>
        <v>0</v>
      </c>
      <c r="AA29" s="74">
        <f t="shared" si="15"/>
        <v>0</v>
      </c>
      <c r="AB29" s="74">
        <f t="shared" si="15"/>
        <v>0</v>
      </c>
      <c r="AC29" s="74">
        <f t="shared" si="15"/>
        <v>0</v>
      </c>
      <c r="AD29" s="76">
        <f t="shared" si="15"/>
        <v>0</v>
      </c>
      <c r="AE29" s="76">
        <f t="shared" si="15"/>
        <v>0</v>
      </c>
      <c r="AF29" s="74">
        <f t="shared" si="15"/>
        <v>0</v>
      </c>
      <c r="AG29" s="74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93360.956443999981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>
        <v>37793.111720000001</v>
      </c>
      <c r="E30" s="74">
        <f>SUMIFS(разходи!$L:$L,разходи!$E:$E,'ПП Октомври'!$C$30,разходи!$M:$M,'ПП Октомври'!E2)</f>
        <v>0</v>
      </c>
      <c r="F30" s="74">
        <f>SUMIFS(разходи!$L:$L,разходи!$E:$E,'ПП Октомври'!$C$30,разходи!$M:$M,'ПП Октомври'!F2)</f>
        <v>0</v>
      </c>
      <c r="G30" s="74">
        <f>SUMIFS(разходи!$L:$L,разходи!$E:$E,'ПП Октомври'!$C$30,разходи!$M:$M,'ПП Октомври'!G2)</f>
        <v>0</v>
      </c>
      <c r="H30" s="74">
        <f>SUMIFS(разходи!$L:$L,разходи!$E:$E,'ПП Октомври'!$C$30,разходи!$M:$M,'ПП Октомври'!H2)</f>
        <v>0</v>
      </c>
      <c r="I30" s="76">
        <f>SUMIFS(разходи!$L:$L,разходи!$E:$E,'ПП Октомври'!$C$30,разходи!$M:$M,'ПП Октомври'!I2)</f>
        <v>0</v>
      </c>
      <c r="J30" s="76">
        <f>SUMIFS(разходи!$L:$L,разходи!$E:$E,'ПП Октомври'!$C$30,разходи!$M:$M,'ПП Октомври'!J2)</f>
        <v>0</v>
      </c>
      <c r="K30" s="74">
        <f>SUMIFS(разходи!$L:$L,разходи!$E:$E,'ПП Октомври'!$C$30,разходи!$M:$M,'ПП Октомври'!K2)</f>
        <v>0</v>
      </c>
      <c r="L30" s="74">
        <f>SUMIFS(разходи!$L:$L,разходи!$E:$E,'ПП Октомври'!$C$30,разходи!$M:$M,'ПП Октомври'!L2)</f>
        <v>0</v>
      </c>
      <c r="M30" s="74">
        <f>SUMIFS(разходи!$L:$L,разходи!$E:$E,'ПП Октомври'!$C$30,разходи!$M:$M,'ПП Октомври'!M2)</f>
        <v>0</v>
      </c>
      <c r="N30" s="74">
        <f>SUMIFS(разходи!$L:$L,разходи!$E:$E,'ПП Октомври'!$C$30,разходи!$M:$M,'ПП Октомври'!N2)</f>
        <v>0</v>
      </c>
      <c r="O30" s="74">
        <f>SUMIFS(разходи!$L:$L,разходи!$E:$E,'ПП Октомври'!$C$30,разходи!$M:$M,'ПП Октомври'!O2)</f>
        <v>0</v>
      </c>
      <c r="P30" s="76">
        <f>SUMIFS(разходи!$L:$L,разходи!$E:$E,'ПП Октомври'!$C$30,разходи!$M:$M,'ПП Октомври'!P2)</f>
        <v>0</v>
      </c>
      <c r="Q30" s="76">
        <f>SUMIFS(разходи!$L:$L,разходи!$E:$E,'ПП Октомври'!$C$30,разходи!$M:$M,'ПП Октомври'!Q2)</f>
        <v>0</v>
      </c>
      <c r="R30" s="74">
        <f>SUMIFS(разходи!$L:$L,разходи!$E:$E,'ПП Октомври'!$C$30,разходи!$M:$M,'ПП Октомври'!R2)</f>
        <v>0</v>
      </c>
      <c r="S30" s="74">
        <f>SUMIFS(разходи!$L:$L,разходи!$E:$E,'ПП Октомври'!$C$30,разходи!$M:$M,'ПП Октомври'!S2)</f>
        <v>0</v>
      </c>
      <c r="T30" s="74">
        <f>SUMIFS(разходи!$L:$L,разходи!$E:$E,'ПП Октомври'!$C$30,разходи!$M:$M,'ПП Октомври'!T2)</f>
        <v>0</v>
      </c>
      <c r="U30" s="74">
        <f>SUMIFS(разходи!$L:$L,разходи!$E:$E,'ПП Октомври'!$C$30,разходи!$M:$M,'ПП Октомври'!U2)</f>
        <v>0</v>
      </c>
      <c r="V30" s="74">
        <f>SUMIFS(разходи!$L:$L,разходи!$E:$E,'ПП Октомври'!$C$30,разходи!$M:$M,'ПП Октомври'!V2)</f>
        <v>0</v>
      </c>
      <c r="W30" s="76">
        <f>SUMIFS(разходи!$L:$L,разходи!$E:$E,'ПП Октомври'!$C$30,разходи!$M:$M,'ПП Октомври'!W2)</f>
        <v>0</v>
      </c>
      <c r="X30" s="76">
        <f>SUMIFS(разходи!$L:$L,разходи!$E:$E,'ПП Октомври'!$C$30,разходи!$M:$M,'ПП Октомври'!X2)</f>
        <v>0</v>
      </c>
      <c r="Y30" s="74">
        <f>SUMIFS(разходи!$L:$L,разходи!$E:$E,'ПП Октомври'!$C$30,разходи!$M:$M,'ПП Октомври'!Y2)</f>
        <v>0</v>
      </c>
      <c r="Z30" s="74">
        <f>SUMIFS(разходи!$L:$L,разходи!$E:$E,'ПП Октомври'!$C$30,разходи!$M:$M,'ПП Октомври'!Z2)</f>
        <v>0</v>
      </c>
      <c r="AA30" s="74">
        <f>SUMIFS(разходи!$L:$L,разходи!$E:$E,'ПП Октомври'!$C$30,разходи!$M:$M,'ПП Октомври'!AA2)</f>
        <v>0</v>
      </c>
      <c r="AB30" s="74">
        <f>SUMIFS(разходи!$L:$L,разходи!$E:$E,'ПП Октомври'!$C$30,разходи!$M:$M,'ПП Октомври'!AB2)</f>
        <v>0</v>
      </c>
      <c r="AC30" s="74">
        <f>SUMIFS(разходи!$L:$L,разходи!$E:$E,'ПП Октомври'!$C$30,разходи!$M:$M,'ПП Октомври'!AC2)</f>
        <v>0</v>
      </c>
      <c r="AD30" s="76">
        <f>SUMIFS(разходи!$L:$L,разходи!$E:$E,'ПП Октомври'!$C$30,разходи!$M:$M,'ПП Октомври'!AD2)</f>
        <v>0</v>
      </c>
      <c r="AE30" s="76">
        <f>SUMIFS(разходи!$L:$L,разходи!$E:$E,'ПП Октомври'!$C$30,разходи!$M:$M,'ПП Октомври'!AE2)</f>
        <v>0</v>
      </c>
      <c r="AF30" s="74">
        <f>SUMIFS(разходи!$L:$L,разходи!$E:$E,'ПП Октомври'!$C$30,разходи!$M:$M,'ПП Октомври'!AF2)</f>
        <v>0</v>
      </c>
      <c r="AG30" s="74">
        <f>SUMIFS(разходи!$L:$L,разходи!$E:$E,'ПП Октомври'!$C$30,разходи!$M:$M,'ПП Октомври'!AG2)</f>
        <v>0</v>
      </c>
      <c r="AH30" s="74">
        <f>SUMIFS(разходи!$L:$L,разходи!$E:$E,'ПП Октомври'!$C$30,разходи!$M:$M,'ПП Октомври'!AH2)</f>
        <v>0</v>
      </c>
      <c r="AI30" s="74">
        <f>SUMIFS(разходи!$L:$L,разходи!$E:$E,'ПП Октомври'!$C$30,разходи!$M:$M,'ПП Октомври'!AI2)</f>
        <v>0</v>
      </c>
      <c r="AJ30" s="61">
        <f t="shared" si="2"/>
        <v>0</v>
      </c>
      <c r="AK30" s="69">
        <f t="shared" si="3"/>
        <v>37793.111720000001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>
        <v>31232.907599999999</v>
      </c>
      <c r="E31" s="74">
        <f>SUMIFS(разходи!$L:$L,разходи!$E:$E,'ПП Октомври'!$C$31,разходи!$M:$M,'ПП Октомври'!E2)</f>
        <v>0</v>
      </c>
      <c r="F31" s="74">
        <f>SUMIFS(разходи!$L:$L,разходи!$E:$E,'ПП Октомври'!$C$31,разходи!$M:$M,'ПП Октомври'!F2)</f>
        <v>0</v>
      </c>
      <c r="G31" s="74">
        <f>SUMIFS(разходи!$L:$L,разходи!$E:$E,'ПП Октомври'!$C$31,разходи!$M:$M,'ПП Октомври'!G2)</f>
        <v>0</v>
      </c>
      <c r="H31" s="74">
        <f>SUMIFS(разходи!$L:$L,разходи!$E:$E,'ПП Октомври'!$C$31,разходи!$M:$M,'ПП Октомври'!H2)</f>
        <v>0</v>
      </c>
      <c r="I31" s="76">
        <f>SUMIFS(разходи!$L:$L,разходи!$E:$E,'ПП Октомври'!$C$31,разходи!$M:$M,'ПП Октомври'!I2)</f>
        <v>0</v>
      </c>
      <c r="J31" s="76">
        <f>SUMIFS(разходи!$L:$L,разходи!$E:$E,'ПП Октомври'!$C$31,разходи!$M:$M,'ПП Октомври'!J2)</f>
        <v>0</v>
      </c>
      <c r="K31" s="74">
        <f>SUMIFS(разходи!$L:$L,разходи!$E:$E,'ПП Октомври'!$C$31,разходи!$M:$M,'ПП Октомври'!K2)</f>
        <v>0</v>
      </c>
      <c r="L31" s="74">
        <f>SUMIFS(разходи!$L:$L,разходи!$E:$E,'ПП Октомври'!$C$31,разходи!$M:$M,'ПП Октомври'!L2)</f>
        <v>0</v>
      </c>
      <c r="M31" s="74">
        <f>SUMIFS(разходи!$L:$L,разходи!$E:$E,'ПП Октомври'!$C$31,разходи!$M:$M,'ПП Октомври'!M2)</f>
        <v>0</v>
      </c>
      <c r="N31" s="74">
        <f>SUMIFS(разходи!$L:$L,разходи!$E:$E,'ПП Октомври'!$C$31,разходи!$M:$M,'ПП Октомври'!N2)</f>
        <v>0</v>
      </c>
      <c r="O31" s="74">
        <f>SUMIFS(разходи!$L:$L,разходи!$E:$E,'ПП Октомври'!$C$31,разходи!$M:$M,'ПП Октомври'!O2)</f>
        <v>0</v>
      </c>
      <c r="P31" s="76">
        <f>SUMIFS(разходи!$L:$L,разходи!$E:$E,'ПП Октомври'!$C$31,разходи!$M:$M,'ПП Октомври'!P2)</f>
        <v>0</v>
      </c>
      <c r="Q31" s="76">
        <f>SUMIFS(разходи!$L:$L,разходи!$E:$E,'ПП Октомври'!$C$31,разходи!$M:$M,'ПП Октомври'!Q2)</f>
        <v>0</v>
      </c>
      <c r="R31" s="74">
        <f>SUMIFS(разходи!$L:$L,разходи!$E:$E,'ПП Октомври'!$C$31,разходи!$M:$M,'ПП Октомври'!R2)</f>
        <v>0</v>
      </c>
      <c r="S31" s="74">
        <f>SUMIFS(разходи!$L:$L,разходи!$E:$E,'ПП Октомври'!$C$31,разходи!$M:$M,'ПП Октомври'!S2)</f>
        <v>0</v>
      </c>
      <c r="T31" s="74">
        <f>SUMIFS(разходи!$L:$L,разходи!$E:$E,'ПП Октомври'!$C$31,разходи!$M:$M,'ПП Октомври'!T2)</f>
        <v>0</v>
      </c>
      <c r="U31" s="74">
        <f>SUMIFS(разходи!$L:$L,разходи!$E:$E,'ПП Октомври'!$C$31,разходи!$M:$M,'ПП Октомври'!U2)</f>
        <v>0</v>
      </c>
      <c r="V31" s="74">
        <f>SUMIFS(разходи!$L:$L,разходи!$E:$E,'ПП Октомври'!$C$31,разходи!$M:$M,'ПП Октомври'!V2)</f>
        <v>0</v>
      </c>
      <c r="W31" s="76">
        <f>SUMIFS(разходи!$L:$L,разходи!$E:$E,'ПП Октомври'!$C$31,разходи!$M:$M,'ПП Октомври'!W2)</f>
        <v>0</v>
      </c>
      <c r="X31" s="76">
        <f>SUMIFS(разходи!$L:$L,разходи!$E:$E,'ПП Октомври'!$C$31,разходи!$M:$M,'ПП Октомври'!X2)</f>
        <v>0</v>
      </c>
      <c r="Y31" s="74">
        <f>SUMIFS(разходи!$L:$L,разходи!$E:$E,'ПП Октомври'!$C$31,разходи!$M:$M,'ПП Октомври'!Y2)</f>
        <v>0</v>
      </c>
      <c r="Z31" s="74">
        <f>SUMIFS(разходи!$L:$L,разходи!$E:$E,'ПП Октомври'!$C$31,разходи!$M:$M,'ПП Октомври'!Z2)</f>
        <v>0</v>
      </c>
      <c r="AA31" s="74">
        <f>SUMIFS(разходи!$L:$L,разходи!$E:$E,'ПП Октомври'!$C$31,разходи!$M:$M,'ПП Октомври'!AA2)</f>
        <v>0</v>
      </c>
      <c r="AB31" s="74">
        <f>SUMIFS(разходи!$L:$L,разходи!$E:$E,'ПП Октомври'!$C$31,разходи!$M:$M,'ПП Октомври'!AB2)</f>
        <v>0</v>
      </c>
      <c r="AC31" s="74">
        <f>SUMIFS(разходи!$L:$L,разходи!$E:$E,'ПП Октомври'!$C$31,разходи!$M:$M,'ПП Октомври'!AC2)</f>
        <v>0</v>
      </c>
      <c r="AD31" s="76">
        <f>SUMIFS(разходи!$L:$L,разходи!$E:$E,'ПП Октомври'!$C$31,разходи!$M:$M,'ПП Октомври'!AD2)</f>
        <v>0</v>
      </c>
      <c r="AE31" s="76">
        <f>SUMIFS(разходи!$L:$L,разходи!$E:$E,'ПП Октомври'!$C$31,разходи!$M:$M,'ПП Октомври'!AE2)</f>
        <v>0</v>
      </c>
      <c r="AF31" s="74">
        <f>SUMIFS(разходи!$L:$L,разходи!$E:$E,'ПП Октомври'!$C$31,разходи!$M:$M,'ПП Октомври'!AF2)</f>
        <v>0</v>
      </c>
      <c r="AG31" s="74">
        <f>SUMIFS(разходи!$L:$L,разходи!$E:$E,'ПП Октомври'!$C$31,разходи!$M:$M,'ПП Октомври'!AG2)</f>
        <v>0</v>
      </c>
      <c r="AH31" s="74">
        <f>SUMIFS(разходи!$L:$L,разходи!$E:$E,'ПП Октомври'!$C$31,разходи!$M:$M,'ПП Октомври'!AH2)</f>
        <v>0</v>
      </c>
      <c r="AI31" s="74">
        <f>SUMIFS(разходи!$L:$L,разходи!$E:$E,'ПП Октомври'!$C$31,разходи!$M:$M,'ПП Октомври'!AI2)</f>
        <v>0</v>
      </c>
      <c r="AJ31" s="61">
        <f t="shared" si="2"/>
        <v>0</v>
      </c>
      <c r="AK31" s="69">
        <f t="shared" si="3"/>
        <v>31232.907599999999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>
        <v>147.25712399999998</v>
      </c>
      <c r="E32" s="74">
        <f>SUMIFS(разходи!$L:$L,разходи!$E:$E,'ПП Октомври'!$C$32,разходи!$M:$M,'ПП Октомври'!E2)</f>
        <v>0</v>
      </c>
      <c r="F32" s="74">
        <f>SUMIFS(разходи!$L:$L,разходи!$E:$E,'ПП Октомври'!$C$32,разходи!$M:$M,'ПП Октомври'!F2)</f>
        <v>0</v>
      </c>
      <c r="G32" s="74">
        <f>SUMIFS(разходи!$L:$L,разходи!$E:$E,'ПП Октомври'!$C$32,разходи!$M:$M,'ПП Октомври'!G2)</f>
        <v>0</v>
      </c>
      <c r="H32" s="74">
        <f>SUMIFS(разходи!$L:$L,разходи!$E:$E,'ПП Октомври'!$C$32,разходи!$M:$M,'ПП Октомври'!H2)</f>
        <v>0</v>
      </c>
      <c r="I32" s="76">
        <f>SUMIFS(разходи!$L:$L,разходи!$E:$E,'ПП Октомври'!$C$32,разходи!$M:$M,'ПП Октомври'!I2)</f>
        <v>0</v>
      </c>
      <c r="J32" s="76">
        <f>SUMIFS(разходи!$L:$L,разходи!$E:$E,'ПП Октомври'!$C$32,разходи!$M:$M,'ПП Октомври'!J2)</f>
        <v>0</v>
      </c>
      <c r="K32" s="74">
        <f>SUMIFS(разходи!$L:$L,разходи!$E:$E,'ПП Октомври'!$C$32,разходи!$M:$M,'ПП Октомври'!K2)</f>
        <v>0</v>
      </c>
      <c r="L32" s="74">
        <f>SUMIFS(разходи!$L:$L,разходи!$E:$E,'ПП Октомври'!$C$32,разходи!$M:$M,'ПП Октомври'!L2)</f>
        <v>0</v>
      </c>
      <c r="M32" s="74">
        <f>SUMIFS(разходи!$L:$L,разходи!$E:$E,'ПП Октомври'!$C$32,разходи!$M:$M,'ПП Октомври'!M2)</f>
        <v>0</v>
      </c>
      <c r="N32" s="74">
        <f>SUMIFS(разходи!$L:$L,разходи!$E:$E,'ПП Октомври'!$C$32,разходи!$M:$M,'ПП Октомври'!N2)</f>
        <v>0</v>
      </c>
      <c r="O32" s="74">
        <f>SUMIFS(разходи!$L:$L,разходи!$E:$E,'ПП Октомври'!$C$32,разходи!$M:$M,'ПП Октомври'!O2)</f>
        <v>0</v>
      </c>
      <c r="P32" s="76">
        <f>SUMIFS(разходи!$L:$L,разходи!$E:$E,'ПП Октомври'!$C$32,разходи!$M:$M,'ПП Октомври'!P2)</f>
        <v>0</v>
      </c>
      <c r="Q32" s="76">
        <f>SUMIFS(разходи!$L:$L,разходи!$E:$E,'ПП Октомври'!$C$32,разходи!$M:$M,'ПП Октомври'!Q2)</f>
        <v>0</v>
      </c>
      <c r="R32" s="74">
        <f>SUMIFS(разходи!$L:$L,разходи!$E:$E,'ПП Октомври'!$C$32,разходи!$M:$M,'ПП Октомври'!R2)</f>
        <v>0</v>
      </c>
      <c r="S32" s="74">
        <f>SUMIFS(разходи!$L:$L,разходи!$E:$E,'ПП Октомври'!$C$32,разходи!$M:$M,'ПП Октомври'!S2)</f>
        <v>0</v>
      </c>
      <c r="T32" s="74">
        <f>SUMIFS(разходи!$L:$L,разходи!$E:$E,'ПП Октомври'!$C$32,разходи!$M:$M,'ПП Октомври'!T2)</f>
        <v>0</v>
      </c>
      <c r="U32" s="74">
        <f>SUMIFS(разходи!$L:$L,разходи!$E:$E,'ПП Октомври'!$C$32,разходи!$M:$M,'ПП Октомври'!U2)</f>
        <v>0</v>
      </c>
      <c r="V32" s="74">
        <f>SUMIFS(разходи!$L:$L,разходи!$E:$E,'ПП Октомври'!$C$32,разходи!$M:$M,'ПП Октомври'!V2)</f>
        <v>0</v>
      </c>
      <c r="W32" s="76">
        <f>SUMIFS(разходи!$L:$L,разходи!$E:$E,'ПП Октомври'!$C$32,разходи!$M:$M,'ПП Октомври'!W2)</f>
        <v>0</v>
      </c>
      <c r="X32" s="76">
        <f>SUMIFS(разходи!$L:$L,разходи!$E:$E,'ПП Октомври'!$C$32,разходи!$M:$M,'ПП Октомври'!X2)</f>
        <v>0</v>
      </c>
      <c r="Y32" s="74">
        <f>SUMIFS(разходи!$L:$L,разходи!$E:$E,'ПП Октомври'!$C$32,разходи!$M:$M,'ПП Октомври'!Y2)</f>
        <v>0</v>
      </c>
      <c r="Z32" s="74">
        <f>SUMIFS(разходи!$L:$L,разходи!$E:$E,'ПП Октомври'!$C$32,разходи!$M:$M,'ПП Октомври'!Z2)</f>
        <v>0</v>
      </c>
      <c r="AA32" s="74">
        <f>SUMIFS(разходи!$L:$L,разходи!$E:$E,'ПП Октомври'!$C$32,разходи!$M:$M,'ПП Октомври'!AA2)</f>
        <v>0</v>
      </c>
      <c r="AB32" s="74">
        <f>SUMIFS(разходи!$L:$L,разходи!$E:$E,'ПП Октомври'!$C$32,разходи!$M:$M,'ПП Октомври'!AB2)</f>
        <v>0</v>
      </c>
      <c r="AC32" s="74">
        <f>SUMIFS(разходи!$L:$L,разходи!$E:$E,'ПП Октомври'!$C$32,разходи!$M:$M,'ПП Октомври'!AC2)</f>
        <v>0</v>
      </c>
      <c r="AD32" s="76">
        <f>SUMIFS(разходи!$L:$L,разходи!$E:$E,'ПП Октомври'!$C$32,разходи!$M:$M,'ПП Октомври'!AD2)</f>
        <v>0</v>
      </c>
      <c r="AE32" s="76">
        <f>SUMIFS(разходи!$L:$L,разходи!$E:$E,'ПП Октомври'!$C$32,разходи!$M:$M,'ПП Октомври'!AE2)</f>
        <v>0</v>
      </c>
      <c r="AF32" s="74">
        <f>SUMIFS(разходи!$L:$L,разходи!$E:$E,'ПП Октомври'!$C$32,разходи!$M:$M,'ПП Октомври'!AF2)</f>
        <v>0</v>
      </c>
      <c r="AG32" s="74">
        <f>SUMIFS(разходи!$L:$L,разходи!$E:$E,'ПП Октомври'!$C$32,разходи!$M:$M,'ПП Октомври'!AG2)</f>
        <v>0</v>
      </c>
      <c r="AH32" s="74">
        <f>SUMIFS(разходи!$L:$L,разходи!$E:$E,'ПП Октомври'!$C$32,разходи!$M:$M,'ПП Октомври'!AH2)</f>
        <v>0</v>
      </c>
      <c r="AI32" s="74">
        <f>SUMIFS(разходи!$L:$L,разходи!$E:$E,'ПП Октомври'!$C$32,разходи!$M:$M,'ПП Октомври'!AI2)</f>
        <v>0</v>
      </c>
      <c r="AJ32" s="61">
        <f t="shared" si="2"/>
        <v>0</v>
      </c>
      <c r="AK32" s="69">
        <f t="shared" si="3"/>
        <v>147.25712399999998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24187.679999999997</v>
      </c>
      <c r="E33" s="74">
        <f>SUMIFS(разходи!$L:$L,разходи!$E:$E,'ПП Октомври'!$C$33,разходи!$M:$M,'ПП Октомври'!E2)</f>
        <v>0</v>
      </c>
      <c r="F33" s="74">
        <f>SUMIFS(разходи!$L:$L,разходи!$E:$E,'ПП Октомври'!$C$33,разходи!$M:$M,'ПП Октомври'!F2)</f>
        <v>0</v>
      </c>
      <c r="G33" s="74">
        <f>SUMIFS(разходи!$L:$L,разходи!$E:$E,'ПП Октомври'!$C$33,разходи!$M:$M,'ПП Октомври'!G2)</f>
        <v>0</v>
      </c>
      <c r="H33" s="74">
        <f>SUMIFS(разходи!$L:$L,разходи!$E:$E,'ПП Октомври'!$C$33,разходи!$M:$M,'ПП Октомври'!H2)</f>
        <v>0</v>
      </c>
      <c r="I33" s="76">
        <f>SUMIFS(разходи!$L:$L,разходи!$E:$E,'ПП Октомври'!$C$33,разходи!$M:$M,'ПП Октомври'!I2)</f>
        <v>0</v>
      </c>
      <c r="J33" s="76">
        <f>SUMIFS(разходи!$L:$L,разходи!$E:$E,'ПП Октомври'!$C$33,разходи!$M:$M,'ПП Октомври'!J2)</f>
        <v>0</v>
      </c>
      <c r="K33" s="74">
        <f>SUMIFS(разходи!$L:$L,разходи!$E:$E,'ПП Октомври'!$C$33,разходи!$M:$M,'ПП Октомври'!K2)</f>
        <v>0</v>
      </c>
      <c r="L33" s="74">
        <f>SUMIFS(разходи!$L:$L,разходи!$E:$E,'ПП Октомври'!$C$33,разходи!$M:$M,'ПП Октомври'!L2)</f>
        <v>0</v>
      </c>
      <c r="M33" s="74">
        <f>SUMIFS(разходи!$L:$L,разходи!$E:$E,'ПП Октомври'!$C$33,разходи!$M:$M,'ПП Октомври'!M2)</f>
        <v>0</v>
      </c>
      <c r="N33" s="74">
        <f>SUMIFS(разходи!$L:$L,разходи!$E:$E,'ПП Октомври'!$C$33,разходи!$M:$M,'ПП Октомври'!N2)</f>
        <v>0</v>
      </c>
      <c r="O33" s="74">
        <f>SUMIFS(разходи!$L:$L,разходи!$E:$E,'ПП Октомври'!$C$33,разходи!$M:$M,'ПП Октомври'!O2)</f>
        <v>0</v>
      </c>
      <c r="P33" s="76">
        <f>SUMIFS(разходи!$L:$L,разходи!$E:$E,'ПП Октомври'!$C$33,разходи!$M:$M,'ПП Октомври'!P2)</f>
        <v>0</v>
      </c>
      <c r="Q33" s="76">
        <f>SUMIFS(разходи!$L:$L,разходи!$E:$E,'ПП Октомври'!$C$33,разходи!$M:$M,'ПП Октомври'!Q2)</f>
        <v>0</v>
      </c>
      <c r="R33" s="74">
        <f>SUMIFS(разходи!$L:$L,разходи!$E:$E,'ПП Октомври'!$C$33,разходи!$M:$M,'ПП Октомври'!R2)</f>
        <v>0</v>
      </c>
      <c r="S33" s="74">
        <f>SUMIFS(разходи!$L:$L,разходи!$E:$E,'ПП Октомври'!$C$33,разходи!$M:$M,'ПП Октомври'!S2)</f>
        <v>0</v>
      </c>
      <c r="T33" s="74">
        <f>SUMIFS(разходи!$L:$L,разходи!$E:$E,'ПП Октомври'!$C$33,разходи!$M:$M,'ПП Октомври'!T2)</f>
        <v>0</v>
      </c>
      <c r="U33" s="74">
        <f>SUMIFS(разходи!$L:$L,разходи!$E:$E,'ПП Октомври'!$C$33,разходи!$M:$M,'ПП Октомври'!U2)</f>
        <v>0</v>
      </c>
      <c r="V33" s="74">
        <f>SUMIFS(разходи!$L:$L,разходи!$E:$E,'ПП Октомври'!$C$33,разходи!$M:$M,'ПП Октомври'!V2)</f>
        <v>0</v>
      </c>
      <c r="W33" s="76">
        <f>SUMIFS(разходи!$L:$L,разходи!$E:$E,'ПП Октомври'!$C$33,разходи!$M:$M,'ПП Октомври'!W2)</f>
        <v>0</v>
      </c>
      <c r="X33" s="76">
        <f>SUMIFS(разходи!$L:$L,разходи!$E:$E,'ПП Октомври'!$C$33,разходи!$M:$M,'ПП Октомври'!X2)</f>
        <v>0</v>
      </c>
      <c r="Y33" s="74">
        <f>SUMIFS(разходи!$L:$L,разходи!$E:$E,'ПП Октомври'!$C$33,разходи!$M:$M,'ПП Октомври'!Y2)</f>
        <v>0</v>
      </c>
      <c r="Z33" s="74">
        <f>SUMIFS(разходи!$L:$L,разходи!$E:$E,'ПП Октомври'!$C$33,разходи!$M:$M,'ПП Октомври'!Z2)</f>
        <v>0</v>
      </c>
      <c r="AA33" s="74">
        <f>SUMIFS(разходи!$L:$L,разходи!$E:$E,'ПП Октомври'!$C$33,разходи!$M:$M,'ПП Октомври'!AA2)</f>
        <v>0</v>
      </c>
      <c r="AB33" s="74">
        <f>SUMIFS(разходи!$L:$L,разходи!$E:$E,'ПП Октомври'!$C$33,разходи!$M:$M,'ПП Октомври'!AB2)</f>
        <v>0</v>
      </c>
      <c r="AC33" s="74">
        <f>SUMIFS(разходи!$L:$L,разходи!$E:$E,'ПП Октомври'!$C$33,разходи!$M:$M,'ПП Октомври'!AC2)</f>
        <v>0</v>
      </c>
      <c r="AD33" s="76">
        <f>SUMIFS(разходи!$L:$L,разходи!$E:$E,'ПП Октомври'!$C$33,разходи!$M:$M,'ПП Октомври'!AD2)</f>
        <v>0</v>
      </c>
      <c r="AE33" s="76">
        <f>SUMIFS(разходи!$L:$L,разходи!$E:$E,'ПП Октомври'!$C$33,разходи!$M:$M,'ПП Октомври'!AE2)</f>
        <v>0</v>
      </c>
      <c r="AF33" s="74">
        <f>SUMIFS(разходи!$L:$L,разходи!$E:$E,'ПП Октомври'!$C$33,разходи!$M:$M,'ПП Октомври'!AF2)</f>
        <v>0</v>
      </c>
      <c r="AG33" s="74">
        <f>SUMIFS(разходи!$L:$L,разходи!$E:$E,'ПП Октомври'!$C$33,разходи!$M:$M,'ПП Октомври'!AG2)</f>
        <v>0</v>
      </c>
      <c r="AH33" s="74">
        <f>SUMIFS(разходи!$L:$L,разходи!$E:$E,'ПП Октомври'!$C$33,разходи!$M:$M,'ПП Октомври'!AH2)</f>
        <v>0</v>
      </c>
      <c r="AI33" s="74">
        <f>SUMIFS(разходи!$L:$L,разходи!$E:$E,'ПП Октомври'!$C$33,разходи!$M:$M,'ПП Октомври'!AI2)</f>
        <v>0</v>
      </c>
      <c r="AJ33" s="61">
        <f t="shared" si="2"/>
        <v>0</v>
      </c>
      <c r="AK33" s="69">
        <f t="shared" si="3"/>
        <v>24187.679999999997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Октомври'!$C$34,разходи!$M:$M,'ПП Октомври'!E2)</f>
        <v>0</v>
      </c>
      <c r="F34" s="74">
        <f>SUMIFS(разходи!$L:$L,разходи!$E:$E,'ПП Октомври'!$C$34,разходи!$M:$M,'ПП Октомври'!F2)</f>
        <v>0</v>
      </c>
      <c r="G34" s="74">
        <f>SUMIFS(разходи!$L:$L,разходи!$E:$E,'ПП Октомври'!$C$34,разходи!$M:$M,'ПП Октомври'!G2)</f>
        <v>0</v>
      </c>
      <c r="H34" s="74">
        <f>SUMIFS(разходи!$L:$L,разходи!$E:$E,'ПП Октомври'!$C$34,разходи!$M:$M,'ПП Октомври'!H2)</f>
        <v>0</v>
      </c>
      <c r="I34" s="76">
        <f>SUMIFS(разходи!$L:$L,разходи!$E:$E,'ПП Октомври'!$C$34,разходи!$M:$M,'ПП Октомври'!I2)</f>
        <v>0</v>
      </c>
      <c r="J34" s="76">
        <f>SUMIFS(разходи!$L:$L,разходи!$E:$E,'ПП Октомври'!$C$34,разходи!$M:$M,'ПП Октомври'!J2)</f>
        <v>0</v>
      </c>
      <c r="K34" s="74">
        <f>SUMIFS(разходи!$L:$L,разходи!$E:$E,'ПП Октомври'!$C$34,разходи!$M:$M,'ПП Октомври'!K2)</f>
        <v>0</v>
      </c>
      <c r="L34" s="74">
        <f>SUMIFS(разходи!$L:$L,разходи!$E:$E,'ПП Октомври'!$C$34,разходи!$M:$M,'ПП Октомври'!L2)</f>
        <v>0</v>
      </c>
      <c r="M34" s="74">
        <f>SUMIFS(разходи!$L:$L,разходи!$E:$E,'ПП Октомври'!$C$34,разходи!$M:$M,'ПП Октомври'!M2)</f>
        <v>0</v>
      </c>
      <c r="N34" s="74">
        <f>SUMIFS(разходи!$L:$L,разходи!$E:$E,'ПП Октомври'!$C$34,разходи!$M:$M,'ПП Октомври'!N2)</f>
        <v>0</v>
      </c>
      <c r="O34" s="74">
        <f>SUMIFS(разходи!$L:$L,разходи!$E:$E,'ПП Октомври'!$C$34,разходи!$M:$M,'ПП Октомври'!O2)</f>
        <v>0</v>
      </c>
      <c r="P34" s="76">
        <f>SUMIFS(разходи!$L:$L,разходи!$E:$E,'ПП Октомври'!$C$34,разходи!$M:$M,'ПП Октомври'!P2)</f>
        <v>0</v>
      </c>
      <c r="Q34" s="76">
        <f>SUMIFS(разходи!$L:$L,разходи!$E:$E,'ПП Октомври'!$C$34,разходи!$M:$M,'ПП Октомври'!Q2)</f>
        <v>0</v>
      </c>
      <c r="R34" s="74">
        <f>SUMIFS(разходи!$L:$L,разходи!$E:$E,'ПП Октомври'!$C$34,разходи!$M:$M,'ПП Октомври'!R2)</f>
        <v>0</v>
      </c>
      <c r="S34" s="74">
        <f>SUMIFS(разходи!$L:$L,разходи!$E:$E,'ПП Октомври'!$C$34,разходи!$M:$M,'ПП Октомври'!S2)</f>
        <v>0</v>
      </c>
      <c r="T34" s="74">
        <f>SUMIFS(разходи!$L:$L,разходи!$E:$E,'ПП Октомври'!$C$34,разходи!$M:$M,'ПП Октомври'!T2)</f>
        <v>0</v>
      </c>
      <c r="U34" s="74">
        <f>SUMIFS(разходи!$L:$L,разходи!$E:$E,'ПП Октомври'!$C$34,разходи!$M:$M,'ПП Октомври'!U2)</f>
        <v>0</v>
      </c>
      <c r="V34" s="74">
        <f>SUMIFS(разходи!$L:$L,разходи!$E:$E,'ПП Октомври'!$C$34,разходи!$M:$M,'ПП Октомври'!V2)</f>
        <v>0</v>
      </c>
      <c r="W34" s="76">
        <f>SUMIFS(разходи!$L:$L,разходи!$E:$E,'ПП Октомври'!$C$34,разходи!$M:$M,'ПП Октомври'!W2)</f>
        <v>0</v>
      </c>
      <c r="X34" s="76">
        <f>SUMIFS(разходи!$L:$L,разходи!$E:$E,'ПП Октомври'!$C$34,разходи!$M:$M,'ПП Октомври'!X2)</f>
        <v>0</v>
      </c>
      <c r="Y34" s="74">
        <f>SUMIFS(разходи!$L:$L,разходи!$E:$E,'ПП Октомври'!$C$34,разходи!$M:$M,'ПП Октомври'!Y2)</f>
        <v>0</v>
      </c>
      <c r="Z34" s="74">
        <f>SUMIFS(разходи!$L:$L,разходи!$E:$E,'ПП Октомври'!$C$34,разходи!$M:$M,'ПП Октомври'!Z2)</f>
        <v>0</v>
      </c>
      <c r="AA34" s="74">
        <f>SUMIFS(разходи!$L:$L,разходи!$E:$E,'ПП Октомври'!$C$34,разходи!$M:$M,'ПП Октомври'!AA2)</f>
        <v>0</v>
      </c>
      <c r="AB34" s="74">
        <f>SUMIFS(разходи!$L:$L,разходи!$E:$E,'ПП Октомври'!$C$34,разходи!$M:$M,'ПП Октомври'!AB2)</f>
        <v>0</v>
      </c>
      <c r="AC34" s="74">
        <f>SUMIFS(разходи!$L:$L,разходи!$E:$E,'ПП Октомври'!$C$34,разходи!$M:$M,'ПП Октомври'!AC2)</f>
        <v>0</v>
      </c>
      <c r="AD34" s="76">
        <f>SUMIFS(разходи!$L:$L,разходи!$E:$E,'ПП Октомври'!$C$34,разходи!$M:$M,'ПП Октомври'!AD2)</f>
        <v>0</v>
      </c>
      <c r="AE34" s="76">
        <f>SUMIFS(разходи!$L:$L,разходи!$E:$E,'ПП Октомври'!$C$34,разходи!$M:$M,'ПП Октомври'!AE2)</f>
        <v>0</v>
      </c>
      <c r="AF34" s="74">
        <f>SUMIFS(разходи!$L:$L,разходи!$E:$E,'ПП Октомври'!$C$34,разходи!$M:$M,'ПП Октомври'!AF2)</f>
        <v>0</v>
      </c>
      <c r="AG34" s="74">
        <f>SUMIFS(разходи!$L:$L,разходи!$E:$E,'ПП Октомври'!$C$34,разходи!$M:$M,'ПП Октомври'!AG2)</f>
        <v>0</v>
      </c>
      <c r="AH34" s="74">
        <f>SUMIFS(разходи!$L:$L,разходи!$E:$E,'ПП Октомври'!$C$34,разходи!$M:$M,'ПП Октомври'!AH2)</f>
        <v>0</v>
      </c>
      <c r="AI34" s="74">
        <f>SUMIFS(разходи!$L:$L,разходи!$E:$E,'ПП Октомври'!$C$34,разходи!$M:$M,'ПП Октомври'!AI2)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Октомври'!$C$35,разходи!$M:$M,'ПП Октомври'!E2)</f>
        <v>0</v>
      </c>
      <c r="F35" s="74">
        <f>SUMIFS(разходи!$L:$L,разходи!$E:$E,'ПП Октомври'!$C$35,разходи!$M:$M,'ПП Октомври'!F2)</f>
        <v>0</v>
      </c>
      <c r="G35" s="74">
        <f>SUMIFS(разходи!$L:$L,разходи!$E:$E,'ПП Октомври'!$C$35,разходи!$M:$M,'ПП Октомври'!G2)</f>
        <v>0</v>
      </c>
      <c r="H35" s="74">
        <f>SUMIFS(разходи!$L:$L,разходи!$E:$E,'ПП Октомври'!$C$35,разходи!$M:$M,'ПП Октомври'!H2)</f>
        <v>0</v>
      </c>
      <c r="I35" s="76">
        <f>SUMIFS(разходи!$L:$L,разходи!$E:$E,'ПП Октомври'!$C$35,разходи!$M:$M,'ПП Октомври'!I2)</f>
        <v>0</v>
      </c>
      <c r="J35" s="76">
        <f>SUMIFS(разходи!$L:$L,разходи!$E:$E,'ПП Октомври'!$C$35,разходи!$M:$M,'ПП Октомври'!J2)</f>
        <v>0</v>
      </c>
      <c r="K35" s="74">
        <f>SUMIFS(разходи!$L:$L,разходи!$E:$E,'ПП Октомври'!$C$35,разходи!$M:$M,'ПП Октомври'!K2)</f>
        <v>0</v>
      </c>
      <c r="L35" s="74">
        <f>SUMIFS(разходи!$L:$L,разходи!$E:$E,'ПП Октомври'!$C$35,разходи!$M:$M,'ПП Октомври'!L2)</f>
        <v>0</v>
      </c>
      <c r="M35" s="74">
        <f>SUMIFS(разходи!$L:$L,разходи!$E:$E,'ПП Октомври'!$C$35,разходи!$M:$M,'ПП Октомври'!M2)</f>
        <v>0</v>
      </c>
      <c r="N35" s="74">
        <f>SUMIFS(разходи!$L:$L,разходи!$E:$E,'ПП Октомври'!$C$35,разходи!$M:$M,'ПП Октомври'!N2)</f>
        <v>0</v>
      </c>
      <c r="O35" s="74">
        <f>SUMIFS(разходи!$L:$L,разходи!$E:$E,'ПП Октомври'!$C$35,разходи!$M:$M,'ПП Октомври'!O2)</f>
        <v>0</v>
      </c>
      <c r="P35" s="76">
        <f>SUMIFS(разходи!$L:$L,разходи!$E:$E,'ПП Октомври'!$C$35,разходи!$M:$M,'ПП Октомври'!P2)</f>
        <v>0</v>
      </c>
      <c r="Q35" s="76">
        <f>SUMIFS(разходи!$L:$L,разходи!$E:$E,'ПП Октомври'!$C$35,разходи!$M:$M,'ПП Октомври'!Q2)</f>
        <v>0</v>
      </c>
      <c r="R35" s="74">
        <f>SUMIFS(разходи!$L:$L,разходи!$E:$E,'ПП Октомври'!$C$35,разходи!$M:$M,'ПП Октомври'!R2)</f>
        <v>0</v>
      </c>
      <c r="S35" s="74">
        <f>SUMIFS(разходи!$L:$L,разходи!$E:$E,'ПП Октомври'!$C$35,разходи!$M:$M,'ПП Октомври'!S2)</f>
        <v>0</v>
      </c>
      <c r="T35" s="74">
        <f>SUMIFS(разходи!$L:$L,разходи!$E:$E,'ПП Октомври'!$C$35,разходи!$M:$M,'ПП Октомври'!T2)</f>
        <v>0</v>
      </c>
      <c r="U35" s="74">
        <f>SUMIFS(разходи!$L:$L,разходи!$E:$E,'ПП Октомври'!$C$35,разходи!$M:$M,'ПП Октомври'!U2)</f>
        <v>0</v>
      </c>
      <c r="V35" s="74">
        <f>SUMIFS(разходи!$L:$L,разходи!$E:$E,'ПП Октомври'!$C$35,разходи!$M:$M,'ПП Октомври'!V2)</f>
        <v>0</v>
      </c>
      <c r="W35" s="76">
        <f>SUMIFS(разходи!$L:$L,разходи!$E:$E,'ПП Октомври'!$C$35,разходи!$M:$M,'ПП Октомври'!W2)</f>
        <v>0</v>
      </c>
      <c r="X35" s="76">
        <f>SUMIFS(разходи!$L:$L,разходи!$E:$E,'ПП Октомври'!$C$35,разходи!$M:$M,'ПП Октомври'!X2)</f>
        <v>0</v>
      </c>
      <c r="Y35" s="74">
        <f>SUMIFS(разходи!$L:$L,разходи!$E:$E,'ПП Октомври'!$C$35,разходи!$M:$M,'ПП Октомври'!Y2)</f>
        <v>0</v>
      </c>
      <c r="Z35" s="74">
        <f>SUMIFS(разходи!$L:$L,разходи!$E:$E,'ПП Октомври'!$C$35,разходи!$M:$M,'ПП Октомври'!Z2)</f>
        <v>0</v>
      </c>
      <c r="AA35" s="74">
        <f>SUMIFS(разходи!$L:$L,разходи!$E:$E,'ПП Октомври'!$C$35,разходи!$M:$M,'ПП Октомври'!AA2)</f>
        <v>0</v>
      </c>
      <c r="AB35" s="74">
        <f>SUMIFS(разходи!$L:$L,разходи!$E:$E,'ПП Октомври'!$C$35,разходи!$M:$M,'ПП Октомври'!AB2)</f>
        <v>0</v>
      </c>
      <c r="AC35" s="74">
        <f>SUMIFS(разходи!$L:$L,разходи!$E:$E,'ПП Октомври'!$C$35,разходи!$M:$M,'ПП Октомври'!AC2)</f>
        <v>0</v>
      </c>
      <c r="AD35" s="76">
        <f>SUMIFS(разходи!$L:$L,разходи!$E:$E,'ПП Октомври'!$C$35,разходи!$M:$M,'ПП Октомври'!AD2)</f>
        <v>0</v>
      </c>
      <c r="AE35" s="76">
        <f>SUMIFS(разходи!$L:$L,разходи!$E:$E,'ПП Октомври'!$C$35,разходи!$M:$M,'ПП Октомври'!AE2)</f>
        <v>0</v>
      </c>
      <c r="AF35" s="74">
        <f>SUMIFS(разходи!$L:$L,разходи!$E:$E,'ПП Октомври'!$C$35,разходи!$M:$M,'ПП Октомври'!AF2)</f>
        <v>0</v>
      </c>
      <c r="AG35" s="74">
        <f>SUMIFS(разходи!$L:$L,разходи!$E:$E,'ПП Октомври'!$C$35,разходи!$M:$M,'ПП Октомври'!AG2)</f>
        <v>0</v>
      </c>
      <c r="AH35" s="74">
        <f>SUMIFS(разходи!$L:$L,разходи!$E:$E,'ПП Октомври'!$C$35,разходи!$M:$M,'ПП Октомври'!AH2)</f>
        <v>0</v>
      </c>
      <c r="AI35" s="74">
        <f>SUMIFS(разходи!$L:$L,разходи!$E:$E,'ПП Октомври'!$C$35,разходи!$M:$M,'ПП Октомври'!AI2)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/>
      <c r="E36" s="74">
        <f t="shared" ref="E36:AI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6">
        <f t="shared" si="17"/>
        <v>0</v>
      </c>
      <c r="J36" s="76">
        <f t="shared" si="17"/>
        <v>0</v>
      </c>
      <c r="K36" s="74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6">
        <f t="shared" si="17"/>
        <v>0</v>
      </c>
      <c r="Q36" s="76">
        <f t="shared" si="17"/>
        <v>0</v>
      </c>
      <c r="R36" s="74">
        <f t="shared" si="17"/>
        <v>0</v>
      </c>
      <c r="S36" s="74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6">
        <f t="shared" si="17"/>
        <v>0</v>
      </c>
      <c r="X36" s="76">
        <f t="shared" si="17"/>
        <v>0</v>
      </c>
      <c r="Y36" s="74">
        <f t="shared" si="17"/>
        <v>0</v>
      </c>
      <c r="Z36" s="74">
        <f t="shared" si="17"/>
        <v>0</v>
      </c>
      <c r="AA36" s="74">
        <f t="shared" si="17"/>
        <v>0</v>
      </c>
      <c r="AB36" s="74">
        <f t="shared" si="17"/>
        <v>0</v>
      </c>
      <c r="AC36" s="74">
        <f t="shared" si="17"/>
        <v>0</v>
      </c>
      <c r="AD36" s="76">
        <f t="shared" si="17"/>
        <v>0</v>
      </c>
      <c r="AE36" s="76">
        <f t="shared" si="17"/>
        <v>0</v>
      </c>
      <c r="AF36" s="74">
        <f t="shared" si="17"/>
        <v>0</v>
      </c>
      <c r="AG36" s="74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0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>
        <v>92518.936886400013</v>
      </c>
      <c r="E37" s="74">
        <f>SUMIFS(разходи!$L:$L,разходи!$E:$E,'ПП Октомври'!$C$37,разходи!$M:$M,'ПП Октомври'!E2)</f>
        <v>0</v>
      </c>
      <c r="F37" s="74">
        <f>SUMIFS(разходи!$L:$L,разходи!$E:$E,'ПП Октомври'!$C$37,разходи!$M:$M,'ПП Октомври'!F2)</f>
        <v>0</v>
      </c>
      <c r="G37" s="74">
        <f>SUMIFS(разходи!$L:$L,разходи!$E:$E,'ПП Октомври'!$C$37,разходи!$M:$M,'ПП Октомври'!G2)</f>
        <v>0</v>
      </c>
      <c r="H37" s="74">
        <f>SUMIFS(разходи!$L:$L,разходи!$E:$E,'ПП Октомври'!$C$37,разходи!$M:$M,'ПП Октомври'!H2)</f>
        <v>0</v>
      </c>
      <c r="I37" s="76">
        <f>SUMIFS(разходи!$L:$L,разходи!$E:$E,'ПП Октомври'!$C$37,разходи!$M:$M,'ПП Октомври'!I2)</f>
        <v>0</v>
      </c>
      <c r="J37" s="76">
        <f>SUMIFS(разходи!$L:$L,разходи!$E:$E,'ПП Октомври'!$C$37,разходи!$M:$M,'ПП Октомври'!J2)</f>
        <v>0</v>
      </c>
      <c r="K37" s="74">
        <f>SUMIFS(разходи!$L:$L,разходи!$E:$E,'ПП Октомври'!$C$37,разходи!$M:$M,'ПП Октомври'!K2)</f>
        <v>0</v>
      </c>
      <c r="L37" s="74">
        <f>SUMIFS(разходи!$L:$L,разходи!$E:$E,'ПП Октомври'!$C$37,разходи!$M:$M,'ПП Октомври'!L2)</f>
        <v>0</v>
      </c>
      <c r="M37" s="74">
        <f>SUMIFS(разходи!$L:$L,разходи!$E:$E,'ПП Октомври'!$C$37,разходи!$M:$M,'ПП Октомври'!M2)</f>
        <v>0</v>
      </c>
      <c r="N37" s="74">
        <f>SUMIFS(разходи!$L:$L,разходи!$E:$E,'ПП Октомври'!$C$37,разходи!$M:$M,'ПП Октомври'!N2)</f>
        <v>0</v>
      </c>
      <c r="O37" s="74">
        <f>SUMIFS(разходи!$L:$L,разходи!$E:$E,'ПП Октомври'!$C$37,разходи!$M:$M,'ПП Октомври'!O2)</f>
        <v>0</v>
      </c>
      <c r="P37" s="76">
        <f>SUMIFS(разходи!$L:$L,разходи!$E:$E,'ПП Октомври'!$C$37,разходи!$M:$M,'ПП Октомври'!P2)</f>
        <v>0</v>
      </c>
      <c r="Q37" s="76">
        <f>SUMIFS(разходи!$L:$L,разходи!$E:$E,'ПП Октомври'!$C$37,разходи!$M:$M,'ПП Октомври'!Q2)</f>
        <v>0</v>
      </c>
      <c r="R37" s="74">
        <f>SUMIFS(разходи!$L:$L,разходи!$E:$E,'ПП Октомври'!$C$37,разходи!$M:$M,'ПП Октомври'!R2)</f>
        <v>0</v>
      </c>
      <c r="S37" s="74">
        <f>SUMIFS(разходи!$L:$L,разходи!$E:$E,'ПП Октомври'!$C$37,разходи!$M:$M,'ПП Октомври'!S2)</f>
        <v>0</v>
      </c>
      <c r="T37" s="74">
        <f>SUMIFS(разходи!$L:$L,разходи!$E:$E,'ПП Октомври'!$C$37,разходи!$M:$M,'ПП Октомври'!T2)</f>
        <v>0</v>
      </c>
      <c r="U37" s="74">
        <f>SUMIFS(разходи!$L:$L,разходи!$E:$E,'ПП Октомври'!$C$37,разходи!$M:$M,'ПП Октомври'!U2)</f>
        <v>0</v>
      </c>
      <c r="V37" s="74">
        <f>SUMIFS(разходи!$L:$L,разходи!$E:$E,'ПП Октомври'!$C$37,разходи!$M:$M,'ПП Октомври'!V2)</f>
        <v>0</v>
      </c>
      <c r="W37" s="76">
        <f>SUMIFS(разходи!$L:$L,разходи!$E:$E,'ПП Октомври'!$C$37,разходи!$M:$M,'ПП Октомври'!W2)</f>
        <v>0</v>
      </c>
      <c r="X37" s="76">
        <f>SUMIFS(разходи!$L:$L,разходи!$E:$E,'ПП Октомври'!$C$37,разходи!$M:$M,'ПП Октомври'!X2)</f>
        <v>0</v>
      </c>
      <c r="Y37" s="74">
        <f>SUMIFS(разходи!$L:$L,разходи!$E:$E,'ПП Октомври'!$C$37,разходи!$M:$M,'ПП Октомври'!Y2)</f>
        <v>0</v>
      </c>
      <c r="Z37" s="74">
        <f>SUMIFS(разходи!$L:$L,разходи!$E:$E,'ПП Октомври'!$C$37,разходи!$M:$M,'ПП Октомври'!Z2)</f>
        <v>0</v>
      </c>
      <c r="AA37" s="74">
        <f>SUMIFS(разходи!$L:$L,разходи!$E:$E,'ПП Октомври'!$C$37,разходи!$M:$M,'ПП Октомври'!AA2)</f>
        <v>0</v>
      </c>
      <c r="AB37" s="74">
        <f>SUMIFS(разходи!$L:$L,разходи!$E:$E,'ПП Октомври'!$C$37,разходи!$M:$M,'ПП Октомври'!AB2)</f>
        <v>0</v>
      </c>
      <c r="AC37" s="74">
        <f>SUMIFS(разходи!$L:$L,разходи!$E:$E,'ПП Октомври'!$C$37,разходи!$M:$M,'ПП Октомври'!AC2)</f>
        <v>0</v>
      </c>
      <c r="AD37" s="76">
        <f>SUMIFS(разходи!$L:$L,разходи!$E:$E,'ПП Октомври'!$C$37,разходи!$M:$M,'ПП Октомври'!AD2)</f>
        <v>0</v>
      </c>
      <c r="AE37" s="76">
        <f>SUMIFS(разходи!$L:$L,разходи!$E:$E,'ПП Октомври'!$C$37,разходи!$M:$M,'ПП Октомври'!AE2)</f>
        <v>0</v>
      </c>
      <c r="AF37" s="74">
        <f>SUMIFS(разходи!$L:$L,разходи!$E:$E,'ПП Октомври'!$C$37,разходи!$M:$M,'ПП Октомври'!AF2)</f>
        <v>0</v>
      </c>
      <c r="AG37" s="74">
        <f>SUMIFS(разходи!$L:$L,разходи!$E:$E,'ПП Октомври'!$C$37,разходи!$M:$M,'ПП Октомври'!AG2)</f>
        <v>0</v>
      </c>
      <c r="AH37" s="74">
        <f>SUMIFS(разходи!$L:$L,разходи!$E:$E,'ПП Октомври'!$C$37,разходи!$M:$M,'ПП Октомври'!AH2)</f>
        <v>0</v>
      </c>
      <c r="AI37" s="74">
        <f>SUMIFS(разходи!$L:$L,разходи!$E:$E,'ПП Октомври'!$C$37,разходи!$M:$M,'ПП Октомври'!AI2)</f>
        <v>0</v>
      </c>
      <c r="AJ37" s="61">
        <f t="shared" si="16"/>
        <v>0</v>
      </c>
      <c r="AK37" s="69">
        <f t="shared" si="3"/>
        <v>92518.936886400013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>
        <v>24503.365168800003</v>
      </c>
      <c r="E38" s="74">
        <f>SUMIFS(разходи!$L:$L,разходи!$E:$E,'ПП Октомври'!$C$38,разходи!$M:$M,'ПП Октомври'!E2)</f>
        <v>0</v>
      </c>
      <c r="F38" s="74">
        <f>SUMIFS(разходи!$L:$L,разходи!$E:$E,'ПП Октомври'!$C$38,разходи!$M:$M,'ПП Октомври'!F2)</f>
        <v>0</v>
      </c>
      <c r="G38" s="74">
        <f>SUMIFS(разходи!$L:$L,разходи!$E:$E,'ПП Октомври'!$C$38,разходи!$M:$M,'ПП Октомври'!G2)</f>
        <v>0</v>
      </c>
      <c r="H38" s="74">
        <f>SUMIFS(разходи!$L:$L,разходи!$E:$E,'ПП Октомври'!$C$38,разходи!$M:$M,'ПП Октомври'!H2)</f>
        <v>0</v>
      </c>
      <c r="I38" s="76">
        <f>SUMIFS(разходи!$L:$L,разходи!$E:$E,'ПП Октомври'!$C$38,разходи!$M:$M,'ПП Октомври'!I2)</f>
        <v>0</v>
      </c>
      <c r="J38" s="76">
        <f>SUMIFS(разходи!$L:$L,разходи!$E:$E,'ПП Октомври'!$C$38,разходи!$M:$M,'ПП Октомври'!J2)</f>
        <v>0</v>
      </c>
      <c r="K38" s="74">
        <f>SUMIFS(разходи!$L:$L,разходи!$E:$E,'ПП Октомври'!$C$38,разходи!$M:$M,'ПП Октомври'!K2)</f>
        <v>0</v>
      </c>
      <c r="L38" s="74">
        <f>SUMIFS(разходи!$L:$L,разходи!$E:$E,'ПП Октомври'!$C$38,разходи!$M:$M,'ПП Октомври'!L2)</f>
        <v>0</v>
      </c>
      <c r="M38" s="74">
        <f>SUMIFS(разходи!$L:$L,разходи!$E:$E,'ПП Октомври'!$C$38,разходи!$M:$M,'ПП Октомври'!M2)</f>
        <v>0</v>
      </c>
      <c r="N38" s="74">
        <f>SUMIFS(разходи!$L:$L,разходи!$E:$E,'ПП Октомври'!$C$38,разходи!$M:$M,'ПП Октомври'!N2)</f>
        <v>0</v>
      </c>
      <c r="O38" s="74">
        <f>SUMIFS(разходи!$L:$L,разходи!$E:$E,'ПП Октомври'!$C$38,разходи!$M:$M,'ПП Октомври'!O2)</f>
        <v>0</v>
      </c>
      <c r="P38" s="76">
        <f>SUMIFS(разходи!$L:$L,разходи!$E:$E,'ПП Октомври'!$C$38,разходи!$M:$M,'ПП Октомври'!P2)</f>
        <v>0</v>
      </c>
      <c r="Q38" s="76">
        <f>SUMIFS(разходи!$L:$L,разходи!$E:$E,'ПП Октомври'!$C$38,разходи!$M:$M,'ПП Октомври'!Q2)</f>
        <v>0</v>
      </c>
      <c r="R38" s="74">
        <f>SUMIFS(разходи!$L:$L,разходи!$E:$E,'ПП Октомври'!$C$38,разходи!$M:$M,'ПП Октомври'!R2)</f>
        <v>0</v>
      </c>
      <c r="S38" s="74">
        <f>SUMIFS(разходи!$L:$L,разходи!$E:$E,'ПП Октомври'!$C$38,разходи!$M:$M,'ПП Октомври'!S2)</f>
        <v>0</v>
      </c>
      <c r="T38" s="74">
        <f>SUMIFS(разходи!$L:$L,разходи!$E:$E,'ПП Октомври'!$C$38,разходи!$M:$M,'ПП Октомври'!T2)</f>
        <v>0</v>
      </c>
      <c r="U38" s="74">
        <f>SUMIFS(разходи!$L:$L,разходи!$E:$E,'ПП Октомври'!$C$38,разходи!$M:$M,'ПП Октомври'!U2)</f>
        <v>0</v>
      </c>
      <c r="V38" s="74">
        <f>SUMIFS(разходи!$L:$L,разходи!$E:$E,'ПП Октомври'!$C$38,разходи!$M:$M,'ПП Октомври'!V2)</f>
        <v>0</v>
      </c>
      <c r="W38" s="76">
        <f>SUMIFS(разходи!$L:$L,разходи!$E:$E,'ПП Октомври'!$C$38,разходи!$M:$M,'ПП Октомври'!W2)</f>
        <v>0</v>
      </c>
      <c r="X38" s="76">
        <f>SUMIFS(разходи!$L:$L,разходи!$E:$E,'ПП Октомври'!$C$38,разходи!$M:$M,'ПП Октомври'!X2)</f>
        <v>0</v>
      </c>
      <c r="Y38" s="74">
        <f>SUMIFS(разходи!$L:$L,разходи!$E:$E,'ПП Октомври'!$C$38,разходи!$M:$M,'ПП Октомври'!Y2)</f>
        <v>0</v>
      </c>
      <c r="Z38" s="74">
        <f>SUMIFS(разходи!$L:$L,разходи!$E:$E,'ПП Октомври'!$C$38,разходи!$M:$M,'ПП Октомври'!Z2)</f>
        <v>0</v>
      </c>
      <c r="AA38" s="74">
        <f>SUMIFS(разходи!$L:$L,разходи!$E:$E,'ПП Октомври'!$C$38,разходи!$M:$M,'ПП Октомври'!AA2)</f>
        <v>0</v>
      </c>
      <c r="AB38" s="74">
        <f>SUMIFS(разходи!$L:$L,разходи!$E:$E,'ПП Октомври'!$C$38,разходи!$M:$M,'ПП Октомври'!AB2)</f>
        <v>0</v>
      </c>
      <c r="AC38" s="74">
        <f>SUMIFS(разходи!$L:$L,разходи!$E:$E,'ПП Октомври'!$C$38,разходи!$M:$M,'ПП Октомври'!AC2)</f>
        <v>0</v>
      </c>
      <c r="AD38" s="76">
        <f>SUMIFS(разходи!$L:$L,разходи!$E:$E,'ПП Октомври'!$C$38,разходи!$M:$M,'ПП Октомври'!AD2)</f>
        <v>0</v>
      </c>
      <c r="AE38" s="76">
        <f>SUMIFS(разходи!$L:$L,разходи!$E:$E,'ПП Октомври'!$C$38,разходи!$M:$M,'ПП Октомври'!AE2)</f>
        <v>0</v>
      </c>
      <c r="AF38" s="74">
        <f>SUMIFS(разходи!$L:$L,разходи!$E:$E,'ПП Октомври'!$C$38,разходи!$M:$M,'ПП Октомври'!AF2)</f>
        <v>0</v>
      </c>
      <c r="AG38" s="74">
        <f>SUMIFS(разходи!$L:$L,разходи!$E:$E,'ПП Октомври'!$C$38,разходи!$M:$M,'ПП Октомври'!AG2)</f>
        <v>0</v>
      </c>
      <c r="AH38" s="74">
        <f>SUMIFS(разходи!$L:$L,разходи!$E:$E,'ПП Октомври'!$C$38,разходи!$M:$M,'ПП Октомври'!AH2)</f>
        <v>0</v>
      </c>
      <c r="AI38" s="74">
        <f>SUMIFS(разходи!$L:$L,разходи!$E:$E,'ПП Октомври'!$C$38,разходи!$M:$M,'ПП Октомври'!AI2)</f>
        <v>0</v>
      </c>
      <c r="AJ38" s="61">
        <f t="shared" si="16"/>
        <v>0</v>
      </c>
      <c r="AK38" s="69">
        <f t="shared" si="3"/>
        <v>24503.365168800003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Октомври'!$C$39,разходи!$M:$M,'ПП Октомври'!E2)</f>
        <v>0</v>
      </c>
      <c r="F39" s="74">
        <f>SUMIFS(разходи!$L:$L,разходи!$E:$E,'ПП Октомври'!$C$39,разходи!$M:$M,'ПП Октомври'!F2)</f>
        <v>0</v>
      </c>
      <c r="G39" s="74">
        <f>SUMIFS(разходи!$L:$L,разходи!$E:$E,'ПП Октомври'!$C$39,разходи!$M:$M,'ПП Октомври'!G2)</f>
        <v>0</v>
      </c>
      <c r="H39" s="74">
        <f>SUMIFS(разходи!$L:$L,разходи!$E:$E,'ПП Октомври'!$C$39,разходи!$M:$M,'ПП Октомври'!H2)</f>
        <v>0</v>
      </c>
      <c r="I39" s="76">
        <f>SUMIFS(разходи!$L:$L,разходи!$E:$E,'ПП Октомври'!$C$39,разходи!$M:$M,'ПП Октомври'!I2)</f>
        <v>0</v>
      </c>
      <c r="J39" s="76">
        <f>SUMIFS(разходи!$L:$L,разходи!$E:$E,'ПП Октомври'!$C$39,разходи!$M:$M,'ПП Октомври'!J2)</f>
        <v>0</v>
      </c>
      <c r="K39" s="74">
        <f>SUMIFS(разходи!$L:$L,разходи!$E:$E,'ПП Октомври'!$C$39,разходи!$M:$M,'ПП Октомври'!K2)</f>
        <v>0</v>
      </c>
      <c r="L39" s="74">
        <f>SUMIFS(разходи!$L:$L,разходи!$E:$E,'ПП Октомври'!$C$39,разходи!$M:$M,'ПП Октомври'!L2)</f>
        <v>0</v>
      </c>
      <c r="M39" s="74">
        <f>SUMIFS(разходи!$L:$L,разходи!$E:$E,'ПП Октомври'!$C$39,разходи!$M:$M,'ПП Октомври'!M2)</f>
        <v>0</v>
      </c>
      <c r="N39" s="74">
        <f>SUMIFS(разходи!$L:$L,разходи!$E:$E,'ПП Октомври'!$C$39,разходи!$M:$M,'ПП Октомври'!N2)</f>
        <v>0</v>
      </c>
      <c r="O39" s="74">
        <f>SUMIFS(разходи!$L:$L,разходи!$E:$E,'ПП Октомври'!$C$39,разходи!$M:$M,'ПП Октомври'!O2)</f>
        <v>0</v>
      </c>
      <c r="P39" s="76">
        <f>SUMIFS(разходи!$L:$L,разходи!$E:$E,'ПП Октомври'!$C$39,разходи!$M:$M,'ПП Октомври'!P2)</f>
        <v>0</v>
      </c>
      <c r="Q39" s="76">
        <f>SUMIFS(разходи!$L:$L,разходи!$E:$E,'ПП Октомври'!$C$39,разходи!$M:$M,'ПП Октомври'!Q2)</f>
        <v>0</v>
      </c>
      <c r="R39" s="74">
        <f>SUMIFS(разходи!$L:$L,разходи!$E:$E,'ПП Октомври'!$C$39,разходи!$M:$M,'ПП Октомври'!R2)</f>
        <v>0</v>
      </c>
      <c r="S39" s="74">
        <f>SUMIFS(разходи!$L:$L,разходи!$E:$E,'ПП Октомври'!$C$39,разходи!$M:$M,'ПП Октомври'!S2)</f>
        <v>0</v>
      </c>
      <c r="T39" s="74">
        <f>SUMIFS(разходи!$L:$L,разходи!$E:$E,'ПП Октомври'!$C$39,разходи!$M:$M,'ПП Октомври'!T2)</f>
        <v>0</v>
      </c>
      <c r="U39" s="74">
        <f>SUMIFS(разходи!$L:$L,разходи!$E:$E,'ПП Октомври'!$C$39,разходи!$M:$M,'ПП Октомври'!U2)</f>
        <v>0</v>
      </c>
      <c r="V39" s="74">
        <f>SUMIFS(разходи!$L:$L,разходи!$E:$E,'ПП Октомври'!$C$39,разходи!$M:$M,'ПП Октомври'!V2)</f>
        <v>0</v>
      </c>
      <c r="W39" s="76">
        <f>SUMIFS(разходи!$L:$L,разходи!$E:$E,'ПП Октомври'!$C$39,разходи!$M:$M,'ПП Октомври'!W2)</f>
        <v>0</v>
      </c>
      <c r="X39" s="76">
        <f>SUMIFS(разходи!$L:$L,разходи!$E:$E,'ПП Октомври'!$C$39,разходи!$M:$M,'ПП Октомври'!X2)</f>
        <v>0</v>
      </c>
      <c r="Y39" s="74">
        <f>SUMIFS(разходи!$L:$L,разходи!$E:$E,'ПП Октомври'!$C$39,разходи!$M:$M,'ПП Октомври'!Y2)</f>
        <v>0</v>
      </c>
      <c r="Z39" s="74">
        <f>SUMIFS(разходи!$L:$L,разходи!$E:$E,'ПП Октомври'!$C$39,разходи!$M:$M,'ПП Октомври'!Z2)</f>
        <v>0</v>
      </c>
      <c r="AA39" s="74">
        <f>SUMIFS(разходи!$L:$L,разходи!$E:$E,'ПП Октомври'!$C$39,разходи!$M:$M,'ПП Октомври'!AA2)</f>
        <v>0</v>
      </c>
      <c r="AB39" s="74">
        <f>SUMIFS(разходи!$L:$L,разходи!$E:$E,'ПП Октомври'!$C$39,разходи!$M:$M,'ПП Октомври'!AB2)</f>
        <v>0</v>
      </c>
      <c r="AC39" s="74">
        <f>SUMIFS(разходи!$L:$L,разходи!$E:$E,'ПП Октомври'!$C$39,разходи!$M:$M,'ПП Октомври'!AC2)</f>
        <v>0</v>
      </c>
      <c r="AD39" s="76">
        <f>SUMIFS(разходи!$L:$L,разходи!$E:$E,'ПП Октомври'!$C$39,разходи!$M:$M,'ПП Октомври'!AD2)</f>
        <v>0</v>
      </c>
      <c r="AE39" s="76">
        <f>SUMIFS(разходи!$L:$L,разходи!$E:$E,'ПП Октомври'!$C$39,разходи!$M:$M,'ПП Октомври'!AE2)</f>
        <v>0</v>
      </c>
      <c r="AF39" s="74">
        <f>SUMIFS(разходи!$L:$L,разходи!$E:$E,'ПП Октомври'!$C$39,разходи!$M:$M,'ПП Октомври'!AF2)</f>
        <v>0</v>
      </c>
      <c r="AG39" s="74">
        <f>SUMIFS(разходи!$L:$L,разходи!$E:$E,'ПП Октомври'!$C$39,разходи!$M:$M,'ПП Октомври'!AG2)</f>
        <v>0</v>
      </c>
      <c r="AH39" s="74">
        <f>SUMIFS(разходи!$L:$L,разходи!$E:$E,'ПП Октомври'!$C$39,разходи!$M:$M,'ПП Октомври'!AH2)</f>
        <v>0</v>
      </c>
      <c r="AI39" s="74">
        <f>SUMIFS(разходи!$L:$L,разходи!$E:$E,'ПП Октомври'!$C$39,разходи!$M:$M,'ПП Октомври'!AI2)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>
        <v>7881.6000000000013</v>
      </c>
      <c r="E40" s="74">
        <f>SUMIFS(разходи!$L:$L,разходи!$E:$E,'ПП Октомври'!$C$40,разходи!$M:$M,'ПП Октомври'!E2)</f>
        <v>0</v>
      </c>
      <c r="F40" s="74">
        <f>SUMIFS(разходи!$L:$L,разходи!$E:$E,'ПП Октомври'!$C$40,разходи!$M:$M,'ПП Октомври'!F2)</f>
        <v>0</v>
      </c>
      <c r="G40" s="74">
        <f>SUMIFS(разходи!$L:$L,разходи!$E:$E,'ПП Октомври'!$C$40,разходи!$M:$M,'ПП Октомври'!G2)</f>
        <v>0</v>
      </c>
      <c r="H40" s="74">
        <f>SUMIFS(разходи!$L:$L,разходи!$E:$E,'ПП Октомври'!$C$40,разходи!$M:$M,'ПП Октомври'!H2)</f>
        <v>0</v>
      </c>
      <c r="I40" s="76">
        <f>SUMIFS(разходи!$L:$L,разходи!$E:$E,'ПП Октомври'!$C$40,разходи!$M:$M,'ПП Октомври'!I2)</f>
        <v>0</v>
      </c>
      <c r="J40" s="76">
        <f>SUMIFS(разходи!$L:$L,разходи!$E:$E,'ПП Октомври'!$C$40,разходи!$M:$M,'ПП Октомври'!J2)</f>
        <v>0</v>
      </c>
      <c r="K40" s="74">
        <f>SUMIFS(разходи!$L:$L,разходи!$E:$E,'ПП Октомври'!$C$40,разходи!$M:$M,'ПП Октомври'!K2)</f>
        <v>0</v>
      </c>
      <c r="L40" s="74">
        <f>SUMIFS(разходи!$L:$L,разходи!$E:$E,'ПП Октомври'!$C$40,разходи!$M:$M,'ПП Октомври'!L2)</f>
        <v>0</v>
      </c>
      <c r="M40" s="74">
        <f>SUMIFS(разходи!$L:$L,разходи!$E:$E,'ПП Октомври'!$C$40,разходи!$M:$M,'ПП Октомври'!M2)</f>
        <v>0</v>
      </c>
      <c r="N40" s="74">
        <f>SUMIFS(разходи!$L:$L,разходи!$E:$E,'ПП Октомври'!$C$40,разходи!$M:$M,'ПП Октомври'!N2)</f>
        <v>0</v>
      </c>
      <c r="O40" s="74">
        <f>SUMIFS(разходи!$L:$L,разходи!$E:$E,'ПП Октомври'!$C$40,разходи!$M:$M,'ПП Октомври'!O2)</f>
        <v>0</v>
      </c>
      <c r="P40" s="76">
        <f>SUMIFS(разходи!$L:$L,разходи!$E:$E,'ПП Октомври'!$C$40,разходи!$M:$M,'ПП Октомври'!P2)</f>
        <v>0</v>
      </c>
      <c r="Q40" s="76">
        <f>SUMIFS(разходи!$L:$L,разходи!$E:$E,'ПП Октомври'!$C$40,разходи!$M:$M,'ПП Октомври'!Q2)</f>
        <v>0</v>
      </c>
      <c r="R40" s="74">
        <f>SUMIFS(разходи!$L:$L,разходи!$E:$E,'ПП Октомври'!$C$40,разходи!$M:$M,'ПП Октомври'!R2)</f>
        <v>0</v>
      </c>
      <c r="S40" s="74">
        <f>SUMIFS(разходи!$L:$L,разходи!$E:$E,'ПП Октомври'!$C$40,разходи!$M:$M,'ПП Октомври'!S2)</f>
        <v>0</v>
      </c>
      <c r="T40" s="74">
        <f>SUMIFS(разходи!$L:$L,разходи!$E:$E,'ПП Октомври'!$C$40,разходи!$M:$M,'ПП Октомври'!T2)</f>
        <v>0</v>
      </c>
      <c r="U40" s="74">
        <f>SUMIFS(разходи!$L:$L,разходи!$E:$E,'ПП Октомври'!$C$40,разходи!$M:$M,'ПП Октомври'!U2)</f>
        <v>0</v>
      </c>
      <c r="V40" s="74">
        <f>SUMIFS(разходи!$L:$L,разходи!$E:$E,'ПП Октомври'!$C$40,разходи!$M:$M,'ПП Октомври'!V2)</f>
        <v>0</v>
      </c>
      <c r="W40" s="76">
        <f>SUMIFS(разходи!$L:$L,разходи!$E:$E,'ПП Октомври'!$C$40,разходи!$M:$M,'ПП Октомври'!W2)</f>
        <v>0</v>
      </c>
      <c r="X40" s="76">
        <f>SUMIFS(разходи!$L:$L,разходи!$E:$E,'ПП Октомври'!$C$40,разходи!$M:$M,'ПП Октомври'!X2)</f>
        <v>0</v>
      </c>
      <c r="Y40" s="74">
        <f>SUMIFS(разходи!$L:$L,разходи!$E:$E,'ПП Октомври'!$C$40,разходи!$M:$M,'ПП Октомври'!Y2)</f>
        <v>0</v>
      </c>
      <c r="Z40" s="74">
        <f>SUMIFS(разходи!$L:$L,разходи!$E:$E,'ПП Октомври'!$C$40,разходи!$M:$M,'ПП Октомври'!Z2)</f>
        <v>0</v>
      </c>
      <c r="AA40" s="74">
        <f>SUMIFS(разходи!$L:$L,разходи!$E:$E,'ПП Октомври'!$C$40,разходи!$M:$M,'ПП Октомври'!AA2)</f>
        <v>0</v>
      </c>
      <c r="AB40" s="74">
        <f>SUMIFS(разходи!$L:$L,разходи!$E:$E,'ПП Октомври'!$C$40,разходи!$M:$M,'ПП Октомври'!AB2)</f>
        <v>0</v>
      </c>
      <c r="AC40" s="74">
        <f>SUMIFS(разходи!$L:$L,разходи!$E:$E,'ПП Октомври'!$C$40,разходи!$M:$M,'ПП Октомври'!AC2)</f>
        <v>0</v>
      </c>
      <c r="AD40" s="76">
        <f>SUMIFS(разходи!$L:$L,разходи!$E:$E,'ПП Октомври'!$C$40,разходи!$M:$M,'ПП Октомври'!AD2)</f>
        <v>0</v>
      </c>
      <c r="AE40" s="76">
        <f>SUMIFS(разходи!$L:$L,разходи!$E:$E,'ПП Октомври'!$C$40,разходи!$M:$M,'ПП Октомври'!AE2)</f>
        <v>0</v>
      </c>
      <c r="AF40" s="74">
        <f>SUMIFS(разходи!$L:$L,разходи!$E:$E,'ПП Октомври'!$C$40,разходи!$M:$M,'ПП Октомври'!AF2)</f>
        <v>0</v>
      </c>
      <c r="AG40" s="74">
        <f>SUMIFS(разходи!$L:$L,разходи!$E:$E,'ПП Октомври'!$C$40,разходи!$M:$M,'ПП Октомври'!AG2)</f>
        <v>0</v>
      </c>
      <c r="AH40" s="74">
        <f>SUMIFS(разходи!$L:$L,разходи!$E:$E,'ПП Октомври'!$C$40,разходи!$M:$M,'ПП Октомври'!AH2)</f>
        <v>0</v>
      </c>
      <c r="AI40" s="74">
        <f>SUMIFS(разходи!$L:$L,разходи!$E:$E,'ПП Октомври'!$C$40,разходи!$M:$M,'ПП Октомври'!AI2)</f>
        <v>0</v>
      </c>
      <c r="AJ40" s="61">
        <f t="shared" si="16"/>
        <v>0</v>
      </c>
      <c r="AK40" s="69">
        <f t="shared" si="3"/>
        <v>7881.6000000000013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v>162593.75520000001</v>
      </c>
      <c r="E41" s="74">
        <f>SUMIFS(разходи!$L:$L,разходи!$E:$E,'ПП Октомври'!$C$41,разходи!$M:$M,'ПП Октомври'!E2)</f>
        <v>0</v>
      </c>
      <c r="F41" s="74">
        <f>SUMIFS(разходи!$L:$L,разходи!$E:$E,'ПП Октомври'!$C$41,разходи!$M:$M,'ПП Октомври'!F2)</f>
        <v>0</v>
      </c>
      <c r="G41" s="74">
        <f>SUMIFS(разходи!$L:$L,разходи!$E:$E,'ПП Октомври'!$C$41,разходи!$M:$M,'ПП Октомври'!G2)</f>
        <v>0</v>
      </c>
      <c r="H41" s="74">
        <f>SUMIFS(разходи!$L:$L,разходи!$E:$E,'ПП Октомври'!$C$41,разходи!$M:$M,'ПП Октомври'!H2)</f>
        <v>0</v>
      </c>
      <c r="I41" s="76">
        <f>SUMIFS(разходи!$L:$L,разходи!$E:$E,'ПП Октомври'!$C$41,разходи!$M:$M,'ПП Октомври'!I2)</f>
        <v>0</v>
      </c>
      <c r="J41" s="76">
        <f>SUMIFS(разходи!$L:$L,разходи!$E:$E,'ПП Октомври'!$C$41,разходи!$M:$M,'ПП Октомври'!J2)</f>
        <v>0</v>
      </c>
      <c r="K41" s="74">
        <f>SUMIFS(разходи!$L:$L,разходи!$E:$E,'ПП Октомври'!$C$41,разходи!$M:$M,'ПП Октомври'!K2)</f>
        <v>0</v>
      </c>
      <c r="L41" s="74">
        <f>SUMIFS(разходи!$L:$L,разходи!$E:$E,'ПП Октомври'!$C$41,разходи!$M:$M,'ПП Октомври'!L2)</f>
        <v>0</v>
      </c>
      <c r="M41" s="74">
        <f>SUMIFS(разходи!$L:$L,разходи!$E:$E,'ПП Октомври'!$C$41,разходи!$M:$M,'ПП Октомври'!M2)</f>
        <v>0</v>
      </c>
      <c r="N41" s="74">
        <f>SUMIFS(разходи!$L:$L,разходи!$E:$E,'ПП Октомври'!$C$41,разходи!$M:$M,'ПП Октомври'!N2)</f>
        <v>0</v>
      </c>
      <c r="O41" s="74">
        <f>SUMIFS(разходи!$L:$L,разходи!$E:$E,'ПП Октомври'!$C$41,разходи!$M:$M,'ПП Октомври'!O2)</f>
        <v>0</v>
      </c>
      <c r="P41" s="76">
        <f>SUMIFS(разходи!$L:$L,разходи!$E:$E,'ПП Октомври'!$C$41,разходи!$M:$M,'ПП Октомври'!P2)</f>
        <v>0</v>
      </c>
      <c r="Q41" s="76">
        <f>SUMIFS(разходи!$L:$L,разходи!$E:$E,'ПП Октомври'!$C$41,разходи!$M:$M,'ПП Октомври'!Q2)</f>
        <v>0</v>
      </c>
      <c r="R41" s="74">
        <f>SUMIFS(разходи!$L:$L,разходи!$E:$E,'ПП Октомври'!$C$41,разходи!$M:$M,'ПП Октомври'!R2)</f>
        <v>0</v>
      </c>
      <c r="S41" s="74">
        <f>SUMIFS(разходи!$L:$L,разходи!$E:$E,'ПП Октомври'!$C$41,разходи!$M:$M,'ПП Октомври'!S2)</f>
        <v>0</v>
      </c>
      <c r="T41" s="74">
        <f>SUMIFS(разходи!$L:$L,разходи!$E:$E,'ПП Октомври'!$C$41,разходи!$M:$M,'ПП Октомври'!T2)</f>
        <v>0</v>
      </c>
      <c r="U41" s="74">
        <f>SUMIFS(разходи!$L:$L,разходи!$E:$E,'ПП Октомври'!$C$41,разходи!$M:$M,'ПП Октомври'!U2)</f>
        <v>0</v>
      </c>
      <c r="V41" s="74">
        <f>SUMIFS(разходи!$L:$L,разходи!$E:$E,'ПП Октомври'!$C$41,разходи!$M:$M,'ПП Октомври'!V2)</f>
        <v>0</v>
      </c>
      <c r="W41" s="76">
        <f>SUMIFS(разходи!$L:$L,разходи!$E:$E,'ПП Октомври'!$C$41,разходи!$M:$M,'ПП Октомври'!W2)</f>
        <v>0</v>
      </c>
      <c r="X41" s="76">
        <f>SUMIFS(разходи!$L:$L,разходи!$E:$E,'ПП Октомври'!$C$41,разходи!$M:$M,'ПП Октомври'!X2)</f>
        <v>0</v>
      </c>
      <c r="Y41" s="74">
        <f>SUMIFS(разходи!$L:$L,разходи!$E:$E,'ПП Октомври'!$C$41,разходи!$M:$M,'ПП Октомври'!Y2)</f>
        <v>0</v>
      </c>
      <c r="Z41" s="74">
        <f>SUMIFS(разходи!$L:$L,разходи!$E:$E,'ПП Октомври'!$C$41,разходи!$M:$M,'ПП Октомври'!Z2)</f>
        <v>0</v>
      </c>
      <c r="AA41" s="74">
        <f>SUMIFS(разходи!$L:$L,разходи!$E:$E,'ПП Октомври'!$C$41,разходи!$M:$M,'ПП Октомври'!AA2)</f>
        <v>0</v>
      </c>
      <c r="AB41" s="74">
        <f>SUMIFS(разходи!$L:$L,разходи!$E:$E,'ПП Октомври'!$C$41,разходи!$M:$M,'ПП Октомври'!AB2)</f>
        <v>0</v>
      </c>
      <c r="AC41" s="74">
        <f>SUMIFS(разходи!$L:$L,разходи!$E:$E,'ПП Октомври'!$C$41,разходи!$M:$M,'ПП Октомври'!AC2)</f>
        <v>0</v>
      </c>
      <c r="AD41" s="76">
        <f>SUMIFS(разходи!$L:$L,разходи!$E:$E,'ПП Октомври'!$C$41,разходи!$M:$M,'ПП Октомври'!AD2)</f>
        <v>0</v>
      </c>
      <c r="AE41" s="76">
        <f>SUMIFS(разходи!$L:$L,разходи!$E:$E,'ПП Октомври'!$C$41,разходи!$M:$M,'ПП Октомври'!AE2)</f>
        <v>0</v>
      </c>
      <c r="AF41" s="74">
        <f>SUMIFS(разходи!$L:$L,разходи!$E:$E,'ПП Октомври'!$C$41,разходи!$M:$M,'ПП Октомври'!AF2)</f>
        <v>0</v>
      </c>
      <c r="AG41" s="74">
        <f>SUMIFS(разходи!$L:$L,разходи!$E:$E,'ПП Октомври'!$C$41,разходи!$M:$M,'ПП Октомври'!AG2)</f>
        <v>0</v>
      </c>
      <c r="AH41" s="74">
        <f>SUMIFS(разходи!$L:$L,разходи!$E:$E,'ПП Октомври'!$C$41,разходи!$M:$M,'ПП Октомври'!AH2)</f>
        <v>0</v>
      </c>
      <c r="AI41" s="74">
        <f>SUMIFS(разходи!$L:$L,разходи!$E:$E,'ПП Октомври'!$C$41,разходи!$M:$M,'ПП Октомври'!AI2)</f>
        <v>0</v>
      </c>
      <c r="AJ41" s="61">
        <f t="shared" si="16"/>
        <v>0</v>
      </c>
      <c r="AK41" s="69">
        <f t="shared" si="3"/>
        <v>162593.75520000001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28790</v>
      </c>
      <c r="E42" s="74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6">
        <f t="shared" si="18"/>
        <v>0</v>
      </c>
      <c r="J42" s="76">
        <f t="shared" si="18"/>
        <v>0</v>
      </c>
      <c r="K42" s="74">
        <f t="shared" si="18"/>
        <v>0</v>
      </c>
      <c r="L42" s="74">
        <f t="shared" si="18"/>
        <v>0</v>
      </c>
      <c r="M42" s="74">
        <f t="shared" si="18"/>
        <v>0</v>
      </c>
      <c r="N42" s="74">
        <f t="shared" si="18"/>
        <v>0</v>
      </c>
      <c r="O42" s="74">
        <f t="shared" si="18"/>
        <v>0</v>
      </c>
      <c r="P42" s="76">
        <f t="shared" si="18"/>
        <v>0</v>
      </c>
      <c r="Q42" s="76">
        <f t="shared" si="18"/>
        <v>0</v>
      </c>
      <c r="R42" s="74">
        <f t="shared" si="18"/>
        <v>0</v>
      </c>
      <c r="S42" s="74">
        <f t="shared" si="18"/>
        <v>0</v>
      </c>
      <c r="T42" s="74">
        <f t="shared" si="18"/>
        <v>0</v>
      </c>
      <c r="U42" s="74">
        <f t="shared" si="18"/>
        <v>0</v>
      </c>
      <c r="V42" s="74">
        <f t="shared" si="18"/>
        <v>0</v>
      </c>
      <c r="W42" s="76">
        <f t="shared" si="18"/>
        <v>0</v>
      </c>
      <c r="X42" s="76">
        <f t="shared" si="18"/>
        <v>0</v>
      </c>
      <c r="Y42" s="74">
        <f t="shared" si="18"/>
        <v>0</v>
      </c>
      <c r="Z42" s="74">
        <f t="shared" si="18"/>
        <v>0</v>
      </c>
      <c r="AA42" s="74">
        <f t="shared" si="18"/>
        <v>0</v>
      </c>
      <c r="AB42" s="74">
        <f t="shared" si="18"/>
        <v>0</v>
      </c>
      <c r="AC42" s="74">
        <f t="shared" si="18"/>
        <v>0</v>
      </c>
      <c r="AD42" s="76">
        <f t="shared" si="18"/>
        <v>0</v>
      </c>
      <c r="AE42" s="76">
        <f t="shared" si="18"/>
        <v>0</v>
      </c>
      <c r="AF42" s="74">
        <f t="shared" si="18"/>
        <v>0</v>
      </c>
      <c r="AG42" s="74">
        <f t="shared" si="18"/>
        <v>0</v>
      </c>
      <c r="AH42" s="74">
        <f t="shared" si="18"/>
        <v>0</v>
      </c>
      <c r="AI42" s="74">
        <f t="shared" si="18"/>
        <v>0</v>
      </c>
      <c r="AJ42" s="61">
        <f t="shared" si="16"/>
        <v>0</v>
      </c>
      <c r="AK42" s="62">
        <f t="shared" si="3"/>
        <v>28790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/>
      <c r="E43" s="74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6">
        <f t="shared" si="19"/>
        <v>0</v>
      </c>
      <c r="J43" s="76">
        <f t="shared" si="19"/>
        <v>0</v>
      </c>
      <c r="K43" s="74">
        <f t="shared" si="19"/>
        <v>0</v>
      </c>
      <c r="L43" s="74">
        <f t="shared" si="19"/>
        <v>0</v>
      </c>
      <c r="M43" s="74">
        <f t="shared" si="19"/>
        <v>0</v>
      </c>
      <c r="N43" s="74">
        <f t="shared" si="19"/>
        <v>0</v>
      </c>
      <c r="O43" s="74">
        <f t="shared" si="19"/>
        <v>0</v>
      </c>
      <c r="P43" s="76">
        <f t="shared" si="19"/>
        <v>0</v>
      </c>
      <c r="Q43" s="76">
        <f t="shared" si="19"/>
        <v>0</v>
      </c>
      <c r="R43" s="74">
        <f t="shared" si="19"/>
        <v>0</v>
      </c>
      <c r="S43" s="74">
        <f t="shared" si="19"/>
        <v>0</v>
      </c>
      <c r="T43" s="74">
        <f t="shared" si="19"/>
        <v>0</v>
      </c>
      <c r="U43" s="74">
        <f t="shared" si="19"/>
        <v>0</v>
      </c>
      <c r="V43" s="74">
        <f t="shared" si="19"/>
        <v>0</v>
      </c>
      <c r="W43" s="76">
        <f t="shared" si="19"/>
        <v>0</v>
      </c>
      <c r="X43" s="76">
        <f t="shared" si="19"/>
        <v>0</v>
      </c>
      <c r="Y43" s="74">
        <f t="shared" si="19"/>
        <v>0</v>
      </c>
      <c r="Z43" s="74">
        <f t="shared" si="19"/>
        <v>0</v>
      </c>
      <c r="AA43" s="74">
        <f t="shared" si="19"/>
        <v>0</v>
      </c>
      <c r="AB43" s="74">
        <f t="shared" si="19"/>
        <v>0</v>
      </c>
      <c r="AC43" s="74">
        <f t="shared" si="19"/>
        <v>0</v>
      </c>
      <c r="AD43" s="76">
        <f t="shared" si="19"/>
        <v>0</v>
      </c>
      <c r="AE43" s="76">
        <f t="shared" si="19"/>
        <v>0</v>
      </c>
      <c r="AF43" s="74">
        <f t="shared" si="19"/>
        <v>0</v>
      </c>
      <c r="AG43" s="74">
        <f t="shared" si="19"/>
        <v>0</v>
      </c>
      <c r="AH43" s="74">
        <f t="shared" si="19"/>
        <v>0</v>
      </c>
      <c r="AI43" s="74">
        <f t="shared" si="19"/>
        <v>0</v>
      </c>
      <c r="AJ43" s="61">
        <f t="shared" si="16"/>
        <v>0</v>
      </c>
      <c r="AK43" s="69">
        <f t="shared" si="3"/>
        <v>0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/>
      <c r="E44" s="74">
        <f>SUMIFS(разходи!$L:$L,разходи!$E:$E,'ПП Октомври'!$C$44,разходи!$M:$M,'ПП Октомври'!E2)</f>
        <v>0</v>
      </c>
      <c r="F44" s="74">
        <f>SUMIFS(разходи!$L:$L,разходи!$E:$E,'ПП Октомври'!$C$44,разходи!$M:$M,'ПП Октомври'!F2)</f>
        <v>0</v>
      </c>
      <c r="G44" s="74">
        <f>SUMIFS(разходи!$L:$L,разходи!$E:$E,'ПП Октомври'!$C$44,разходи!$M:$M,'ПП Октомври'!G2)</f>
        <v>0</v>
      </c>
      <c r="H44" s="74">
        <f>SUMIFS(разходи!$L:$L,разходи!$E:$E,'ПП Октомври'!$C$44,разходи!$M:$M,'ПП Октомври'!H2)</f>
        <v>0</v>
      </c>
      <c r="I44" s="76">
        <f>SUMIFS(разходи!$L:$L,разходи!$E:$E,'ПП Октомври'!$C$44,разходи!$M:$M,'ПП Октомври'!I2)</f>
        <v>0</v>
      </c>
      <c r="J44" s="76">
        <f>SUMIFS(разходи!$L:$L,разходи!$E:$E,'ПП Октомври'!$C$44,разходи!$M:$M,'ПП Октомври'!J2)</f>
        <v>0</v>
      </c>
      <c r="K44" s="74">
        <f>SUMIFS(разходи!$L:$L,разходи!$E:$E,'ПП Октомври'!$C$44,разходи!$M:$M,'ПП Октомври'!K2)</f>
        <v>0</v>
      </c>
      <c r="L44" s="74">
        <f>SUMIFS(разходи!$L:$L,разходи!$E:$E,'ПП Октомври'!$C$44,разходи!$M:$M,'ПП Октомври'!L2)</f>
        <v>0</v>
      </c>
      <c r="M44" s="74">
        <f>SUMIFS(разходи!$L:$L,разходи!$E:$E,'ПП Октомври'!$C$44,разходи!$M:$M,'ПП Октомври'!M2)</f>
        <v>0</v>
      </c>
      <c r="N44" s="74">
        <f>SUMIFS(разходи!$L:$L,разходи!$E:$E,'ПП Октомври'!$C$44,разходи!$M:$M,'ПП Октомври'!N2)</f>
        <v>0</v>
      </c>
      <c r="O44" s="74">
        <f>SUMIFS(разходи!$L:$L,разходи!$E:$E,'ПП Октомври'!$C$44,разходи!$M:$M,'ПП Октомври'!O2)</f>
        <v>0</v>
      </c>
      <c r="P44" s="76">
        <f>SUMIFS(разходи!$L:$L,разходи!$E:$E,'ПП Октомври'!$C$44,разходи!$M:$M,'ПП Октомври'!P2)</f>
        <v>0</v>
      </c>
      <c r="Q44" s="76">
        <f>SUMIFS(разходи!$L:$L,разходи!$E:$E,'ПП Октомври'!$C$44,разходи!$M:$M,'ПП Октомври'!Q2)</f>
        <v>0</v>
      </c>
      <c r="R44" s="74">
        <f>SUMIFS(разходи!$L:$L,разходи!$E:$E,'ПП Октомври'!$C$44,разходи!$M:$M,'ПП Октомври'!R2)</f>
        <v>0</v>
      </c>
      <c r="S44" s="74">
        <f>SUMIFS(разходи!$L:$L,разходи!$E:$E,'ПП Октомври'!$C$44,разходи!$M:$M,'ПП Октомври'!S2)</f>
        <v>0</v>
      </c>
      <c r="T44" s="74">
        <f>SUMIFS(разходи!$L:$L,разходи!$E:$E,'ПП Октомври'!$C$44,разходи!$M:$M,'ПП Октомври'!T2)</f>
        <v>0</v>
      </c>
      <c r="U44" s="74">
        <f>SUMIFS(разходи!$L:$L,разходи!$E:$E,'ПП Октомври'!$C$44,разходи!$M:$M,'ПП Октомври'!U2)</f>
        <v>0</v>
      </c>
      <c r="V44" s="74">
        <f>SUMIFS(разходи!$L:$L,разходи!$E:$E,'ПП Октомври'!$C$44,разходи!$M:$M,'ПП Октомври'!V2)</f>
        <v>0</v>
      </c>
      <c r="W44" s="76">
        <f>SUMIFS(разходи!$L:$L,разходи!$E:$E,'ПП Октомври'!$C$44,разходи!$M:$M,'ПП Октомври'!W2)</f>
        <v>0</v>
      </c>
      <c r="X44" s="76">
        <f>SUMIFS(разходи!$L:$L,разходи!$E:$E,'ПП Октомври'!$C$44,разходи!$M:$M,'ПП Октомври'!X2)</f>
        <v>0</v>
      </c>
      <c r="Y44" s="74">
        <f>SUMIFS(разходи!$L:$L,разходи!$E:$E,'ПП Октомври'!$C$44,разходи!$M:$M,'ПП Октомври'!Y2)</f>
        <v>0</v>
      </c>
      <c r="Z44" s="74">
        <f>SUMIFS(разходи!$L:$L,разходи!$E:$E,'ПП Октомври'!$C$44,разходи!$M:$M,'ПП Октомври'!Z2)</f>
        <v>0</v>
      </c>
      <c r="AA44" s="74">
        <f>SUMIFS(разходи!$L:$L,разходи!$E:$E,'ПП Октомври'!$C$44,разходи!$M:$M,'ПП Октомври'!AA2)</f>
        <v>0</v>
      </c>
      <c r="AB44" s="74">
        <f>SUMIFS(разходи!$L:$L,разходи!$E:$E,'ПП Октомври'!$C$44,разходи!$M:$M,'ПП Октомври'!AB2)</f>
        <v>0</v>
      </c>
      <c r="AC44" s="74">
        <f>SUMIFS(разходи!$L:$L,разходи!$E:$E,'ПП Октомври'!$C$44,разходи!$M:$M,'ПП Октомври'!AC2)</f>
        <v>0</v>
      </c>
      <c r="AD44" s="76">
        <f>SUMIFS(разходи!$L:$L,разходи!$E:$E,'ПП Октомври'!$C$44,разходи!$M:$M,'ПП Октомври'!AD2)</f>
        <v>0</v>
      </c>
      <c r="AE44" s="76">
        <f>SUMIFS(разходи!$L:$L,разходи!$E:$E,'ПП Октомври'!$C$44,разходи!$M:$M,'ПП Октомври'!AE2)</f>
        <v>0</v>
      </c>
      <c r="AF44" s="74">
        <f>SUMIFS(разходи!$L:$L,разходи!$E:$E,'ПП Октомври'!$C$44,разходи!$M:$M,'ПП Октомври'!AF2)</f>
        <v>0</v>
      </c>
      <c r="AG44" s="74">
        <f>SUMIFS(разходи!$L:$L,разходи!$E:$E,'ПП Октомври'!$C$44,разходи!$M:$M,'ПП Октомври'!AG2)</f>
        <v>0</v>
      </c>
      <c r="AH44" s="74">
        <f>SUMIFS(разходи!$L:$L,разходи!$E:$E,'ПП Октомври'!$C$44,разходи!$M:$M,'ПП Октомври'!AH2)</f>
        <v>0</v>
      </c>
      <c r="AI44" s="74">
        <f>SUMIFS(разходи!$L:$L,разходи!$E:$E,'ПП Октомври'!$C$44,разходи!$M:$M,'ПП Октомври'!AI2)</f>
        <v>0</v>
      </c>
      <c r="AJ44" s="61">
        <f t="shared" si="16"/>
        <v>0</v>
      </c>
      <c r="AK44" s="69">
        <f t="shared" si="3"/>
        <v>0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Октомври'!$C$45,разходи!$M:$M,'ПП Октомври'!E2)</f>
        <v>0</v>
      </c>
      <c r="F45" s="74">
        <f>SUMIFS(разходи!$L:$L,разходи!$E:$E,'ПП Октомври'!$C$45,разходи!$M:$M,'ПП Октомври'!F2)</f>
        <v>0</v>
      </c>
      <c r="G45" s="74">
        <f>SUMIFS(разходи!$L:$L,разходи!$E:$E,'ПП Октомври'!$C$45,разходи!$M:$M,'ПП Октомври'!G2)</f>
        <v>0</v>
      </c>
      <c r="H45" s="74">
        <f>SUMIFS(разходи!$L:$L,разходи!$E:$E,'ПП Октомври'!$C$45,разходи!$M:$M,'ПП Октомври'!H2)</f>
        <v>0</v>
      </c>
      <c r="I45" s="76">
        <f>SUMIFS(разходи!$L:$L,разходи!$E:$E,'ПП Октомври'!$C$45,разходи!$M:$M,'ПП Октомври'!I2)</f>
        <v>0</v>
      </c>
      <c r="J45" s="76">
        <f>SUMIFS(разходи!$L:$L,разходи!$E:$E,'ПП Октомври'!$C$45,разходи!$M:$M,'ПП Октомври'!J2)</f>
        <v>0</v>
      </c>
      <c r="K45" s="74">
        <f>SUMIFS(разходи!$L:$L,разходи!$E:$E,'ПП Октомври'!$C$45,разходи!$M:$M,'ПП Октомври'!K2)</f>
        <v>0</v>
      </c>
      <c r="L45" s="74">
        <f>SUMIFS(разходи!$L:$L,разходи!$E:$E,'ПП Октомври'!$C$45,разходи!$M:$M,'ПП Октомври'!L2)</f>
        <v>0</v>
      </c>
      <c r="M45" s="74">
        <f>SUMIFS(разходи!$L:$L,разходи!$E:$E,'ПП Октомври'!$C$45,разходи!$M:$M,'ПП Октомври'!M2)</f>
        <v>0</v>
      </c>
      <c r="N45" s="74">
        <f>SUMIFS(разходи!$L:$L,разходи!$E:$E,'ПП Октомври'!$C$45,разходи!$M:$M,'ПП Октомври'!N2)</f>
        <v>0</v>
      </c>
      <c r="O45" s="74">
        <f>SUMIFS(разходи!$L:$L,разходи!$E:$E,'ПП Октомври'!$C$45,разходи!$M:$M,'ПП Октомври'!O2)</f>
        <v>0</v>
      </c>
      <c r="P45" s="76">
        <f>SUMIFS(разходи!$L:$L,разходи!$E:$E,'ПП Октомври'!$C$45,разходи!$M:$M,'ПП Октомври'!P2)</f>
        <v>0</v>
      </c>
      <c r="Q45" s="76">
        <f>SUMIFS(разходи!$L:$L,разходи!$E:$E,'ПП Октомври'!$C$45,разходи!$M:$M,'ПП Октомври'!Q2)</f>
        <v>0</v>
      </c>
      <c r="R45" s="74">
        <f>SUMIFS(разходи!$L:$L,разходи!$E:$E,'ПП Октомври'!$C$45,разходи!$M:$M,'ПП Октомври'!R2)</f>
        <v>0</v>
      </c>
      <c r="S45" s="74">
        <f>SUMIFS(разходи!$L:$L,разходи!$E:$E,'ПП Октомври'!$C$45,разходи!$M:$M,'ПП Октомври'!S2)</f>
        <v>0</v>
      </c>
      <c r="T45" s="74">
        <f>SUMIFS(разходи!$L:$L,разходи!$E:$E,'ПП Октомври'!$C$45,разходи!$M:$M,'ПП Октомври'!T2)</f>
        <v>0</v>
      </c>
      <c r="U45" s="74">
        <f>SUMIFS(разходи!$L:$L,разходи!$E:$E,'ПП Октомври'!$C$45,разходи!$M:$M,'ПП Октомври'!U2)</f>
        <v>0</v>
      </c>
      <c r="V45" s="74">
        <f>SUMIFS(разходи!$L:$L,разходи!$E:$E,'ПП Октомври'!$C$45,разходи!$M:$M,'ПП Октомври'!V2)</f>
        <v>0</v>
      </c>
      <c r="W45" s="76">
        <f>SUMIFS(разходи!$L:$L,разходи!$E:$E,'ПП Октомври'!$C$45,разходи!$M:$M,'ПП Октомври'!W2)</f>
        <v>0</v>
      </c>
      <c r="X45" s="76">
        <f>SUMIFS(разходи!$L:$L,разходи!$E:$E,'ПП Октомври'!$C$45,разходи!$M:$M,'ПП Октомври'!X2)</f>
        <v>0</v>
      </c>
      <c r="Y45" s="74">
        <f>SUMIFS(разходи!$L:$L,разходи!$E:$E,'ПП Октомври'!$C$45,разходи!$M:$M,'ПП Октомври'!Y2)</f>
        <v>0</v>
      </c>
      <c r="Z45" s="74">
        <f>SUMIFS(разходи!$L:$L,разходи!$E:$E,'ПП Октомври'!$C$45,разходи!$M:$M,'ПП Октомври'!Z2)</f>
        <v>0</v>
      </c>
      <c r="AA45" s="74">
        <f>SUMIFS(разходи!$L:$L,разходи!$E:$E,'ПП Октомври'!$C$45,разходи!$M:$M,'ПП Октомври'!AA2)</f>
        <v>0</v>
      </c>
      <c r="AB45" s="74">
        <f>SUMIFS(разходи!$L:$L,разходи!$E:$E,'ПП Октомври'!$C$45,разходи!$M:$M,'ПП Октомври'!AB2)</f>
        <v>0</v>
      </c>
      <c r="AC45" s="74">
        <f>SUMIFS(разходи!$L:$L,разходи!$E:$E,'ПП Октомври'!$C$45,разходи!$M:$M,'ПП Октомври'!AC2)</f>
        <v>0</v>
      </c>
      <c r="AD45" s="76">
        <f>SUMIFS(разходи!$L:$L,разходи!$E:$E,'ПП Октомври'!$C$45,разходи!$M:$M,'ПП Октомври'!AD2)</f>
        <v>0</v>
      </c>
      <c r="AE45" s="76">
        <f>SUMIFS(разходи!$L:$L,разходи!$E:$E,'ПП Октомври'!$C$45,разходи!$M:$M,'ПП Октомври'!AE2)</f>
        <v>0</v>
      </c>
      <c r="AF45" s="74">
        <f>SUMIFS(разходи!$L:$L,разходи!$E:$E,'ПП Октомври'!$C$45,разходи!$M:$M,'ПП Октомври'!AF2)</f>
        <v>0</v>
      </c>
      <c r="AG45" s="74">
        <f>SUMIFS(разходи!$L:$L,разходи!$E:$E,'ПП Октомври'!$C$45,разходи!$M:$M,'ПП Октомври'!AG2)</f>
        <v>0</v>
      </c>
      <c r="AH45" s="74">
        <f>SUMIFS(разходи!$L:$L,разходи!$E:$E,'ПП Октомври'!$C$45,разходи!$M:$M,'ПП Октомври'!AH2)</f>
        <v>0</v>
      </c>
      <c r="AI45" s="74">
        <f>SUMIFS(разходи!$L:$L,разходи!$E:$E,'ПП Октомври'!$C$45,разходи!$M:$M,'ПП Октомври'!AI2)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Октомври'!$C$46,разходи!$M:$M,'ПП Октомври'!E2)</f>
        <v>0</v>
      </c>
      <c r="F46" s="74">
        <f>SUMIFS(разходи!$L:$L,разходи!$E:$E,'ПП Октомври'!$C$46,разходи!$M:$M,'ПП Октомври'!F2)</f>
        <v>0</v>
      </c>
      <c r="G46" s="74">
        <f>SUMIFS(разходи!$L:$L,разходи!$E:$E,'ПП Октомври'!$C$46,разходи!$M:$M,'ПП Октомври'!G2)</f>
        <v>0</v>
      </c>
      <c r="H46" s="74">
        <f>SUMIFS(разходи!$L:$L,разходи!$E:$E,'ПП Октомври'!$C$46,разходи!$M:$M,'ПП Октомври'!H2)</f>
        <v>0</v>
      </c>
      <c r="I46" s="76">
        <f>SUMIFS(разходи!$L:$L,разходи!$E:$E,'ПП Октомври'!$C$46,разходи!$M:$M,'ПП Октомври'!I2)</f>
        <v>0</v>
      </c>
      <c r="J46" s="76">
        <f>SUMIFS(разходи!$L:$L,разходи!$E:$E,'ПП Октомври'!$C$46,разходи!$M:$M,'ПП Октомври'!J2)</f>
        <v>0</v>
      </c>
      <c r="K46" s="74">
        <f>SUMIFS(разходи!$L:$L,разходи!$E:$E,'ПП Октомври'!$C$46,разходи!$M:$M,'ПП Октомври'!K2)</f>
        <v>0</v>
      </c>
      <c r="L46" s="74">
        <f>SUMIFS(разходи!$L:$L,разходи!$E:$E,'ПП Октомври'!$C$46,разходи!$M:$M,'ПП Октомври'!L2)</f>
        <v>0</v>
      </c>
      <c r="M46" s="74">
        <f>SUMIFS(разходи!$L:$L,разходи!$E:$E,'ПП Октомври'!$C$46,разходи!$M:$M,'ПП Октомври'!M2)</f>
        <v>0</v>
      </c>
      <c r="N46" s="74">
        <f>SUMIFS(разходи!$L:$L,разходи!$E:$E,'ПП Октомври'!$C$46,разходи!$M:$M,'ПП Октомври'!N2)</f>
        <v>0</v>
      </c>
      <c r="O46" s="74">
        <f>SUMIFS(разходи!$L:$L,разходи!$E:$E,'ПП Октомври'!$C$46,разходи!$M:$M,'ПП Октомври'!O2)</f>
        <v>0</v>
      </c>
      <c r="P46" s="76">
        <f>SUMIFS(разходи!$L:$L,разходи!$E:$E,'ПП Октомври'!$C$46,разходи!$M:$M,'ПП Октомври'!P2)</f>
        <v>0</v>
      </c>
      <c r="Q46" s="76">
        <f>SUMIFS(разходи!$L:$L,разходи!$E:$E,'ПП Октомври'!$C$46,разходи!$M:$M,'ПП Октомври'!Q2)</f>
        <v>0</v>
      </c>
      <c r="R46" s="74">
        <f>SUMIFS(разходи!$L:$L,разходи!$E:$E,'ПП Октомври'!$C$46,разходи!$M:$M,'ПП Октомври'!R2)</f>
        <v>0</v>
      </c>
      <c r="S46" s="74">
        <f>SUMIFS(разходи!$L:$L,разходи!$E:$E,'ПП Октомври'!$C$46,разходи!$M:$M,'ПП Октомври'!S2)</f>
        <v>0</v>
      </c>
      <c r="T46" s="74">
        <f>SUMIFS(разходи!$L:$L,разходи!$E:$E,'ПП Октомври'!$C$46,разходи!$M:$M,'ПП Октомври'!T2)</f>
        <v>0</v>
      </c>
      <c r="U46" s="74">
        <f>SUMIFS(разходи!$L:$L,разходи!$E:$E,'ПП Октомври'!$C$46,разходи!$M:$M,'ПП Октомври'!U2)</f>
        <v>0</v>
      </c>
      <c r="V46" s="74">
        <f>SUMIFS(разходи!$L:$L,разходи!$E:$E,'ПП Октомври'!$C$46,разходи!$M:$M,'ПП Октомври'!V2)</f>
        <v>0</v>
      </c>
      <c r="W46" s="76">
        <f>SUMIFS(разходи!$L:$L,разходи!$E:$E,'ПП Октомври'!$C$46,разходи!$M:$M,'ПП Октомври'!W2)</f>
        <v>0</v>
      </c>
      <c r="X46" s="76">
        <f>SUMIFS(разходи!$L:$L,разходи!$E:$E,'ПП Октомври'!$C$46,разходи!$M:$M,'ПП Октомври'!X2)</f>
        <v>0</v>
      </c>
      <c r="Y46" s="74">
        <f>SUMIFS(разходи!$L:$L,разходи!$E:$E,'ПП Октомври'!$C$46,разходи!$M:$M,'ПП Октомври'!Y2)</f>
        <v>0</v>
      </c>
      <c r="Z46" s="74">
        <f>SUMIFS(разходи!$L:$L,разходи!$E:$E,'ПП Октомври'!$C$46,разходи!$M:$M,'ПП Октомври'!Z2)</f>
        <v>0</v>
      </c>
      <c r="AA46" s="74">
        <f>SUMIFS(разходи!$L:$L,разходи!$E:$E,'ПП Октомври'!$C$46,разходи!$M:$M,'ПП Октомври'!AA2)</f>
        <v>0</v>
      </c>
      <c r="AB46" s="74">
        <f>SUMIFS(разходи!$L:$L,разходи!$E:$E,'ПП Октомври'!$C$46,разходи!$M:$M,'ПП Октомври'!AB2)</f>
        <v>0</v>
      </c>
      <c r="AC46" s="74">
        <f>SUMIFS(разходи!$L:$L,разходи!$E:$E,'ПП Октомври'!$C$46,разходи!$M:$M,'ПП Октомври'!AC2)</f>
        <v>0</v>
      </c>
      <c r="AD46" s="76">
        <f>SUMIFS(разходи!$L:$L,разходи!$E:$E,'ПП Октомври'!$C$46,разходи!$M:$M,'ПП Октомври'!AD2)</f>
        <v>0</v>
      </c>
      <c r="AE46" s="76">
        <f>SUMIFS(разходи!$L:$L,разходи!$E:$E,'ПП Октомври'!$C$46,разходи!$M:$M,'ПП Октомври'!AE2)</f>
        <v>0</v>
      </c>
      <c r="AF46" s="74">
        <f>SUMIFS(разходи!$L:$L,разходи!$E:$E,'ПП Октомври'!$C$46,разходи!$M:$M,'ПП Октомври'!AF2)</f>
        <v>0</v>
      </c>
      <c r="AG46" s="74">
        <f>SUMIFS(разходи!$L:$L,разходи!$E:$E,'ПП Октомври'!$C$46,разходи!$M:$M,'ПП Октомври'!AG2)</f>
        <v>0</v>
      </c>
      <c r="AH46" s="74">
        <f>SUMIFS(разходи!$L:$L,разходи!$E:$E,'ПП Октомври'!$C$46,разходи!$M:$M,'ПП Октомври'!AH2)</f>
        <v>0</v>
      </c>
      <c r="AI46" s="74">
        <f>SUMIFS(разходи!$L:$L,разходи!$E:$E,'ПП Октомври'!$C$46,разходи!$M:$M,'ПП Октомври'!AI2)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Октомври'!$C$47,разходи!$M:$M,'ПП Октомври'!E2)</f>
        <v>0</v>
      </c>
      <c r="F47" s="74">
        <f>SUMIFS(разходи!$L:$L,разходи!$E:$E,'ПП Октомври'!$C$47,разходи!$M:$M,'ПП Октомври'!F2)</f>
        <v>0</v>
      </c>
      <c r="G47" s="74">
        <f>SUMIFS(разходи!$L:$L,разходи!$E:$E,'ПП Октомври'!$C$47,разходи!$M:$M,'ПП Октомври'!G2)</f>
        <v>0</v>
      </c>
      <c r="H47" s="74">
        <f>SUMIFS(разходи!$L:$L,разходи!$E:$E,'ПП Октомври'!$C$47,разходи!$M:$M,'ПП Октомври'!H2)</f>
        <v>0</v>
      </c>
      <c r="I47" s="76">
        <f>SUMIFS(разходи!$L:$L,разходи!$E:$E,'ПП Октомври'!$C$47,разходи!$M:$M,'ПП Октомври'!I2)</f>
        <v>0</v>
      </c>
      <c r="J47" s="76">
        <f>SUMIFS(разходи!$L:$L,разходи!$E:$E,'ПП Октомври'!$C$47,разходи!$M:$M,'ПП Октомври'!J2)</f>
        <v>0</v>
      </c>
      <c r="K47" s="74">
        <f>SUMIFS(разходи!$L:$L,разходи!$E:$E,'ПП Октомври'!$C$47,разходи!$M:$M,'ПП Октомври'!K2)</f>
        <v>0</v>
      </c>
      <c r="L47" s="74">
        <f>SUMIFS(разходи!$L:$L,разходи!$E:$E,'ПП Октомври'!$C$47,разходи!$M:$M,'ПП Октомври'!L2)</f>
        <v>0</v>
      </c>
      <c r="M47" s="74">
        <f>SUMIFS(разходи!$L:$L,разходи!$E:$E,'ПП Октомври'!$C$47,разходи!$M:$M,'ПП Октомври'!M2)</f>
        <v>0</v>
      </c>
      <c r="N47" s="74">
        <f>SUMIFS(разходи!$L:$L,разходи!$E:$E,'ПП Октомври'!$C$47,разходи!$M:$M,'ПП Октомври'!N2)</f>
        <v>0</v>
      </c>
      <c r="O47" s="74">
        <f>SUMIFS(разходи!$L:$L,разходи!$E:$E,'ПП Октомври'!$C$47,разходи!$M:$M,'ПП Октомври'!O2)</f>
        <v>0</v>
      </c>
      <c r="P47" s="76">
        <f>SUMIFS(разходи!$L:$L,разходи!$E:$E,'ПП Октомври'!$C$47,разходи!$M:$M,'ПП Октомври'!P2)</f>
        <v>0</v>
      </c>
      <c r="Q47" s="76">
        <f>SUMIFS(разходи!$L:$L,разходи!$E:$E,'ПП Октомври'!$C$47,разходи!$M:$M,'ПП Октомври'!Q2)</f>
        <v>0</v>
      </c>
      <c r="R47" s="74">
        <f>SUMIFS(разходи!$L:$L,разходи!$E:$E,'ПП Октомври'!$C$47,разходи!$M:$M,'ПП Октомври'!R2)</f>
        <v>0</v>
      </c>
      <c r="S47" s="74">
        <f>SUMIFS(разходи!$L:$L,разходи!$E:$E,'ПП Октомври'!$C$47,разходи!$M:$M,'ПП Октомври'!S2)</f>
        <v>0</v>
      </c>
      <c r="T47" s="74">
        <f>SUMIFS(разходи!$L:$L,разходи!$E:$E,'ПП Октомври'!$C$47,разходи!$M:$M,'ПП Октомври'!T2)</f>
        <v>0</v>
      </c>
      <c r="U47" s="74">
        <f>SUMIFS(разходи!$L:$L,разходи!$E:$E,'ПП Октомври'!$C$47,разходи!$M:$M,'ПП Октомври'!U2)</f>
        <v>0</v>
      </c>
      <c r="V47" s="74">
        <f>SUMIFS(разходи!$L:$L,разходи!$E:$E,'ПП Октомври'!$C$47,разходи!$M:$M,'ПП Октомври'!V2)</f>
        <v>0</v>
      </c>
      <c r="W47" s="76">
        <f>SUMIFS(разходи!$L:$L,разходи!$E:$E,'ПП Октомври'!$C$47,разходи!$M:$M,'ПП Октомври'!W2)</f>
        <v>0</v>
      </c>
      <c r="X47" s="76">
        <f>SUMIFS(разходи!$L:$L,разходи!$E:$E,'ПП Октомври'!$C$47,разходи!$M:$M,'ПП Октомври'!X2)</f>
        <v>0</v>
      </c>
      <c r="Y47" s="74">
        <f>SUMIFS(разходи!$L:$L,разходи!$E:$E,'ПП Октомври'!$C$47,разходи!$M:$M,'ПП Октомври'!Y2)</f>
        <v>0</v>
      </c>
      <c r="Z47" s="74">
        <f>SUMIFS(разходи!$L:$L,разходи!$E:$E,'ПП Октомври'!$C$47,разходи!$M:$M,'ПП Октомври'!Z2)</f>
        <v>0</v>
      </c>
      <c r="AA47" s="74">
        <f>SUMIFS(разходи!$L:$L,разходи!$E:$E,'ПП Октомври'!$C$47,разходи!$M:$M,'ПП Октомври'!AA2)</f>
        <v>0</v>
      </c>
      <c r="AB47" s="74">
        <f>SUMIFS(разходи!$L:$L,разходи!$E:$E,'ПП Октомври'!$C$47,разходи!$M:$M,'ПП Октомври'!AB2)</f>
        <v>0</v>
      </c>
      <c r="AC47" s="74">
        <f>SUMIFS(разходи!$L:$L,разходи!$E:$E,'ПП Октомври'!$C$47,разходи!$M:$M,'ПП Октомври'!AC2)</f>
        <v>0</v>
      </c>
      <c r="AD47" s="76">
        <f>SUMIFS(разходи!$L:$L,разходи!$E:$E,'ПП Октомври'!$C$47,разходи!$M:$M,'ПП Октомври'!AD2)</f>
        <v>0</v>
      </c>
      <c r="AE47" s="76">
        <f>SUMIFS(разходи!$L:$L,разходи!$E:$E,'ПП Октомври'!$C$47,разходи!$M:$M,'ПП Октомври'!AE2)</f>
        <v>0</v>
      </c>
      <c r="AF47" s="74">
        <f>SUMIFS(разходи!$L:$L,разходи!$E:$E,'ПП Октомври'!$C$47,разходи!$M:$M,'ПП Октомври'!AF2)</f>
        <v>0</v>
      </c>
      <c r="AG47" s="74">
        <f>SUMIFS(разходи!$L:$L,разходи!$E:$E,'ПП Октомври'!$C$47,разходи!$M:$M,'ПП Октомври'!AG2)</f>
        <v>0</v>
      </c>
      <c r="AH47" s="74">
        <f>SUMIFS(разходи!$L:$L,разходи!$E:$E,'ПП Октомври'!$C$47,разходи!$M:$M,'ПП Октомври'!AH2)</f>
        <v>0</v>
      </c>
      <c r="AI47" s="74">
        <f>SUMIFS(разходи!$L:$L,разходи!$E:$E,'ПП Октомври'!$C$47,разходи!$M:$M,'ПП Октомври'!AI2)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11395</v>
      </c>
      <c r="E48" s="74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6">
        <f t="shared" si="20"/>
        <v>0</v>
      </c>
      <c r="J48" s="76">
        <f t="shared" si="20"/>
        <v>0</v>
      </c>
      <c r="K48" s="74">
        <f t="shared" si="20"/>
        <v>0</v>
      </c>
      <c r="L48" s="74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6">
        <f t="shared" si="20"/>
        <v>0</v>
      </c>
      <c r="Q48" s="76">
        <f t="shared" si="20"/>
        <v>0</v>
      </c>
      <c r="R48" s="74">
        <f t="shared" si="20"/>
        <v>0</v>
      </c>
      <c r="S48" s="74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6">
        <f t="shared" si="20"/>
        <v>0</v>
      </c>
      <c r="X48" s="76">
        <f t="shared" si="20"/>
        <v>0</v>
      </c>
      <c r="Y48" s="74">
        <f t="shared" si="20"/>
        <v>0</v>
      </c>
      <c r="Z48" s="74">
        <f t="shared" si="20"/>
        <v>0</v>
      </c>
      <c r="AA48" s="74">
        <f t="shared" si="20"/>
        <v>0</v>
      </c>
      <c r="AB48" s="74">
        <f t="shared" si="20"/>
        <v>0</v>
      </c>
      <c r="AC48" s="74">
        <f t="shared" si="20"/>
        <v>0</v>
      </c>
      <c r="AD48" s="76">
        <f t="shared" si="20"/>
        <v>0</v>
      </c>
      <c r="AE48" s="76">
        <f t="shared" si="20"/>
        <v>0</v>
      </c>
      <c r="AF48" s="74">
        <f t="shared" si="20"/>
        <v>0</v>
      </c>
      <c r="AG48" s="74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11395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>
        <v>11395</v>
      </c>
      <c r="E49" s="74">
        <f>SUMIFS(разходи!$L:$L,разходи!$E:$E,'ПП Октомври'!$C$49,разходи!$M:$M,'ПП Октомври'!E2)</f>
        <v>0</v>
      </c>
      <c r="F49" s="74">
        <f>SUMIFS(разходи!$L:$L,разходи!$E:$E,'ПП Октомври'!$C$49,разходи!$M:$M,'ПП Октомври'!F2)</f>
        <v>0</v>
      </c>
      <c r="G49" s="74">
        <f>SUMIFS(разходи!$L:$L,разходи!$E:$E,'ПП Октомври'!$C$49,разходи!$M:$M,'ПП Октомври'!G2)</f>
        <v>0</v>
      </c>
      <c r="H49" s="74">
        <f>SUMIFS(разходи!$L:$L,разходи!$E:$E,'ПП Октомври'!$C$49,разходи!$M:$M,'ПП Октомври'!H2)</f>
        <v>0</v>
      </c>
      <c r="I49" s="76">
        <f>SUMIFS(разходи!$L:$L,разходи!$E:$E,'ПП Октомври'!$C$49,разходи!$M:$M,'ПП Октомври'!I2)</f>
        <v>0</v>
      </c>
      <c r="J49" s="76">
        <f>SUMIFS(разходи!$L:$L,разходи!$E:$E,'ПП Октомври'!$C$49,разходи!$M:$M,'ПП Октомври'!J2)</f>
        <v>0</v>
      </c>
      <c r="K49" s="74">
        <f>SUMIFS(разходи!$L:$L,разходи!$E:$E,'ПП Октомври'!$C$49,разходи!$M:$M,'ПП Октомври'!K2)</f>
        <v>0</v>
      </c>
      <c r="L49" s="74">
        <f>SUMIFS(разходи!$L:$L,разходи!$E:$E,'ПП Октомври'!$C$49,разходи!$M:$M,'ПП Октомври'!L2)</f>
        <v>0</v>
      </c>
      <c r="M49" s="74">
        <f>SUMIFS(разходи!$L:$L,разходи!$E:$E,'ПП Октомври'!$C$49,разходи!$M:$M,'ПП Октомври'!M2)</f>
        <v>0</v>
      </c>
      <c r="N49" s="74">
        <f>SUMIFS(разходи!$L:$L,разходи!$E:$E,'ПП Октомври'!$C$49,разходи!$M:$M,'ПП Октомври'!N2)</f>
        <v>0</v>
      </c>
      <c r="O49" s="74">
        <f>SUMIFS(разходи!$L:$L,разходи!$E:$E,'ПП Октомври'!$C$49,разходи!$M:$M,'ПП Октомври'!O2)</f>
        <v>0</v>
      </c>
      <c r="P49" s="76">
        <f>SUMIFS(разходи!$L:$L,разходи!$E:$E,'ПП Октомври'!$C$49,разходи!$M:$M,'ПП Октомври'!P2)</f>
        <v>0</v>
      </c>
      <c r="Q49" s="76">
        <f>SUMIFS(разходи!$L:$L,разходи!$E:$E,'ПП Октомври'!$C$49,разходи!$M:$M,'ПП Октомври'!Q2)</f>
        <v>0</v>
      </c>
      <c r="R49" s="74">
        <f>SUMIFS(разходи!$L:$L,разходи!$E:$E,'ПП Октомври'!$C$49,разходи!$M:$M,'ПП Октомври'!R2)</f>
        <v>0</v>
      </c>
      <c r="S49" s="74">
        <f>SUMIFS(разходи!$L:$L,разходи!$E:$E,'ПП Октомври'!$C$49,разходи!$M:$M,'ПП Октомври'!S2)</f>
        <v>0</v>
      </c>
      <c r="T49" s="74">
        <f>SUMIFS(разходи!$L:$L,разходи!$E:$E,'ПП Октомври'!$C$49,разходи!$M:$M,'ПП Октомври'!T2)</f>
        <v>0</v>
      </c>
      <c r="U49" s="74">
        <f>SUMIFS(разходи!$L:$L,разходи!$E:$E,'ПП Октомври'!$C$49,разходи!$M:$M,'ПП Октомври'!U2)</f>
        <v>0</v>
      </c>
      <c r="V49" s="74">
        <f>SUMIFS(разходи!$L:$L,разходи!$E:$E,'ПП Октомври'!$C$49,разходи!$M:$M,'ПП Октомври'!V2)</f>
        <v>0</v>
      </c>
      <c r="W49" s="76">
        <f>SUMIFS(разходи!$L:$L,разходи!$E:$E,'ПП Октомври'!$C$49,разходи!$M:$M,'ПП Октомври'!W2)</f>
        <v>0</v>
      </c>
      <c r="X49" s="76">
        <f>SUMIFS(разходи!$L:$L,разходи!$E:$E,'ПП Октомври'!$C$49,разходи!$M:$M,'ПП Октомври'!X2)</f>
        <v>0</v>
      </c>
      <c r="Y49" s="74">
        <f>SUMIFS(разходи!$L:$L,разходи!$E:$E,'ПП Октомври'!$C$49,разходи!$M:$M,'ПП Октомври'!Y2)</f>
        <v>0</v>
      </c>
      <c r="Z49" s="74">
        <f>SUMIFS(разходи!$L:$L,разходи!$E:$E,'ПП Октомври'!$C$49,разходи!$M:$M,'ПП Октомври'!Z2)</f>
        <v>0</v>
      </c>
      <c r="AA49" s="74">
        <f>SUMIFS(разходи!$L:$L,разходи!$E:$E,'ПП Октомври'!$C$49,разходи!$M:$M,'ПП Октомври'!AA2)</f>
        <v>0</v>
      </c>
      <c r="AB49" s="74">
        <f>SUMIFS(разходи!$L:$L,разходи!$E:$E,'ПП Октомври'!$C$49,разходи!$M:$M,'ПП Октомври'!AB2)</f>
        <v>0</v>
      </c>
      <c r="AC49" s="74">
        <f>SUMIFS(разходи!$L:$L,разходи!$E:$E,'ПП Октомври'!$C$49,разходи!$M:$M,'ПП Октомври'!AC2)</f>
        <v>0</v>
      </c>
      <c r="AD49" s="76">
        <f>SUMIFS(разходи!$L:$L,разходи!$E:$E,'ПП Октомври'!$C$49,разходи!$M:$M,'ПП Октомври'!AD2)</f>
        <v>0</v>
      </c>
      <c r="AE49" s="76">
        <f>SUMIFS(разходи!$L:$L,разходи!$E:$E,'ПП Октомври'!$C$49,разходи!$M:$M,'ПП Октомври'!AE2)</f>
        <v>0</v>
      </c>
      <c r="AF49" s="74">
        <f>SUMIFS(разходи!$L:$L,разходи!$E:$E,'ПП Октомври'!$C$49,разходи!$M:$M,'ПП Октомври'!AF2)</f>
        <v>0</v>
      </c>
      <c r="AG49" s="74">
        <f>SUMIFS(разходи!$L:$L,разходи!$E:$E,'ПП Октомври'!$C$49,разходи!$M:$M,'ПП Октомври'!AG2)</f>
        <v>0</v>
      </c>
      <c r="AH49" s="74">
        <f>SUMIFS(разходи!$L:$L,разходи!$E:$E,'ПП Октомври'!$C$49,разходи!$M:$M,'ПП Октомври'!AH2)</f>
        <v>0</v>
      </c>
      <c r="AI49" s="74">
        <f>SUMIFS(разходи!$L:$L,разходи!$E:$E,'ПП Октомври'!$C$49,разходи!$M:$M,'ПП Октомври'!AI2)</f>
        <v>0</v>
      </c>
      <c r="AJ49" s="61">
        <f t="shared" si="16"/>
        <v>0</v>
      </c>
      <c r="AK49" s="69">
        <f t="shared" si="3"/>
        <v>11395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Октомври'!$C$50,разходи!$M:$M,'ПП Октомври'!E2)</f>
        <v>0</v>
      </c>
      <c r="F50" s="74">
        <f>SUMIFS(разходи!$L:$L,разходи!$E:$E,'ПП Октомври'!$C$50,разходи!$M:$M,'ПП Октомври'!F2)</f>
        <v>0</v>
      </c>
      <c r="G50" s="74">
        <f>SUMIFS(разходи!$L:$L,разходи!$E:$E,'ПП Октомври'!$C$50,разходи!$M:$M,'ПП Октомври'!G2)</f>
        <v>0</v>
      </c>
      <c r="H50" s="74">
        <f>SUMIFS(разходи!$L:$L,разходи!$E:$E,'ПП Октомври'!$C$50,разходи!$M:$M,'ПП Октомври'!H2)</f>
        <v>0</v>
      </c>
      <c r="I50" s="76">
        <f>SUMIFS(разходи!$L:$L,разходи!$E:$E,'ПП Октомври'!$C$50,разходи!$M:$M,'ПП Октомври'!I2)</f>
        <v>0</v>
      </c>
      <c r="J50" s="76">
        <f>SUMIFS(разходи!$L:$L,разходи!$E:$E,'ПП Октомври'!$C$50,разходи!$M:$M,'ПП Октомври'!J2)</f>
        <v>0</v>
      </c>
      <c r="K50" s="74">
        <f>SUMIFS(разходи!$L:$L,разходи!$E:$E,'ПП Октомври'!$C$50,разходи!$M:$M,'ПП Октомври'!K2)</f>
        <v>0</v>
      </c>
      <c r="L50" s="74">
        <f>SUMIFS(разходи!$L:$L,разходи!$E:$E,'ПП Октомври'!$C$50,разходи!$M:$M,'ПП Октомври'!L2)</f>
        <v>0</v>
      </c>
      <c r="M50" s="74">
        <f>SUMIFS(разходи!$L:$L,разходи!$E:$E,'ПП Октомври'!$C$50,разходи!$M:$M,'ПП Октомври'!M2)</f>
        <v>0</v>
      </c>
      <c r="N50" s="74">
        <f>SUMIFS(разходи!$L:$L,разходи!$E:$E,'ПП Октомври'!$C$50,разходи!$M:$M,'ПП Октомври'!N2)</f>
        <v>0</v>
      </c>
      <c r="O50" s="74">
        <f>SUMIFS(разходи!$L:$L,разходи!$E:$E,'ПП Октомври'!$C$50,разходи!$M:$M,'ПП Октомври'!O2)</f>
        <v>0</v>
      </c>
      <c r="P50" s="76">
        <f>SUMIFS(разходи!$L:$L,разходи!$E:$E,'ПП Октомври'!$C$50,разходи!$M:$M,'ПП Октомври'!P2)</f>
        <v>0</v>
      </c>
      <c r="Q50" s="76">
        <f>SUMIFS(разходи!$L:$L,разходи!$E:$E,'ПП Октомври'!$C$50,разходи!$M:$M,'ПП Октомври'!Q2)</f>
        <v>0</v>
      </c>
      <c r="R50" s="74">
        <f>SUMIFS(разходи!$L:$L,разходи!$E:$E,'ПП Октомври'!$C$50,разходи!$M:$M,'ПП Октомври'!R2)</f>
        <v>0</v>
      </c>
      <c r="S50" s="74">
        <f>SUMIFS(разходи!$L:$L,разходи!$E:$E,'ПП Октомври'!$C$50,разходи!$M:$M,'ПП Октомври'!S2)</f>
        <v>0</v>
      </c>
      <c r="T50" s="74">
        <f>SUMIFS(разходи!$L:$L,разходи!$E:$E,'ПП Октомври'!$C$50,разходи!$M:$M,'ПП Октомври'!T2)</f>
        <v>0</v>
      </c>
      <c r="U50" s="74">
        <f>SUMIFS(разходи!$L:$L,разходи!$E:$E,'ПП Октомври'!$C$50,разходи!$M:$M,'ПП Октомври'!U2)</f>
        <v>0</v>
      </c>
      <c r="V50" s="74">
        <f>SUMIFS(разходи!$L:$L,разходи!$E:$E,'ПП Октомври'!$C$50,разходи!$M:$M,'ПП Октомври'!V2)</f>
        <v>0</v>
      </c>
      <c r="W50" s="76">
        <f>SUMIFS(разходи!$L:$L,разходи!$E:$E,'ПП Октомври'!$C$50,разходи!$M:$M,'ПП Октомври'!W2)</f>
        <v>0</v>
      </c>
      <c r="X50" s="76">
        <f>SUMIFS(разходи!$L:$L,разходи!$E:$E,'ПП Октомври'!$C$50,разходи!$M:$M,'ПП Октомври'!X2)</f>
        <v>0</v>
      </c>
      <c r="Y50" s="74">
        <f>SUMIFS(разходи!$L:$L,разходи!$E:$E,'ПП Октомври'!$C$50,разходи!$M:$M,'ПП Октомври'!Y2)</f>
        <v>0</v>
      </c>
      <c r="Z50" s="74">
        <f>SUMIFS(разходи!$L:$L,разходи!$E:$E,'ПП Октомври'!$C$50,разходи!$M:$M,'ПП Октомври'!Z2)</f>
        <v>0</v>
      </c>
      <c r="AA50" s="74">
        <f>SUMIFS(разходи!$L:$L,разходи!$E:$E,'ПП Октомври'!$C$50,разходи!$M:$M,'ПП Октомври'!AA2)</f>
        <v>0</v>
      </c>
      <c r="AB50" s="74">
        <f>SUMIFS(разходи!$L:$L,разходи!$E:$E,'ПП Октомври'!$C$50,разходи!$M:$M,'ПП Октомври'!AB2)</f>
        <v>0</v>
      </c>
      <c r="AC50" s="74">
        <f>SUMIFS(разходи!$L:$L,разходи!$E:$E,'ПП Октомври'!$C$50,разходи!$M:$M,'ПП Октомври'!AC2)</f>
        <v>0</v>
      </c>
      <c r="AD50" s="76">
        <f>SUMIFS(разходи!$L:$L,разходи!$E:$E,'ПП Октомври'!$C$50,разходи!$M:$M,'ПП Октомври'!AD2)</f>
        <v>0</v>
      </c>
      <c r="AE50" s="76">
        <f>SUMIFS(разходи!$L:$L,разходи!$E:$E,'ПП Октомври'!$C$50,разходи!$M:$M,'ПП Октомври'!AE2)</f>
        <v>0</v>
      </c>
      <c r="AF50" s="74">
        <f>SUMIFS(разходи!$L:$L,разходи!$E:$E,'ПП Октомври'!$C$50,разходи!$M:$M,'ПП Октомври'!AF2)</f>
        <v>0</v>
      </c>
      <c r="AG50" s="74">
        <f>SUMIFS(разходи!$L:$L,разходи!$E:$E,'ПП Октомври'!$C$50,разходи!$M:$M,'ПП Октомври'!AG2)</f>
        <v>0</v>
      </c>
      <c r="AH50" s="74">
        <f>SUMIFS(разходи!$L:$L,разходи!$E:$E,'ПП Октомври'!$C$50,разходи!$M:$M,'ПП Октомври'!AH2)</f>
        <v>0</v>
      </c>
      <c r="AI50" s="74">
        <f>SUMIFS(разходи!$L:$L,разходи!$E:$E,'ПП Октомври'!$C$50,разходи!$M:$M,'ПП Октомври'!AI2)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Октомври'!$C$51,разходи!$M:$M,'ПП Октомври'!E2)</f>
        <v>0</v>
      </c>
      <c r="F51" s="74">
        <f>SUMIFS(разходи!$L:$L,разходи!$E:$E,'ПП Октомври'!$C$51,разходи!$M:$M,'ПП Октомври'!F2)</f>
        <v>0</v>
      </c>
      <c r="G51" s="74">
        <f>SUMIFS(разходи!$L:$L,разходи!$E:$E,'ПП Октомври'!$C$51,разходи!$M:$M,'ПП Октомври'!G2)</f>
        <v>0</v>
      </c>
      <c r="H51" s="74">
        <f>SUMIFS(разходи!$L:$L,разходи!$E:$E,'ПП Октомври'!$C$51,разходи!$M:$M,'ПП Октомври'!H2)</f>
        <v>0</v>
      </c>
      <c r="I51" s="76">
        <f>SUMIFS(разходи!$L:$L,разходи!$E:$E,'ПП Октомври'!$C$51,разходи!$M:$M,'ПП Октомври'!I2)</f>
        <v>0</v>
      </c>
      <c r="J51" s="76">
        <f>SUMIFS(разходи!$L:$L,разходи!$E:$E,'ПП Октомври'!$C$51,разходи!$M:$M,'ПП Октомври'!J2)</f>
        <v>0</v>
      </c>
      <c r="K51" s="74">
        <f>SUMIFS(разходи!$L:$L,разходи!$E:$E,'ПП Октомври'!$C$51,разходи!$M:$M,'ПП Октомври'!K2)</f>
        <v>0</v>
      </c>
      <c r="L51" s="74">
        <f>SUMIFS(разходи!$L:$L,разходи!$E:$E,'ПП Октомври'!$C$51,разходи!$M:$M,'ПП Октомври'!L2)</f>
        <v>0</v>
      </c>
      <c r="M51" s="74">
        <f>SUMIFS(разходи!$L:$L,разходи!$E:$E,'ПП Октомври'!$C$51,разходи!$M:$M,'ПП Октомври'!M2)</f>
        <v>0</v>
      </c>
      <c r="N51" s="74">
        <f>SUMIFS(разходи!$L:$L,разходи!$E:$E,'ПП Октомври'!$C$51,разходи!$M:$M,'ПП Октомври'!N2)</f>
        <v>0</v>
      </c>
      <c r="O51" s="74">
        <f>SUMIFS(разходи!$L:$L,разходи!$E:$E,'ПП Октомври'!$C$51,разходи!$M:$M,'ПП Октомври'!O2)</f>
        <v>0</v>
      </c>
      <c r="P51" s="76">
        <f>SUMIFS(разходи!$L:$L,разходи!$E:$E,'ПП Октомври'!$C$51,разходи!$M:$M,'ПП Октомври'!P2)</f>
        <v>0</v>
      </c>
      <c r="Q51" s="76">
        <f>SUMIFS(разходи!$L:$L,разходи!$E:$E,'ПП Октомври'!$C$51,разходи!$M:$M,'ПП Октомври'!Q2)</f>
        <v>0</v>
      </c>
      <c r="R51" s="74">
        <f>SUMIFS(разходи!$L:$L,разходи!$E:$E,'ПП Октомври'!$C$51,разходи!$M:$M,'ПП Октомври'!R2)</f>
        <v>0</v>
      </c>
      <c r="S51" s="74">
        <f>SUMIFS(разходи!$L:$L,разходи!$E:$E,'ПП Октомври'!$C$51,разходи!$M:$M,'ПП Октомври'!S2)</f>
        <v>0</v>
      </c>
      <c r="T51" s="74">
        <f>SUMIFS(разходи!$L:$L,разходи!$E:$E,'ПП Октомври'!$C$51,разходи!$M:$M,'ПП Октомври'!T2)</f>
        <v>0</v>
      </c>
      <c r="U51" s="74">
        <f>SUMIFS(разходи!$L:$L,разходи!$E:$E,'ПП Октомври'!$C$51,разходи!$M:$M,'ПП Октомври'!U2)</f>
        <v>0</v>
      </c>
      <c r="V51" s="74">
        <f>SUMIFS(разходи!$L:$L,разходи!$E:$E,'ПП Октомври'!$C$51,разходи!$M:$M,'ПП Октомври'!V2)</f>
        <v>0</v>
      </c>
      <c r="W51" s="76">
        <f>SUMIFS(разходи!$L:$L,разходи!$E:$E,'ПП Октомври'!$C$51,разходи!$M:$M,'ПП Октомври'!W2)</f>
        <v>0</v>
      </c>
      <c r="X51" s="76">
        <f>SUMIFS(разходи!$L:$L,разходи!$E:$E,'ПП Октомври'!$C$51,разходи!$M:$M,'ПП Октомври'!X2)</f>
        <v>0</v>
      </c>
      <c r="Y51" s="74">
        <f>SUMIFS(разходи!$L:$L,разходи!$E:$E,'ПП Октомври'!$C$51,разходи!$M:$M,'ПП Октомври'!Y2)</f>
        <v>0</v>
      </c>
      <c r="Z51" s="74">
        <f>SUMIFS(разходи!$L:$L,разходи!$E:$E,'ПП Октомври'!$C$51,разходи!$M:$M,'ПП Октомври'!Z2)</f>
        <v>0</v>
      </c>
      <c r="AA51" s="74">
        <f>SUMIFS(разходи!$L:$L,разходи!$E:$E,'ПП Октомври'!$C$51,разходи!$M:$M,'ПП Октомври'!AA2)</f>
        <v>0</v>
      </c>
      <c r="AB51" s="74">
        <f>SUMIFS(разходи!$L:$L,разходи!$E:$E,'ПП Октомври'!$C$51,разходи!$M:$M,'ПП Октомври'!AB2)</f>
        <v>0</v>
      </c>
      <c r="AC51" s="74">
        <f>SUMIFS(разходи!$L:$L,разходи!$E:$E,'ПП Октомври'!$C$51,разходи!$M:$M,'ПП Октомври'!AC2)</f>
        <v>0</v>
      </c>
      <c r="AD51" s="76">
        <f>SUMIFS(разходи!$L:$L,разходи!$E:$E,'ПП Октомври'!$C$51,разходи!$M:$M,'ПП Октомври'!AD2)</f>
        <v>0</v>
      </c>
      <c r="AE51" s="76">
        <f>SUMIFS(разходи!$L:$L,разходи!$E:$E,'ПП Октомври'!$C$51,разходи!$M:$M,'ПП Октомври'!AE2)</f>
        <v>0</v>
      </c>
      <c r="AF51" s="74">
        <f>SUMIFS(разходи!$L:$L,разходи!$E:$E,'ПП Октомври'!$C$51,разходи!$M:$M,'ПП Октомври'!AF2)</f>
        <v>0</v>
      </c>
      <c r="AG51" s="74">
        <f>SUMIFS(разходи!$L:$L,разходи!$E:$E,'ПП Октомври'!$C$51,разходи!$M:$M,'ПП Октомври'!AG2)</f>
        <v>0</v>
      </c>
      <c r="AH51" s="74">
        <f>SUMIFS(разходи!$L:$L,разходи!$E:$E,'ПП Октомври'!$C$51,разходи!$M:$M,'ПП Октомври'!AH2)</f>
        <v>0</v>
      </c>
      <c r="AI51" s="74">
        <f>SUMIFS(разходи!$L:$L,разходи!$E:$E,'ПП Октомври'!$C$51,разходи!$M:$M,'ПП Октомври'!AI2)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80"/>
      <c r="E52" s="74">
        <f>SUMIFS(разходи!$L:$L,разходи!$E:$E,'ПП Октомври'!$C$52,разходи!$M:$M,'ПП Октомври'!E2)</f>
        <v>0</v>
      </c>
      <c r="F52" s="74">
        <f>SUMIFS(разходи!$L:$L,разходи!$E:$E,'ПП Октомври'!$C$52,разходи!$M:$M,'ПП Октомври'!F2)</f>
        <v>0</v>
      </c>
      <c r="G52" s="74">
        <f>SUMIFS(разходи!$L:$L,разходи!$E:$E,'ПП Октомври'!$C$52,разходи!$M:$M,'ПП Октомври'!G2)</f>
        <v>0</v>
      </c>
      <c r="H52" s="74">
        <f>SUMIFS(разходи!$L:$L,разходи!$E:$E,'ПП Октомври'!$C$52,разходи!$M:$M,'ПП Октомври'!H2)</f>
        <v>0</v>
      </c>
      <c r="I52" s="76">
        <f>SUMIFS(разходи!$L:$L,разходи!$E:$E,'ПП Октомври'!$C$52,разходи!$M:$M,'ПП Октомври'!I2)</f>
        <v>0</v>
      </c>
      <c r="J52" s="76">
        <f>SUMIFS(разходи!$L:$L,разходи!$E:$E,'ПП Октомври'!$C$52,разходи!$M:$M,'ПП Октомври'!J2)</f>
        <v>0</v>
      </c>
      <c r="K52" s="74">
        <f>SUMIFS(разходи!$L:$L,разходи!$E:$E,'ПП Октомври'!$C$52,разходи!$M:$M,'ПП Октомври'!K2)</f>
        <v>0</v>
      </c>
      <c r="L52" s="74">
        <f>SUMIFS(разходи!$L:$L,разходи!$E:$E,'ПП Октомври'!$C$52,разходи!$M:$M,'ПП Октомври'!L2)</f>
        <v>0</v>
      </c>
      <c r="M52" s="74">
        <f>SUMIFS(разходи!$L:$L,разходи!$E:$E,'ПП Октомври'!$C$52,разходи!$M:$M,'ПП Октомври'!M2)</f>
        <v>0</v>
      </c>
      <c r="N52" s="74">
        <f>SUMIFS(разходи!$L:$L,разходи!$E:$E,'ПП Октомври'!$C$52,разходи!$M:$M,'ПП Октомври'!N2)</f>
        <v>0</v>
      </c>
      <c r="O52" s="74">
        <f>SUMIFS(разходи!$L:$L,разходи!$E:$E,'ПП Октомври'!$C$52,разходи!$M:$M,'ПП Октомври'!O2)</f>
        <v>0</v>
      </c>
      <c r="P52" s="76">
        <f>SUMIFS(разходи!$L:$L,разходи!$E:$E,'ПП Октомври'!$C$52,разходи!$M:$M,'ПП Октомври'!P2)</f>
        <v>0</v>
      </c>
      <c r="Q52" s="76">
        <f>SUMIFS(разходи!$L:$L,разходи!$E:$E,'ПП Октомври'!$C$52,разходи!$M:$M,'ПП Октомври'!Q2)</f>
        <v>0</v>
      </c>
      <c r="R52" s="74">
        <f>SUMIFS(разходи!$L:$L,разходи!$E:$E,'ПП Октомври'!$C$52,разходи!$M:$M,'ПП Октомври'!R2)</f>
        <v>0</v>
      </c>
      <c r="S52" s="74">
        <f>SUMIFS(разходи!$L:$L,разходи!$E:$E,'ПП Октомври'!$C$52,разходи!$M:$M,'ПП Октомври'!S2)</f>
        <v>0</v>
      </c>
      <c r="T52" s="74">
        <f>SUMIFS(разходи!$L:$L,разходи!$E:$E,'ПП Октомври'!$C$52,разходи!$M:$M,'ПП Октомври'!T2)</f>
        <v>0</v>
      </c>
      <c r="U52" s="74">
        <f>SUMIFS(разходи!$L:$L,разходи!$E:$E,'ПП Октомври'!$C$52,разходи!$M:$M,'ПП Октомври'!U2)</f>
        <v>0</v>
      </c>
      <c r="V52" s="74">
        <f>SUMIFS(разходи!$L:$L,разходи!$E:$E,'ПП Октомври'!$C$52,разходи!$M:$M,'ПП Октомври'!V2)</f>
        <v>0</v>
      </c>
      <c r="W52" s="76">
        <f>SUMIFS(разходи!$L:$L,разходи!$E:$E,'ПП Октомври'!$C$52,разходи!$M:$M,'ПП Октомври'!W2)</f>
        <v>0</v>
      </c>
      <c r="X52" s="76">
        <f>SUMIFS(разходи!$L:$L,разходи!$E:$E,'ПП Октомври'!$C$52,разходи!$M:$M,'ПП Октомври'!X2)</f>
        <v>0</v>
      </c>
      <c r="Y52" s="74">
        <f>SUMIFS(разходи!$L:$L,разходи!$E:$E,'ПП Октомври'!$C$52,разходи!$M:$M,'ПП Октомври'!Y2)</f>
        <v>0</v>
      </c>
      <c r="Z52" s="74">
        <f>SUMIFS(разходи!$L:$L,разходи!$E:$E,'ПП Октомври'!$C$52,разходи!$M:$M,'ПП Октомври'!Z2)</f>
        <v>0</v>
      </c>
      <c r="AA52" s="74">
        <f>SUMIFS(разходи!$L:$L,разходи!$E:$E,'ПП Октомври'!$C$52,разходи!$M:$M,'ПП Октомври'!AA2)</f>
        <v>0</v>
      </c>
      <c r="AB52" s="74">
        <f>SUMIFS(разходи!$L:$L,разходи!$E:$E,'ПП Октомври'!$C$52,разходи!$M:$M,'ПП Октомври'!AB2)</f>
        <v>0</v>
      </c>
      <c r="AC52" s="74">
        <f>SUMIFS(разходи!$L:$L,разходи!$E:$E,'ПП Октомври'!$C$52,разходи!$M:$M,'ПП Октомври'!AC2)</f>
        <v>0</v>
      </c>
      <c r="AD52" s="76">
        <f>SUMIFS(разходи!$L:$L,разходи!$E:$E,'ПП Октомври'!$C$52,разходи!$M:$M,'ПП Октомври'!AD2)</f>
        <v>0</v>
      </c>
      <c r="AE52" s="76">
        <f>SUMIFS(разходи!$L:$L,разходи!$E:$E,'ПП Октомври'!$C$52,разходи!$M:$M,'ПП Октомври'!AE2)</f>
        <v>0</v>
      </c>
      <c r="AF52" s="74">
        <f>SUMIFS(разходи!$L:$L,разходи!$E:$E,'ПП Октомври'!$C$52,разходи!$M:$M,'ПП Октомври'!AF2)</f>
        <v>0</v>
      </c>
      <c r="AG52" s="74">
        <f>SUMIFS(разходи!$L:$L,разходи!$E:$E,'ПП Октомври'!$C$52,разходи!$M:$M,'ПП Октомври'!AG2)</f>
        <v>0</v>
      </c>
      <c r="AH52" s="74">
        <f>SUMIFS(разходи!$L:$L,разходи!$E:$E,'ПП Октомври'!$C$52,разходи!$M:$M,'ПП Октомври'!AH2)</f>
        <v>0</v>
      </c>
      <c r="AI52" s="74">
        <f>SUMIFS(разходи!$L:$L,разходи!$E:$E,'ПП Октомври'!$C$52,разходи!$M:$M,'ПП Октомври'!AI2)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3000</v>
      </c>
      <c r="E53" s="74">
        <f>SUMIFS(разходи!$L:$L,разходи!$E:$E,'ПП Октомври'!$C$57,разходи!$M:$M,'ПП Октомври'!E2)</f>
        <v>0</v>
      </c>
      <c r="F53" s="74">
        <f>SUMIFS(разходи!$L:$L,разходи!$E:$E,'ПП Октомври'!$C$57,разходи!$M:$M,'ПП Октомври'!F2)</f>
        <v>0</v>
      </c>
      <c r="G53" s="74">
        <f>SUMIFS(разходи!$L:$L,разходи!$E:$E,'ПП Октомври'!$C$57,разходи!$M:$M,'ПП Октомври'!G2)</f>
        <v>0</v>
      </c>
      <c r="H53" s="74">
        <f>SUMIFS(разходи!$L:$L,разходи!$E:$E,'ПП Октомври'!$C$57,разходи!$M:$M,'ПП Октомври'!H2)</f>
        <v>0</v>
      </c>
      <c r="I53" s="76">
        <f>SUMIFS(разходи!$L:$L,разходи!$E:$E,'ПП Октомври'!$C$57,разходи!$M:$M,'ПП Октомври'!I2)</f>
        <v>0</v>
      </c>
      <c r="J53" s="76">
        <f>SUMIFS(разходи!$L:$L,разходи!$E:$E,'ПП Октомври'!$C$57,разходи!$M:$M,'ПП Октомври'!J2)</f>
        <v>0</v>
      </c>
      <c r="K53" s="74">
        <f>SUMIFS(разходи!$L:$L,разходи!$E:$E,'ПП Октомври'!$C$57,разходи!$M:$M,'ПП Октомври'!K2)</f>
        <v>0</v>
      </c>
      <c r="L53" s="74">
        <f>SUMIFS(разходи!$L:$L,разходи!$E:$E,'ПП Октомври'!$C$57,разходи!$M:$M,'ПП Октомври'!L2)</f>
        <v>0</v>
      </c>
      <c r="M53" s="74">
        <f>SUMIFS(разходи!$L:$L,разходи!$E:$E,'ПП Октомври'!$C$57,разходи!$M:$M,'ПП Октомври'!M2)</f>
        <v>0</v>
      </c>
      <c r="N53" s="74">
        <f>SUMIFS(разходи!$L:$L,разходи!$E:$E,'ПП Октомври'!$C$57,разходи!$M:$M,'ПП Октомври'!N2)</f>
        <v>0</v>
      </c>
      <c r="O53" s="74">
        <f>SUMIFS(разходи!$L:$L,разходи!$E:$E,'ПП Октомври'!$C$57,разходи!$M:$M,'ПП Октомври'!O2)</f>
        <v>0</v>
      </c>
      <c r="P53" s="76">
        <f>SUMIFS(разходи!$L:$L,разходи!$E:$E,'ПП Октомври'!$C$57,разходи!$M:$M,'ПП Октомври'!P2)</f>
        <v>0</v>
      </c>
      <c r="Q53" s="76">
        <f>SUMIFS(разходи!$L:$L,разходи!$E:$E,'ПП Октомври'!$C$57,разходи!$M:$M,'ПП Октомври'!Q2)</f>
        <v>0</v>
      </c>
      <c r="R53" s="74">
        <f>SUMIFS(разходи!$L:$L,разходи!$E:$E,'ПП Октомври'!$C$57,разходи!$M:$M,'ПП Октомври'!R2)</f>
        <v>0</v>
      </c>
      <c r="S53" s="74">
        <f>SUMIFS(разходи!$L:$L,разходи!$E:$E,'ПП Октомври'!$C$57,разходи!$M:$M,'ПП Октомври'!S2)</f>
        <v>0</v>
      </c>
      <c r="T53" s="74">
        <f>SUMIFS(разходи!$L:$L,разходи!$E:$E,'ПП Октомври'!$C$57,разходи!$M:$M,'ПП Октомври'!T2)</f>
        <v>0</v>
      </c>
      <c r="U53" s="74">
        <f>SUMIFS(разходи!$L:$L,разходи!$E:$E,'ПП Октомври'!$C$57,разходи!$M:$M,'ПП Октомври'!U2)</f>
        <v>0</v>
      </c>
      <c r="V53" s="74">
        <f>SUMIFS(разходи!$L:$L,разходи!$E:$E,'ПП Октомври'!$C$57,разходи!$M:$M,'ПП Октомври'!V2)</f>
        <v>0</v>
      </c>
      <c r="W53" s="76">
        <f>SUMIFS(разходи!$L:$L,разходи!$E:$E,'ПП Октомври'!$C$57,разходи!$M:$M,'ПП Октомври'!W2)</f>
        <v>0</v>
      </c>
      <c r="X53" s="76">
        <f>SUMIFS(разходи!$L:$L,разходи!$E:$E,'ПП Октомври'!$C$57,разходи!$M:$M,'ПП Октомври'!X2)</f>
        <v>0</v>
      </c>
      <c r="Y53" s="74">
        <f>SUMIFS(разходи!$L:$L,разходи!$E:$E,'ПП Октомври'!$C$57,разходи!$M:$M,'ПП Октомври'!Y2)</f>
        <v>0</v>
      </c>
      <c r="Z53" s="74">
        <f>SUMIFS(разходи!$L:$L,разходи!$E:$E,'ПП Октомври'!$C$57,разходи!$M:$M,'ПП Октомври'!Z2)</f>
        <v>0</v>
      </c>
      <c r="AA53" s="74">
        <f>SUMIFS(разходи!$L:$L,разходи!$E:$E,'ПП Октомври'!$C$57,разходи!$M:$M,'ПП Октомври'!AA2)</f>
        <v>0</v>
      </c>
      <c r="AB53" s="74">
        <f>SUMIFS(разходи!$L:$L,разходи!$E:$E,'ПП Октомври'!$C$57,разходи!$M:$M,'ПП Октомври'!AB2)</f>
        <v>0</v>
      </c>
      <c r="AC53" s="74">
        <f>SUMIFS(разходи!$L:$L,разходи!$E:$E,'ПП Октомври'!$C$57,разходи!$M:$M,'ПП Октомври'!AC2)</f>
        <v>0</v>
      </c>
      <c r="AD53" s="76">
        <f>SUMIFS(разходи!$L:$L,разходи!$E:$E,'ПП Октомври'!$C$57,разходи!$M:$M,'ПП Октомври'!AD2)</f>
        <v>0</v>
      </c>
      <c r="AE53" s="76">
        <f>SUMIFS(разходи!$L:$L,разходи!$E:$E,'ПП Октомври'!$C$57,разходи!$M:$M,'ПП Октомври'!AE2)</f>
        <v>0</v>
      </c>
      <c r="AF53" s="74">
        <f>SUMIFS(разходи!$L:$L,разходи!$E:$E,'ПП Октомври'!$C$57,разходи!$M:$M,'ПП Октомври'!AF2)</f>
        <v>0</v>
      </c>
      <c r="AG53" s="74">
        <f>SUMIFS(разходи!$L:$L,разходи!$E:$E,'ПП Октомври'!$C$57,разходи!$M:$M,'ПП Октомври'!AG2)</f>
        <v>0</v>
      </c>
      <c r="AH53" s="74">
        <f>SUMIFS(разходи!$L:$L,разходи!$E:$E,'ПП Октомври'!$C$57,разходи!$M:$M,'ПП Октомври'!AH2)</f>
        <v>0</v>
      </c>
      <c r="AI53" s="74">
        <f>SUMIFS(разходи!$L:$L,разходи!$E:$E,'ПП Октомври'!$C$57,разходи!$M:$M,'ПП Октомври'!AI2)</f>
        <v>0</v>
      </c>
      <c r="AJ53" s="61">
        <f t="shared" si="16"/>
        <v>0</v>
      </c>
      <c r="AK53" s="69">
        <f t="shared" si="3"/>
        <v>3000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Октомври'!$C$54,разходи!$M:$M,'ПП Октомври'!E2)</f>
        <v>0</v>
      </c>
      <c r="F54" s="74">
        <f>SUMIFS(разходи!$L:$L,разходи!$E:$E,'ПП Октомври'!$C$54,разходи!$M:$M,'ПП Октомври'!F2)</f>
        <v>0</v>
      </c>
      <c r="G54" s="74">
        <f>SUMIFS(разходи!$L:$L,разходи!$E:$E,'ПП Октомври'!$C$54,разходи!$M:$M,'ПП Октомври'!G2)</f>
        <v>0</v>
      </c>
      <c r="H54" s="74">
        <f>SUMIFS(разходи!$L:$L,разходи!$E:$E,'ПП Октомври'!$C$54,разходи!$M:$M,'ПП Октомври'!H2)</f>
        <v>0</v>
      </c>
      <c r="I54" s="76">
        <f>SUMIFS(разходи!$L:$L,разходи!$E:$E,'ПП Октомври'!$C$54,разходи!$M:$M,'ПП Октомври'!I2)</f>
        <v>0</v>
      </c>
      <c r="J54" s="76">
        <f>SUMIFS(разходи!$L:$L,разходи!$E:$E,'ПП Октомври'!$C$54,разходи!$M:$M,'ПП Октомври'!J2)</f>
        <v>0</v>
      </c>
      <c r="K54" s="74">
        <f>SUMIFS(разходи!$L:$L,разходи!$E:$E,'ПП Октомври'!$C$54,разходи!$M:$M,'ПП Октомври'!K2)</f>
        <v>0</v>
      </c>
      <c r="L54" s="74">
        <f>SUMIFS(разходи!$L:$L,разходи!$E:$E,'ПП Октомври'!$C$54,разходи!$M:$M,'ПП Октомври'!L2)</f>
        <v>0</v>
      </c>
      <c r="M54" s="74">
        <f>SUMIFS(разходи!$L:$L,разходи!$E:$E,'ПП Октомври'!$C$54,разходи!$M:$M,'ПП Октомври'!M2)</f>
        <v>0</v>
      </c>
      <c r="N54" s="74">
        <f>SUMIFS(разходи!$L:$L,разходи!$E:$E,'ПП Октомври'!$C$54,разходи!$M:$M,'ПП Октомври'!N2)</f>
        <v>0</v>
      </c>
      <c r="O54" s="74">
        <f>SUMIFS(разходи!$L:$L,разходи!$E:$E,'ПП Октомври'!$C$54,разходи!$M:$M,'ПП Октомври'!O2)</f>
        <v>0</v>
      </c>
      <c r="P54" s="76">
        <f>SUMIFS(разходи!$L:$L,разходи!$E:$E,'ПП Октомври'!$C$54,разходи!$M:$M,'ПП Октомври'!P2)</f>
        <v>0</v>
      </c>
      <c r="Q54" s="76">
        <f>SUMIFS(разходи!$L:$L,разходи!$E:$E,'ПП Октомври'!$C$54,разходи!$M:$M,'ПП Октомври'!Q2)</f>
        <v>0</v>
      </c>
      <c r="R54" s="74">
        <f>SUMIFS(разходи!$L:$L,разходи!$E:$E,'ПП Октомври'!$C$54,разходи!$M:$M,'ПП Октомври'!R2)</f>
        <v>0</v>
      </c>
      <c r="S54" s="74">
        <f>SUMIFS(разходи!$L:$L,разходи!$E:$E,'ПП Октомври'!$C$54,разходи!$M:$M,'ПП Октомври'!S2)</f>
        <v>0</v>
      </c>
      <c r="T54" s="74">
        <f>SUMIFS(разходи!$L:$L,разходи!$E:$E,'ПП Октомври'!$C$54,разходи!$M:$M,'ПП Октомври'!T2)</f>
        <v>0</v>
      </c>
      <c r="U54" s="74">
        <f>SUMIFS(разходи!$L:$L,разходи!$E:$E,'ПП Октомври'!$C$54,разходи!$M:$M,'ПП Октомври'!U2)</f>
        <v>0</v>
      </c>
      <c r="V54" s="74">
        <f>SUMIFS(разходи!$L:$L,разходи!$E:$E,'ПП Октомври'!$C$54,разходи!$M:$M,'ПП Октомври'!V2)</f>
        <v>0</v>
      </c>
      <c r="W54" s="76">
        <f>SUMIFS(разходи!$L:$L,разходи!$E:$E,'ПП Октомври'!$C$54,разходи!$M:$M,'ПП Октомври'!W2)</f>
        <v>0</v>
      </c>
      <c r="X54" s="76">
        <f>SUMIFS(разходи!$L:$L,разходи!$E:$E,'ПП Октомври'!$C$54,разходи!$M:$M,'ПП Октомври'!X2)</f>
        <v>0</v>
      </c>
      <c r="Y54" s="74">
        <f>SUMIFS(разходи!$L:$L,разходи!$E:$E,'ПП Октомври'!$C$54,разходи!$M:$M,'ПП Октомври'!Y2)</f>
        <v>0</v>
      </c>
      <c r="Z54" s="74">
        <f>SUMIFS(разходи!$L:$L,разходи!$E:$E,'ПП Октомври'!$C$54,разходи!$M:$M,'ПП Октомври'!Z2)</f>
        <v>0</v>
      </c>
      <c r="AA54" s="74">
        <f>SUMIFS(разходи!$L:$L,разходи!$E:$E,'ПП Октомври'!$C$54,разходи!$M:$M,'ПП Октомври'!AA2)</f>
        <v>0</v>
      </c>
      <c r="AB54" s="74">
        <f>SUMIFS(разходи!$L:$L,разходи!$E:$E,'ПП Октомври'!$C$54,разходи!$M:$M,'ПП Октомври'!AB2)</f>
        <v>0</v>
      </c>
      <c r="AC54" s="74">
        <f>SUMIFS(разходи!$L:$L,разходи!$E:$E,'ПП Октомври'!$C$54,разходи!$M:$M,'ПП Октомври'!AC2)</f>
        <v>0</v>
      </c>
      <c r="AD54" s="76">
        <f>SUMIFS(разходи!$L:$L,разходи!$E:$E,'ПП Октомври'!$C$54,разходи!$M:$M,'ПП Октомври'!AD2)</f>
        <v>0</v>
      </c>
      <c r="AE54" s="76">
        <f>SUMIFS(разходи!$L:$L,разходи!$E:$E,'ПП Октомври'!$C$54,разходи!$M:$M,'ПП Октомври'!AE2)</f>
        <v>0</v>
      </c>
      <c r="AF54" s="74">
        <f>SUMIFS(разходи!$L:$L,разходи!$E:$E,'ПП Октомври'!$C$54,разходи!$M:$M,'ПП Октомври'!AF2)</f>
        <v>0</v>
      </c>
      <c r="AG54" s="74">
        <f>SUMIFS(разходи!$L:$L,разходи!$E:$E,'ПП Октомври'!$C$54,разходи!$M:$M,'ПП Октомври'!AG2)</f>
        <v>0</v>
      </c>
      <c r="AH54" s="74">
        <f>SUMIFS(разходи!$L:$L,разходи!$E:$E,'ПП Октомври'!$C$54,разходи!$M:$M,'ПП Октомври'!AH2)</f>
        <v>0</v>
      </c>
      <c r="AI54" s="74">
        <f>SUMIFS(разходи!$L:$L,разходи!$E:$E,'ПП Октомври'!$C$54,разходи!$M:$M,'ПП Октомври'!AI2)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4">
        <f>SUMIFS(разходи!$L:$L,разходи!$E:$E,'ПП Октомври'!$C$55,разходи!$M:$M,'ПП Октомври'!E2)</f>
        <v>0</v>
      </c>
      <c r="F55" s="74">
        <f>SUMIFS(разходи!$L:$L,разходи!$E:$E,'ПП Октомври'!$C$55,разходи!$M:$M,'ПП Октомври'!F2)</f>
        <v>0</v>
      </c>
      <c r="G55" s="74">
        <f>SUMIFS(разходи!$L:$L,разходи!$E:$E,'ПП Октомври'!$C$55,разходи!$M:$M,'ПП Октомври'!G2)</f>
        <v>0</v>
      </c>
      <c r="H55" s="74">
        <f>SUMIFS(разходи!$L:$L,разходи!$E:$E,'ПП Октомври'!$C$55,разходи!$M:$M,'ПП Октомври'!H2)</f>
        <v>0</v>
      </c>
      <c r="I55" s="76">
        <f>SUMIFS(разходи!$L:$L,разходи!$E:$E,'ПП Октомври'!$C$55,разходи!$M:$M,'ПП Октомври'!I2)</f>
        <v>0</v>
      </c>
      <c r="J55" s="76">
        <f>SUMIFS(разходи!$L:$L,разходи!$E:$E,'ПП Октомври'!$C$55,разходи!$M:$M,'ПП Октомври'!J2)</f>
        <v>0</v>
      </c>
      <c r="K55" s="74">
        <f>SUMIFS(разходи!$L:$L,разходи!$E:$E,'ПП Октомври'!$C$55,разходи!$M:$M,'ПП Октомври'!K2)</f>
        <v>0</v>
      </c>
      <c r="L55" s="74">
        <f>SUMIFS(разходи!$L:$L,разходи!$E:$E,'ПП Октомври'!$C$55,разходи!$M:$M,'ПП Октомври'!L2)</f>
        <v>0</v>
      </c>
      <c r="M55" s="74">
        <f>SUMIFS(разходи!$L:$L,разходи!$E:$E,'ПП Октомври'!$C$55,разходи!$M:$M,'ПП Октомври'!M2)</f>
        <v>0</v>
      </c>
      <c r="N55" s="74">
        <f>SUMIFS(разходи!$L:$L,разходи!$E:$E,'ПП Октомври'!$C$55,разходи!$M:$M,'ПП Октомври'!N2)</f>
        <v>0</v>
      </c>
      <c r="O55" s="74">
        <f>SUMIFS(разходи!$L:$L,разходи!$E:$E,'ПП Октомври'!$C$55,разходи!$M:$M,'ПП Октомври'!O2)</f>
        <v>0</v>
      </c>
      <c r="P55" s="76">
        <f>SUMIFS(разходи!$L:$L,разходи!$E:$E,'ПП Октомври'!$C$55,разходи!$M:$M,'ПП Октомври'!P2)</f>
        <v>0</v>
      </c>
      <c r="Q55" s="76">
        <f>SUMIFS(разходи!$L:$L,разходи!$E:$E,'ПП Октомври'!$C$55,разходи!$M:$M,'ПП Октомври'!Q2)</f>
        <v>0</v>
      </c>
      <c r="R55" s="74">
        <f>SUMIFS(разходи!$L:$L,разходи!$E:$E,'ПП Октомври'!$C$55,разходи!$M:$M,'ПП Октомври'!R2)</f>
        <v>0</v>
      </c>
      <c r="S55" s="74">
        <f>SUMIFS(разходи!$L:$L,разходи!$E:$E,'ПП Октомври'!$C$55,разходи!$M:$M,'ПП Октомври'!S2)</f>
        <v>0</v>
      </c>
      <c r="T55" s="74">
        <f>SUMIFS(разходи!$L:$L,разходи!$E:$E,'ПП Октомври'!$C$55,разходи!$M:$M,'ПП Октомври'!T2)</f>
        <v>0</v>
      </c>
      <c r="U55" s="74">
        <f>SUMIFS(разходи!$L:$L,разходи!$E:$E,'ПП Октомври'!$C$55,разходи!$M:$M,'ПП Октомври'!U2)</f>
        <v>0</v>
      </c>
      <c r="V55" s="74">
        <f>SUMIFS(разходи!$L:$L,разходи!$E:$E,'ПП Октомври'!$C$55,разходи!$M:$M,'ПП Октомври'!V2)</f>
        <v>0</v>
      </c>
      <c r="W55" s="76">
        <f>SUMIFS(разходи!$L:$L,разходи!$E:$E,'ПП Октомври'!$C$55,разходи!$M:$M,'ПП Октомври'!W2)</f>
        <v>0</v>
      </c>
      <c r="X55" s="76">
        <f>SUMIFS(разходи!$L:$L,разходи!$E:$E,'ПП Октомври'!$C$55,разходи!$M:$M,'ПП Октомври'!X2)</f>
        <v>0</v>
      </c>
      <c r="Y55" s="74">
        <f>SUMIFS(разходи!$L:$L,разходи!$E:$E,'ПП Октомври'!$C$55,разходи!$M:$M,'ПП Октомври'!Y2)</f>
        <v>0</v>
      </c>
      <c r="Z55" s="74">
        <f>SUMIFS(разходи!$L:$L,разходи!$E:$E,'ПП Октомври'!$C$55,разходи!$M:$M,'ПП Октомври'!Z2)</f>
        <v>0</v>
      </c>
      <c r="AA55" s="74">
        <f>SUMIFS(разходи!$L:$L,разходи!$E:$E,'ПП Октомври'!$C$55,разходи!$M:$M,'ПП Октомври'!AA2)</f>
        <v>0</v>
      </c>
      <c r="AB55" s="74">
        <f>SUMIFS(разходи!$L:$L,разходи!$E:$E,'ПП Октомври'!$C$55,разходи!$M:$M,'ПП Октомври'!AB2)</f>
        <v>0</v>
      </c>
      <c r="AC55" s="74">
        <f>SUMIFS(разходи!$L:$L,разходи!$E:$E,'ПП Октомври'!$C$55,разходи!$M:$M,'ПП Октомври'!AC2)</f>
        <v>0</v>
      </c>
      <c r="AD55" s="76">
        <f>SUMIFS(разходи!$L:$L,разходи!$E:$E,'ПП Октомври'!$C$55,разходи!$M:$M,'ПП Октомври'!AD2)</f>
        <v>0</v>
      </c>
      <c r="AE55" s="76">
        <f>SUMIFS(разходи!$L:$L,разходи!$E:$E,'ПП Октомври'!$C$55,разходи!$M:$M,'ПП Октомври'!AE2)</f>
        <v>0</v>
      </c>
      <c r="AF55" s="74">
        <f>SUMIFS(разходи!$L:$L,разходи!$E:$E,'ПП Октомври'!$C$55,разходи!$M:$M,'ПП Октомври'!AF2)</f>
        <v>0</v>
      </c>
      <c r="AG55" s="74">
        <f>SUMIFS(разходи!$L:$L,разходи!$E:$E,'ПП Октомври'!$C$55,разходи!$M:$M,'ПП Октомври'!AG2)</f>
        <v>0</v>
      </c>
      <c r="AH55" s="74">
        <f>SUMIFS(разходи!$L:$L,разходи!$E:$E,'ПП Октомври'!$C$55,разходи!$M:$M,'ПП Октомври'!AH2)</f>
        <v>0</v>
      </c>
      <c r="AI55" s="74">
        <f>SUMIFS(разходи!$L:$L,разходи!$E:$E,'ПП Октомври'!$C$55,разходи!$M:$M,'ПП Октомври'!AI2)</f>
        <v>0</v>
      </c>
      <c r="AJ55" s="61">
        <f t="shared" si="16"/>
        <v>0</v>
      </c>
      <c r="AK55" s="69">
        <f t="shared" si="3"/>
        <v>3000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80"/>
      <c r="E56" s="74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6">
        <f t="shared" si="21"/>
        <v>0</v>
      </c>
      <c r="J56" s="76">
        <f t="shared" si="21"/>
        <v>0</v>
      </c>
      <c r="K56" s="74">
        <f t="shared" si="21"/>
        <v>0</v>
      </c>
      <c r="L56" s="74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6">
        <f t="shared" si="21"/>
        <v>0</v>
      </c>
      <c r="Q56" s="76">
        <f t="shared" si="21"/>
        <v>0</v>
      </c>
      <c r="R56" s="74">
        <f t="shared" si="21"/>
        <v>0</v>
      </c>
      <c r="S56" s="74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6">
        <f t="shared" si="21"/>
        <v>0</v>
      </c>
      <c r="X56" s="76">
        <f t="shared" si="21"/>
        <v>0</v>
      </c>
      <c r="Y56" s="74">
        <f t="shared" si="21"/>
        <v>0</v>
      </c>
      <c r="Z56" s="74">
        <f t="shared" si="21"/>
        <v>0</v>
      </c>
      <c r="AA56" s="74">
        <f t="shared" si="21"/>
        <v>0</v>
      </c>
      <c r="AB56" s="74">
        <f t="shared" si="21"/>
        <v>0</v>
      </c>
      <c r="AC56" s="74">
        <f t="shared" si="21"/>
        <v>0</v>
      </c>
      <c r="AD56" s="76">
        <f t="shared" si="21"/>
        <v>0</v>
      </c>
      <c r="AE56" s="76">
        <f t="shared" si="21"/>
        <v>0</v>
      </c>
      <c r="AF56" s="74">
        <f t="shared" si="21"/>
        <v>0</v>
      </c>
      <c r="AG56" s="74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0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Октомври'!$C$57,разходи!$M:$M,'ПП Октомври'!E2)</f>
        <v>0</v>
      </c>
      <c r="F57" s="74">
        <f>SUMIFS(разходи!$L:$L,разходи!$E:$E,'ПП Октомври'!$C$57,разходи!$M:$M,'ПП Октомври'!F2)</f>
        <v>0</v>
      </c>
      <c r="G57" s="74">
        <f>SUMIFS(разходи!$L:$L,разходи!$E:$E,'ПП Октомври'!$C$57,разходи!$M:$M,'ПП Октомври'!G2)</f>
        <v>0</v>
      </c>
      <c r="H57" s="74">
        <f>SUMIFS(разходи!$L:$L,разходи!$E:$E,'ПП Октомври'!$C$57,разходи!$M:$M,'ПП Октомври'!H2)</f>
        <v>0</v>
      </c>
      <c r="I57" s="76">
        <f>SUMIFS(разходи!$L:$L,разходи!$E:$E,'ПП Октомври'!$C$57,разходи!$M:$M,'ПП Октомври'!I2)</f>
        <v>0</v>
      </c>
      <c r="J57" s="76">
        <f>SUMIFS(разходи!$L:$L,разходи!$E:$E,'ПП Октомври'!$C$57,разходи!$M:$M,'ПП Октомври'!J2)</f>
        <v>0</v>
      </c>
      <c r="K57" s="74">
        <f>SUMIFS(разходи!$L:$L,разходи!$E:$E,'ПП Октомври'!$C$57,разходи!$M:$M,'ПП Октомври'!K2)</f>
        <v>0</v>
      </c>
      <c r="L57" s="74">
        <f>SUMIFS(разходи!$L:$L,разходи!$E:$E,'ПП Октомври'!$C$57,разходи!$M:$M,'ПП Октомври'!L2)</f>
        <v>0</v>
      </c>
      <c r="M57" s="74">
        <f>SUMIFS(разходи!$L:$L,разходи!$E:$E,'ПП Октомври'!$C$57,разходи!$M:$M,'ПП Октомври'!M2)</f>
        <v>0</v>
      </c>
      <c r="N57" s="74">
        <f>SUMIFS(разходи!$L:$L,разходи!$E:$E,'ПП Октомври'!$C$57,разходи!$M:$M,'ПП Октомври'!N2)</f>
        <v>0</v>
      </c>
      <c r="O57" s="74">
        <f>SUMIFS(разходи!$L:$L,разходи!$E:$E,'ПП Октомври'!$C$57,разходи!$M:$M,'ПП Октомври'!O2)</f>
        <v>0</v>
      </c>
      <c r="P57" s="76">
        <f>SUMIFS(разходи!$L:$L,разходи!$E:$E,'ПП Октомври'!$C$57,разходи!$M:$M,'ПП Октомври'!P2)</f>
        <v>0</v>
      </c>
      <c r="Q57" s="76">
        <f>SUMIFS(разходи!$L:$L,разходи!$E:$E,'ПП Октомври'!$C$57,разходи!$M:$M,'ПП Октомври'!Q2)</f>
        <v>0</v>
      </c>
      <c r="R57" s="74">
        <f>SUMIFS(разходи!$L:$L,разходи!$E:$E,'ПП Октомври'!$C$57,разходи!$M:$M,'ПП Октомври'!R2)</f>
        <v>0</v>
      </c>
      <c r="S57" s="74">
        <f>SUMIFS(разходи!$L:$L,разходи!$E:$E,'ПП Октомври'!$C$57,разходи!$M:$M,'ПП Октомври'!S2)</f>
        <v>0</v>
      </c>
      <c r="T57" s="74">
        <f>SUMIFS(разходи!$L:$L,разходи!$E:$E,'ПП Октомври'!$C$57,разходи!$M:$M,'ПП Октомври'!T2)</f>
        <v>0</v>
      </c>
      <c r="U57" s="74">
        <f>SUMIFS(разходи!$L:$L,разходи!$E:$E,'ПП Октомври'!$C$57,разходи!$M:$M,'ПП Октомври'!U2)</f>
        <v>0</v>
      </c>
      <c r="V57" s="74">
        <f>SUMIFS(разходи!$L:$L,разходи!$E:$E,'ПП Октомври'!$C$57,разходи!$M:$M,'ПП Октомври'!V2)</f>
        <v>0</v>
      </c>
      <c r="W57" s="76">
        <f>SUMIFS(разходи!$L:$L,разходи!$E:$E,'ПП Октомври'!$C$57,разходи!$M:$M,'ПП Октомври'!W2)</f>
        <v>0</v>
      </c>
      <c r="X57" s="76">
        <f>SUMIFS(разходи!$L:$L,разходи!$E:$E,'ПП Октомври'!$C$57,разходи!$M:$M,'ПП Октомври'!X2)</f>
        <v>0</v>
      </c>
      <c r="Y57" s="74">
        <f>SUMIFS(разходи!$L:$L,разходи!$E:$E,'ПП Октомври'!$C$57,разходи!$M:$M,'ПП Октомври'!Y2)</f>
        <v>0</v>
      </c>
      <c r="Z57" s="74">
        <f>SUMIFS(разходи!$L:$L,разходи!$E:$E,'ПП Октомври'!$C$57,разходи!$M:$M,'ПП Октомври'!Z2)</f>
        <v>0</v>
      </c>
      <c r="AA57" s="74">
        <f>SUMIFS(разходи!$L:$L,разходи!$E:$E,'ПП Октомври'!$C$57,разходи!$M:$M,'ПП Октомври'!AA2)</f>
        <v>0</v>
      </c>
      <c r="AB57" s="74">
        <f>SUMIFS(разходи!$L:$L,разходи!$E:$E,'ПП Октомври'!$C$57,разходи!$M:$M,'ПП Октомври'!AB2)</f>
        <v>0</v>
      </c>
      <c r="AC57" s="74">
        <f>SUMIFS(разходи!$L:$L,разходи!$E:$E,'ПП Октомври'!$C$57,разходи!$M:$M,'ПП Октомври'!AC2)</f>
        <v>0</v>
      </c>
      <c r="AD57" s="76">
        <f>SUMIFS(разходи!$L:$L,разходи!$E:$E,'ПП Октомври'!$C$57,разходи!$M:$M,'ПП Октомври'!AD2)</f>
        <v>0</v>
      </c>
      <c r="AE57" s="76">
        <f>SUMIFS(разходи!$L:$L,разходи!$E:$E,'ПП Октомври'!$C$57,разходи!$M:$M,'ПП Октомври'!AE2)</f>
        <v>0</v>
      </c>
      <c r="AF57" s="74">
        <f>SUMIFS(разходи!$L:$L,разходи!$E:$E,'ПП Октомври'!$C$57,разходи!$M:$M,'ПП Октомври'!AF2)</f>
        <v>0</v>
      </c>
      <c r="AG57" s="74">
        <f>SUMIFS(разходи!$L:$L,разходи!$E:$E,'ПП Октомври'!$C$57,разходи!$M:$M,'ПП Октомври'!AG2)</f>
        <v>0</v>
      </c>
      <c r="AH57" s="74">
        <f>SUMIFS(разходи!$L:$L,разходи!$E:$E,'ПП Октомври'!$C$57,разходи!$M:$M,'ПП Октомври'!AH2)</f>
        <v>0</v>
      </c>
      <c r="AI57" s="74">
        <f>SUMIFS(разходи!$L:$L,разходи!$E:$E,'ПП Октомври'!$C$57,разходи!$M:$M,'ПП Октомври'!AI2)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>
        <v>1600</v>
      </c>
      <c r="E58" s="74">
        <f>SUMIFS(разходи!$L:$L,разходи!$E:$E,'ПП Октомври'!$C$58,разходи!$M:$M,'ПП Октомври'!E2)</f>
        <v>0</v>
      </c>
      <c r="F58" s="74">
        <f>SUMIFS(разходи!$L:$L,разходи!$E:$E,'ПП Октомври'!$C$58,разходи!$M:$M,'ПП Октомври'!F2)</f>
        <v>0</v>
      </c>
      <c r="G58" s="74">
        <f>SUMIFS(разходи!$L:$L,разходи!$E:$E,'ПП Октомври'!$C$58,разходи!$M:$M,'ПП Октомври'!G2)</f>
        <v>0</v>
      </c>
      <c r="H58" s="74">
        <f>SUMIFS(разходи!$L:$L,разходи!$E:$E,'ПП Октомври'!$C$58,разходи!$M:$M,'ПП Октомври'!H2)</f>
        <v>0</v>
      </c>
      <c r="I58" s="76">
        <f>SUMIFS(разходи!$L:$L,разходи!$E:$E,'ПП Октомври'!$C$58,разходи!$M:$M,'ПП Октомври'!I2)</f>
        <v>0</v>
      </c>
      <c r="J58" s="76">
        <f>SUMIFS(разходи!$L:$L,разходи!$E:$E,'ПП Октомври'!$C$58,разходи!$M:$M,'ПП Октомври'!J2)</f>
        <v>0</v>
      </c>
      <c r="K58" s="74">
        <f>SUMIFS(разходи!$L:$L,разходи!$E:$E,'ПП Октомври'!$C$58,разходи!$M:$M,'ПП Октомври'!K2)</f>
        <v>0</v>
      </c>
      <c r="L58" s="74">
        <f>SUMIFS(разходи!$L:$L,разходи!$E:$E,'ПП Октомври'!$C$58,разходи!$M:$M,'ПП Октомври'!L2)</f>
        <v>0</v>
      </c>
      <c r="M58" s="74">
        <f>SUMIFS(разходи!$L:$L,разходи!$E:$E,'ПП Октомври'!$C$58,разходи!$M:$M,'ПП Октомври'!M2)</f>
        <v>0</v>
      </c>
      <c r="N58" s="74">
        <f>SUMIFS(разходи!$L:$L,разходи!$E:$E,'ПП Октомври'!$C$58,разходи!$M:$M,'ПП Октомври'!N2)</f>
        <v>0</v>
      </c>
      <c r="O58" s="74">
        <f>SUMIFS(разходи!$L:$L,разходи!$E:$E,'ПП Октомври'!$C$58,разходи!$M:$M,'ПП Октомври'!O2)</f>
        <v>0</v>
      </c>
      <c r="P58" s="76">
        <f>SUMIFS(разходи!$L:$L,разходи!$E:$E,'ПП Октомври'!$C$58,разходи!$M:$M,'ПП Октомври'!P2)</f>
        <v>0</v>
      </c>
      <c r="Q58" s="76">
        <f>SUMIFS(разходи!$L:$L,разходи!$E:$E,'ПП Октомври'!$C$58,разходи!$M:$M,'ПП Октомври'!Q2)</f>
        <v>0</v>
      </c>
      <c r="R58" s="74">
        <f>SUMIFS(разходи!$L:$L,разходи!$E:$E,'ПП Октомври'!$C$58,разходи!$M:$M,'ПП Октомври'!R2)</f>
        <v>0</v>
      </c>
      <c r="S58" s="74">
        <f>SUMIFS(разходи!$L:$L,разходи!$E:$E,'ПП Октомври'!$C$58,разходи!$M:$M,'ПП Октомври'!S2)</f>
        <v>0</v>
      </c>
      <c r="T58" s="74">
        <f>SUMIFS(разходи!$L:$L,разходи!$E:$E,'ПП Октомври'!$C$58,разходи!$M:$M,'ПП Октомври'!T2)</f>
        <v>0</v>
      </c>
      <c r="U58" s="74">
        <f>SUMIFS(разходи!$L:$L,разходи!$E:$E,'ПП Октомври'!$C$58,разходи!$M:$M,'ПП Октомври'!U2)</f>
        <v>0</v>
      </c>
      <c r="V58" s="74">
        <f>SUMIFS(разходи!$L:$L,разходи!$E:$E,'ПП Октомври'!$C$58,разходи!$M:$M,'ПП Октомври'!V2)</f>
        <v>0</v>
      </c>
      <c r="W58" s="76">
        <f>SUMIFS(разходи!$L:$L,разходи!$E:$E,'ПП Октомври'!$C$58,разходи!$M:$M,'ПП Октомври'!W2)</f>
        <v>0</v>
      </c>
      <c r="X58" s="76">
        <f>SUMIFS(разходи!$L:$L,разходи!$E:$E,'ПП Октомври'!$C$58,разходи!$M:$M,'ПП Октомври'!X2)</f>
        <v>0</v>
      </c>
      <c r="Y58" s="74">
        <f>SUMIFS(разходи!$L:$L,разходи!$E:$E,'ПП Октомври'!$C$58,разходи!$M:$M,'ПП Октомври'!Y2)</f>
        <v>0</v>
      </c>
      <c r="Z58" s="74">
        <f>SUMIFS(разходи!$L:$L,разходи!$E:$E,'ПП Октомври'!$C$58,разходи!$M:$M,'ПП Октомври'!Z2)</f>
        <v>0</v>
      </c>
      <c r="AA58" s="74">
        <f>SUMIFS(разходи!$L:$L,разходи!$E:$E,'ПП Октомври'!$C$58,разходи!$M:$M,'ПП Октомври'!AA2)</f>
        <v>0</v>
      </c>
      <c r="AB58" s="74">
        <f>SUMIFS(разходи!$L:$L,разходи!$E:$E,'ПП Октомври'!$C$58,разходи!$M:$M,'ПП Октомври'!AB2)</f>
        <v>0</v>
      </c>
      <c r="AC58" s="74">
        <f>SUMIFS(разходи!$L:$L,разходи!$E:$E,'ПП Октомври'!$C$58,разходи!$M:$M,'ПП Октомври'!AC2)</f>
        <v>0</v>
      </c>
      <c r="AD58" s="76">
        <f>SUMIFS(разходи!$L:$L,разходи!$E:$E,'ПП Октомври'!$C$58,разходи!$M:$M,'ПП Октомври'!AD2)</f>
        <v>0</v>
      </c>
      <c r="AE58" s="76">
        <f>SUMIFS(разходи!$L:$L,разходи!$E:$E,'ПП Октомври'!$C$58,разходи!$M:$M,'ПП Октомври'!AE2)</f>
        <v>0</v>
      </c>
      <c r="AF58" s="74">
        <f>SUMIFS(разходи!$L:$L,разходи!$E:$E,'ПП Октомври'!$C$58,разходи!$M:$M,'ПП Октомври'!AF2)</f>
        <v>0</v>
      </c>
      <c r="AG58" s="74">
        <f>SUMIFS(разходи!$L:$L,разходи!$E:$E,'ПП Октомври'!$C$58,разходи!$M:$M,'ПП Октомври'!AG2)</f>
        <v>0</v>
      </c>
      <c r="AH58" s="74">
        <f>SUMIFS(разходи!$L:$L,разходи!$E:$E,'ПП Октомври'!$C$58,разходи!$M:$M,'ПП Октомври'!AH2)</f>
        <v>0</v>
      </c>
      <c r="AI58" s="74">
        <f>SUMIFS(разходи!$L:$L,разходи!$E:$E,'ПП Октомври'!$C$58,разходи!$M:$M,'ПП Октомври'!AI2)</f>
        <v>0</v>
      </c>
      <c r="AJ58" s="61">
        <f t="shared" si="16"/>
        <v>0</v>
      </c>
      <c r="AK58" s="69">
        <f t="shared" si="3"/>
        <v>1600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>
        <v>1600</v>
      </c>
      <c r="E59" s="74">
        <f>SUMIFS(разходи!$L:$L,разходи!$E:$E,'ПП Октомври'!$C$59,разходи!$M:$M,'ПП Октомври'!E2)</f>
        <v>0</v>
      </c>
      <c r="F59" s="74">
        <f>SUMIFS(разходи!$L:$L,разходи!$E:$E,'ПП Октомври'!$C$59,разходи!$M:$M,'ПП Октомври'!F2)</f>
        <v>0</v>
      </c>
      <c r="G59" s="74">
        <f>SUMIFS(разходи!$L:$L,разходи!$E:$E,'ПП Октомври'!$C$59,разходи!$M:$M,'ПП Октомври'!G2)</f>
        <v>0</v>
      </c>
      <c r="H59" s="74">
        <f>SUMIFS(разходи!$L:$L,разходи!$E:$E,'ПП Октомври'!$C$59,разходи!$M:$M,'ПП Октомври'!H2)</f>
        <v>0</v>
      </c>
      <c r="I59" s="76">
        <f>SUMIFS(разходи!$L:$L,разходи!$E:$E,'ПП Октомври'!$C$59,разходи!$M:$M,'ПП Октомври'!I2)</f>
        <v>0</v>
      </c>
      <c r="J59" s="76">
        <f>SUMIFS(разходи!$L:$L,разходи!$E:$E,'ПП Октомври'!$C$59,разходи!$M:$M,'ПП Октомври'!J2)</f>
        <v>0</v>
      </c>
      <c r="K59" s="74">
        <f>SUMIFS(разходи!$L:$L,разходи!$E:$E,'ПП Октомври'!$C$59,разходи!$M:$M,'ПП Октомври'!K2)</f>
        <v>0</v>
      </c>
      <c r="L59" s="74">
        <f>SUMIFS(разходи!$L:$L,разходи!$E:$E,'ПП Октомври'!$C$59,разходи!$M:$M,'ПП Октомври'!L2)</f>
        <v>0</v>
      </c>
      <c r="M59" s="74">
        <f>SUMIFS(разходи!$L:$L,разходи!$E:$E,'ПП Октомври'!$C$59,разходи!$M:$M,'ПП Октомври'!M2)</f>
        <v>0</v>
      </c>
      <c r="N59" s="74">
        <f>SUMIFS(разходи!$L:$L,разходи!$E:$E,'ПП Октомври'!$C$59,разходи!$M:$M,'ПП Октомври'!N2)</f>
        <v>0</v>
      </c>
      <c r="O59" s="74">
        <f>SUMIFS(разходи!$L:$L,разходи!$E:$E,'ПП Октомври'!$C$59,разходи!$M:$M,'ПП Октомври'!O2)</f>
        <v>0</v>
      </c>
      <c r="P59" s="76">
        <f>SUMIFS(разходи!$L:$L,разходи!$E:$E,'ПП Октомври'!$C$59,разходи!$M:$M,'ПП Октомври'!P2)</f>
        <v>0</v>
      </c>
      <c r="Q59" s="76">
        <f>SUMIFS(разходи!$L:$L,разходи!$E:$E,'ПП Октомври'!$C$59,разходи!$M:$M,'ПП Октомври'!Q2)</f>
        <v>0</v>
      </c>
      <c r="R59" s="74">
        <f>SUMIFS(разходи!$L:$L,разходи!$E:$E,'ПП Октомври'!$C$59,разходи!$M:$M,'ПП Октомври'!R2)</f>
        <v>0</v>
      </c>
      <c r="S59" s="74">
        <f>SUMIFS(разходи!$L:$L,разходи!$E:$E,'ПП Октомври'!$C$59,разходи!$M:$M,'ПП Октомври'!S2)</f>
        <v>0</v>
      </c>
      <c r="T59" s="74">
        <f>SUMIFS(разходи!$L:$L,разходи!$E:$E,'ПП Октомври'!$C$59,разходи!$M:$M,'ПП Октомври'!T2)</f>
        <v>0</v>
      </c>
      <c r="U59" s="74">
        <f>SUMIFS(разходи!$L:$L,разходи!$E:$E,'ПП Октомври'!$C$59,разходи!$M:$M,'ПП Октомври'!U2)</f>
        <v>0</v>
      </c>
      <c r="V59" s="74">
        <f>SUMIFS(разходи!$L:$L,разходи!$E:$E,'ПП Октомври'!$C$59,разходи!$M:$M,'ПП Октомври'!V2)</f>
        <v>0</v>
      </c>
      <c r="W59" s="76">
        <f>SUMIFS(разходи!$L:$L,разходи!$E:$E,'ПП Октомври'!$C$59,разходи!$M:$M,'ПП Октомври'!W2)</f>
        <v>0</v>
      </c>
      <c r="X59" s="76">
        <f>SUMIFS(разходи!$L:$L,разходи!$E:$E,'ПП Октомври'!$C$59,разходи!$M:$M,'ПП Октомври'!X2)</f>
        <v>0</v>
      </c>
      <c r="Y59" s="74">
        <f>SUMIFS(разходи!$L:$L,разходи!$E:$E,'ПП Октомври'!$C$59,разходи!$M:$M,'ПП Октомври'!Y2)</f>
        <v>0</v>
      </c>
      <c r="Z59" s="74">
        <f>SUMIFS(разходи!$L:$L,разходи!$E:$E,'ПП Октомври'!$C$59,разходи!$M:$M,'ПП Октомври'!Z2)</f>
        <v>0</v>
      </c>
      <c r="AA59" s="74">
        <f>SUMIFS(разходи!$L:$L,разходи!$E:$E,'ПП Октомври'!$C$59,разходи!$M:$M,'ПП Октомври'!AA2)</f>
        <v>0</v>
      </c>
      <c r="AB59" s="74">
        <f>SUMIFS(разходи!$L:$L,разходи!$E:$E,'ПП Октомври'!$C$59,разходи!$M:$M,'ПП Октомври'!AB2)</f>
        <v>0</v>
      </c>
      <c r="AC59" s="74">
        <f>SUMIFS(разходи!$L:$L,разходи!$E:$E,'ПП Октомври'!$C$59,разходи!$M:$M,'ПП Октомври'!AC2)</f>
        <v>0</v>
      </c>
      <c r="AD59" s="76">
        <f>SUMIFS(разходи!$L:$L,разходи!$E:$E,'ПП Октомври'!$C$59,разходи!$M:$M,'ПП Октомври'!AD2)</f>
        <v>0</v>
      </c>
      <c r="AE59" s="76">
        <f>SUMIFS(разходи!$L:$L,разходи!$E:$E,'ПП Октомври'!$C$59,разходи!$M:$M,'ПП Октомври'!AE2)</f>
        <v>0</v>
      </c>
      <c r="AF59" s="74">
        <f>SUMIFS(разходи!$L:$L,разходи!$E:$E,'ПП Октомври'!$C$59,разходи!$M:$M,'ПП Октомври'!AF2)</f>
        <v>0</v>
      </c>
      <c r="AG59" s="74">
        <f>SUMIFS(разходи!$L:$L,разходи!$E:$E,'ПП Октомври'!$C$59,разходи!$M:$M,'ПП Октомври'!AG2)</f>
        <v>0</v>
      </c>
      <c r="AH59" s="74">
        <f>SUMIFS(разходи!$L:$L,разходи!$E:$E,'ПП Октомври'!$C$59,разходи!$M:$M,'ПП Октомври'!AH2)</f>
        <v>0</v>
      </c>
      <c r="AI59" s="74">
        <f>SUMIFS(разходи!$L:$L,разходи!$E:$E,'ПП Октомври'!$C$59,разходи!$M:$M,'ПП Октомври'!AI2)</f>
        <v>0</v>
      </c>
      <c r="AJ59" s="61">
        <f t="shared" si="16"/>
        <v>0</v>
      </c>
      <c r="AK59" s="69">
        <f t="shared" si="3"/>
        <v>1600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Октомври'!$C$60,разходи!$M:$M,'ПП Октомври'!E2)</f>
        <v>0</v>
      </c>
      <c r="F60" s="74">
        <f>SUMIFS(разходи!$L:$L,разходи!$E:$E,'ПП Октомври'!$C$60,разходи!$M:$M,'ПП Октомври'!F2)</f>
        <v>0</v>
      </c>
      <c r="G60" s="74">
        <f>SUMIFS(разходи!$L:$L,разходи!$E:$E,'ПП Октомври'!$C$60,разходи!$M:$M,'ПП Октомври'!G2)</f>
        <v>0</v>
      </c>
      <c r="H60" s="74">
        <f>SUMIFS(разходи!$L:$L,разходи!$E:$E,'ПП Октомври'!$C$60,разходи!$M:$M,'ПП Октомври'!H2)</f>
        <v>0</v>
      </c>
      <c r="I60" s="76">
        <f>SUMIFS(разходи!$L:$L,разходи!$E:$E,'ПП Октомври'!$C$60,разходи!$M:$M,'ПП Октомври'!I2)</f>
        <v>0</v>
      </c>
      <c r="J60" s="76">
        <f>SUMIFS(разходи!$L:$L,разходи!$E:$E,'ПП Октомври'!$C$60,разходи!$M:$M,'ПП Октомври'!J2)</f>
        <v>0</v>
      </c>
      <c r="K60" s="74">
        <f>SUMIFS(разходи!$L:$L,разходи!$E:$E,'ПП Октомври'!$C$60,разходи!$M:$M,'ПП Октомври'!K2)</f>
        <v>0</v>
      </c>
      <c r="L60" s="74">
        <f>SUMIFS(разходи!$L:$L,разходи!$E:$E,'ПП Октомври'!$C$60,разходи!$M:$M,'ПП Октомври'!L2)</f>
        <v>0</v>
      </c>
      <c r="M60" s="74">
        <f>SUMIFS(разходи!$L:$L,разходи!$E:$E,'ПП Октомври'!$C$60,разходи!$M:$M,'ПП Октомври'!M2)</f>
        <v>0</v>
      </c>
      <c r="N60" s="74">
        <f>SUMIFS(разходи!$L:$L,разходи!$E:$E,'ПП Октомври'!$C$60,разходи!$M:$M,'ПП Октомври'!N2)</f>
        <v>0</v>
      </c>
      <c r="O60" s="74">
        <f>SUMIFS(разходи!$L:$L,разходи!$E:$E,'ПП Октомври'!$C$60,разходи!$M:$M,'ПП Октомври'!O2)</f>
        <v>0</v>
      </c>
      <c r="P60" s="76">
        <f>SUMIFS(разходи!$L:$L,разходи!$E:$E,'ПП Октомври'!$C$60,разходи!$M:$M,'ПП Октомври'!P2)</f>
        <v>0</v>
      </c>
      <c r="Q60" s="76">
        <f>SUMIFS(разходи!$L:$L,разходи!$E:$E,'ПП Октомври'!$C$60,разходи!$M:$M,'ПП Октомври'!Q2)</f>
        <v>0</v>
      </c>
      <c r="R60" s="74">
        <f>SUMIFS(разходи!$L:$L,разходи!$E:$E,'ПП Октомври'!$C$60,разходи!$M:$M,'ПП Октомври'!R2)</f>
        <v>0</v>
      </c>
      <c r="S60" s="74">
        <f>SUMIFS(разходи!$L:$L,разходи!$E:$E,'ПП Октомври'!$C$60,разходи!$M:$M,'ПП Октомври'!S2)</f>
        <v>0</v>
      </c>
      <c r="T60" s="74">
        <f>SUMIFS(разходи!$L:$L,разходи!$E:$E,'ПП Октомври'!$C$60,разходи!$M:$M,'ПП Октомври'!T2)</f>
        <v>0</v>
      </c>
      <c r="U60" s="74">
        <f>SUMIFS(разходи!$L:$L,разходи!$E:$E,'ПП Октомври'!$C$60,разходи!$M:$M,'ПП Октомври'!U2)</f>
        <v>0</v>
      </c>
      <c r="V60" s="74">
        <f>SUMIFS(разходи!$L:$L,разходи!$E:$E,'ПП Октомври'!$C$60,разходи!$M:$M,'ПП Октомври'!V2)</f>
        <v>0</v>
      </c>
      <c r="W60" s="76">
        <f>SUMIFS(разходи!$L:$L,разходи!$E:$E,'ПП Октомври'!$C$60,разходи!$M:$M,'ПП Октомври'!W2)</f>
        <v>0</v>
      </c>
      <c r="X60" s="76">
        <f>SUMIFS(разходи!$L:$L,разходи!$E:$E,'ПП Октомври'!$C$60,разходи!$M:$M,'ПП Октомври'!X2)</f>
        <v>0</v>
      </c>
      <c r="Y60" s="74">
        <f>SUMIFS(разходи!$L:$L,разходи!$E:$E,'ПП Октомври'!$C$60,разходи!$M:$M,'ПП Октомври'!Y2)</f>
        <v>0</v>
      </c>
      <c r="Z60" s="74">
        <f>SUMIFS(разходи!$L:$L,разходи!$E:$E,'ПП Октомври'!$C$60,разходи!$M:$M,'ПП Октомври'!Z2)</f>
        <v>0</v>
      </c>
      <c r="AA60" s="74">
        <f>SUMIFS(разходи!$L:$L,разходи!$E:$E,'ПП Октомври'!$C$60,разходи!$M:$M,'ПП Октомври'!AA2)</f>
        <v>0</v>
      </c>
      <c r="AB60" s="74">
        <f>SUMIFS(разходи!$L:$L,разходи!$E:$E,'ПП Октомври'!$C$60,разходи!$M:$M,'ПП Октомври'!AB2)</f>
        <v>0</v>
      </c>
      <c r="AC60" s="74">
        <f>SUMIFS(разходи!$L:$L,разходи!$E:$E,'ПП Октомври'!$C$60,разходи!$M:$M,'ПП Октомври'!AC2)</f>
        <v>0</v>
      </c>
      <c r="AD60" s="76">
        <f>SUMIFS(разходи!$L:$L,разходи!$E:$E,'ПП Октомври'!$C$60,разходи!$M:$M,'ПП Октомври'!AD2)</f>
        <v>0</v>
      </c>
      <c r="AE60" s="76">
        <f>SUMIFS(разходи!$L:$L,разходи!$E:$E,'ПП Октомври'!$C$60,разходи!$M:$M,'ПП Октомври'!AE2)</f>
        <v>0</v>
      </c>
      <c r="AF60" s="74">
        <f>SUMIFS(разходи!$L:$L,разходи!$E:$E,'ПП Октомври'!$C$60,разходи!$M:$M,'ПП Октомври'!AF2)</f>
        <v>0</v>
      </c>
      <c r="AG60" s="74">
        <f>SUMIFS(разходи!$L:$L,разходи!$E:$E,'ПП Октомври'!$C$60,разходи!$M:$M,'ПП Октомври'!AG2)</f>
        <v>0</v>
      </c>
      <c r="AH60" s="74">
        <f>SUMIFS(разходи!$L:$L,разходи!$E:$E,'ПП Октомври'!$C$60,разходи!$M:$M,'ПП Октомври'!AH2)</f>
        <v>0</v>
      </c>
      <c r="AI60" s="74">
        <f>SUMIFS(разходи!$L:$L,разходи!$E:$E,'ПП Октомври'!$C$60,разходи!$M:$M,'ПП Октомври'!AI2)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Октомври'!$C$61,разходи!$M:$M,'ПП Октомври'!E2)</f>
        <v>0</v>
      </c>
      <c r="F61" s="74">
        <f>SUMIFS(разходи!$L:$L,разходи!$E:$E,'ПП Октомври'!$C$61,разходи!$M:$M,'ПП Октомври'!F2)</f>
        <v>0</v>
      </c>
      <c r="G61" s="74">
        <f>SUMIFS(разходи!$L:$L,разходи!$E:$E,'ПП Октомври'!$C$61,разходи!$M:$M,'ПП Октомври'!G2)</f>
        <v>0</v>
      </c>
      <c r="H61" s="74">
        <f>SUMIFS(разходи!$L:$L,разходи!$E:$E,'ПП Октомври'!$C$61,разходи!$M:$M,'ПП Октомври'!H2)</f>
        <v>0</v>
      </c>
      <c r="I61" s="76">
        <f>SUMIFS(разходи!$L:$L,разходи!$E:$E,'ПП Октомври'!$C$61,разходи!$M:$M,'ПП Октомври'!I2)</f>
        <v>0</v>
      </c>
      <c r="J61" s="76">
        <f>SUMIFS(разходи!$L:$L,разходи!$E:$E,'ПП Октомври'!$C$61,разходи!$M:$M,'ПП Октомври'!J2)</f>
        <v>0</v>
      </c>
      <c r="K61" s="74">
        <f>SUMIFS(разходи!$L:$L,разходи!$E:$E,'ПП Октомври'!$C$61,разходи!$M:$M,'ПП Октомври'!K2)</f>
        <v>0</v>
      </c>
      <c r="L61" s="74">
        <f>SUMIFS(разходи!$L:$L,разходи!$E:$E,'ПП Октомври'!$C$61,разходи!$M:$M,'ПП Октомври'!L2)</f>
        <v>0</v>
      </c>
      <c r="M61" s="74">
        <f>SUMIFS(разходи!$L:$L,разходи!$E:$E,'ПП Октомври'!$C$61,разходи!$M:$M,'ПП Октомври'!M2)</f>
        <v>0</v>
      </c>
      <c r="N61" s="74">
        <f>SUMIFS(разходи!$L:$L,разходи!$E:$E,'ПП Октомври'!$C$61,разходи!$M:$M,'ПП Октомври'!N2)</f>
        <v>0</v>
      </c>
      <c r="O61" s="74">
        <f>SUMIFS(разходи!$L:$L,разходи!$E:$E,'ПП Октомври'!$C$61,разходи!$M:$M,'ПП Октомври'!O2)</f>
        <v>0</v>
      </c>
      <c r="P61" s="76">
        <f>SUMIFS(разходи!$L:$L,разходи!$E:$E,'ПП Октомври'!$C$61,разходи!$M:$M,'ПП Октомври'!P2)</f>
        <v>0</v>
      </c>
      <c r="Q61" s="76">
        <f>SUMIFS(разходи!$L:$L,разходи!$E:$E,'ПП Октомври'!$C$61,разходи!$M:$M,'ПП Октомври'!Q2)</f>
        <v>0</v>
      </c>
      <c r="R61" s="74">
        <f>SUMIFS(разходи!$L:$L,разходи!$E:$E,'ПП Октомври'!$C$61,разходи!$M:$M,'ПП Октомври'!R2)</f>
        <v>0</v>
      </c>
      <c r="S61" s="74">
        <f>SUMIFS(разходи!$L:$L,разходи!$E:$E,'ПП Октомври'!$C$61,разходи!$M:$M,'ПП Октомври'!S2)</f>
        <v>0</v>
      </c>
      <c r="T61" s="74">
        <f>SUMIFS(разходи!$L:$L,разходи!$E:$E,'ПП Октомври'!$C$61,разходи!$M:$M,'ПП Октомври'!T2)</f>
        <v>0</v>
      </c>
      <c r="U61" s="74">
        <f>SUMIFS(разходи!$L:$L,разходи!$E:$E,'ПП Октомври'!$C$61,разходи!$M:$M,'ПП Октомври'!U2)</f>
        <v>0</v>
      </c>
      <c r="V61" s="74">
        <f>SUMIFS(разходи!$L:$L,разходи!$E:$E,'ПП Октомври'!$C$61,разходи!$M:$M,'ПП Октомври'!V2)</f>
        <v>0</v>
      </c>
      <c r="W61" s="76">
        <f>SUMIFS(разходи!$L:$L,разходи!$E:$E,'ПП Октомври'!$C$61,разходи!$M:$M,'ПП Октомври'!W2)</f>
        <v>0</v>
      </c>
      <c r="X61" s="76">
        <f>SUMIFS(разходи!$L:$L,разходи!$E:$E,'ПП Октомври'!$C$61,разходи!$M:$M,'ПП Октомври'!X2)</f>
        <v>0</v>
      </c>
      <c r="Y61" s="74">
        <f>SUMIFS(разходи!$L:$L,разходи!$E:$E,'ПП Октомври'!$C$61,разходи!$M:$M,'ПП Октомври'!Y2)</f>
        <v>0</v>
      </c>
      <c r="Z61" s="74">
        <f>SUMIFS(разходи!$L:$L,разходи!$E:$E,'ПП Октомври'!$C$61,разходи!$M:$M,'ПП Октомври'!Z2)</f>
        <v>0</v>
      </c>
      <c r="AA61" s="74">
        <f>SUMIFS(разходи!$L:$L,разходи!$E:$E,'ПП Октомври'!$C$61,разходи!$M:$M,'ПП Октомври'!AA2)</f>
        <v>0</v>
      </c>
      <c r="AB61" s="74">
        <f>SUMIFS(разходи!$L:$L,разходи!$E:$E,'ПП Октомври'!$C$61,разходи!$M:$M,'ПП Октомври'!AB2)</f>
        <v>0</v>
      </c>
      <c r="AC61" s="74">
        <f>SUMIFS(разходи!$L:$L,разходи!$E:$E,'ПП Октомври'!$C$61,разходи!$M:$M,'ПП Октомври'!AC2)</f>
        <v>0</v>
      </c>
      <c r="AD61" s="76">
        <f>SUMIFS(разходи!$L:$L,разходи!$E:$E,'ПП Октомври'!$C$61,разходи!$M:$M,'ПП Октомври'!AD2)</f>
        <v>0</v>
      </c>
      <c r="AE61" s="76">
        <f>SUMIFS(разходи!$L:$L,разходи!$E:$E,'ПП Октомври'!$C$61,разходи!$M:$M,'ПП Октомври'!AE2)</f>
        <v>0</v>
      </c>
      <c r="AF61" s="74">
        <f>SUMIFS(разходи!$L:$L,разходи!$E:$E,'ПП Октомври'!$C$61,разходи!$M:$M,'ПП Октомври'!AF2)</f>
        <v>0</v>
      </c>
      <c r="AG61" s="74">
        <f>SUMIFS(разходи!$L:$L,разходи!$E:$E,'ПП Октомври'!$C$61,разходи!$M:$M,'ПП Октомври'!AG2)</f>
        <v>0</v>
      </c>
      <c r="AH61" s="74">
        <f>SUMIFS(разходи!$L:$L,разходи!$E:$E,'ПП Октомври'!$C$61,разходи!$M:$M,'ПП Октомври'!AH2)</f>
        <v>0</v>
      </c>
      <c r="AI61" s="74">
        <f>SUMIFS(разходи!$L:$L,разходи!$E:$E,'ПП Октомври'!$C$61,разходи!$M:$M,'ПП Октомври'!AI2)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80"/>
      <c r="E62" s="74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6">
        <f t="shared" si="22"/>
        <v>0</v>
      </c>
      <c r="J62" s="76">
        <f t="shared" si="22"/>
        <v>0</v>
      </c>
      <c r="K62" s="74">
        <f t="shared" si="22"/>
        <v>0</v>
      </c>
      <c r="L62" s="74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6">
        <f t="shared" si="22"/>
        <v>0</v>
      </c>
      <c r="Q62" s="76">
        <f t="shared" si="22"/>
        <v>0</v>
      </c>
      <c r="R62" s="74">
        <f t="shared" si="22"/>
        <v>0</v>
      </c>
      <c r="S62" s="74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6">
        <f t="shared" si="22"/>
        <v>0</v>
      </c>
      <c r="X62" s="76">
        <f t="shared" si="22"/>
        <v>0</v>
      </c>
      <c r="Y62" s="74">
        <f t="shared" si="22"/>
        <v>0</v>
      </c>
      <c r="Z62" s="74">
        <f t="shared" si="22"/>
        <v>0</v>
      </c>
      <c r="AA62" s="74">
        <f t="shared" si="22"/>
        <v>0</v>
      </c>
      <c r="AB62" s="74">
        <f t="shared" si="22"/>
        <v>0</v>
      </c>
      <c r="AC62" s="74">
        <f t="shared" si="22"/>
        <v>0</v>
      </c>
      <c r="AD62" s="76">
        <f t="shared" si="22"/>
        <v>0</v>
      </c>
      <c r="AE62" s="76">
        <f t="shared" si="22"/>
        <v>0</v>
      </c>
      <c r="AF62" s="74">
        <f t="shared" si="22"/>
        <v>0</v>
      </c>
      <c r="AG62" s="74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0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>
        <v>43000</v>
      </c>
      <c r="E63" s="74">
        <f>SUMIFS(разходи!$L:$L,разходи!$E:$E,'ПП Октомври'!$C$63,разходи!$M:$M,'ПП Октомври'!E2)</f>
        <v>0</v>
      </c>
      <c r="F63" s="74">
        <f>SUMIFS(разходи!$L:$L,разходи!$E:$E,'ПП Октомври'!$C$63,разходи!$M:$M,'ПП Октомври'!F2)</f>
        <v>0</v>
      </c>
      <c r="G63" s="74">
        <f>SUMIFS(разходи!$L:$L,разходи!$E:$E,'ПП Октомври'!$C$63,разходи!$M:$M,'ПП Октомври'!G2)</f>
        <v>0</v>
      </c>
      <c r="H63" s="74">
        <f>SUMIFS(разходи!$L:$L,разходи!$E:$E,'ПП Октомври'!$C$63,разходи!$M:$M,'ПП Октомври'!H2)</f>
        <v>0</v>
      </c>
      <c r="I63" s="76">
        <f>SUMIFS(разходи!$L:$L,разходи!$E:$E,'ПП Октомври'!$C$63,разходи!$M:$M,'ПП Октомври'!I2)</f>
        <v>0</v>
      </c>
      <c r="J63" s="76">
        <f>SUMIFS(разходи!$L:$L,разходи!$E:$E,'ПП Октомври'!$C$63,разходи!$M:$M,'ПП Октомври'!J2)</f>
        <v>0</v>
      </c>
      <c r="K63" s="74">
        <f>SUMIFS(разходи!$L:$L,разходи!$E:$E,'ПП Октомври'!$C$63,разходи!$M:$M,'ПП Октомври'!K2)</f>
        <v>0</v>
      </c>
      <c r="L63" s="74">
        <f>SUMIFS(разходи!$L:$L,разходи!$E:$E,'ПП Октомври'!$C$63,разходи!$M:$M,'ПП Октомври'!L2)</f>
        <v>0</v>
      </c>
      <c r="M63" s="74">
        <f>SUMIFS(разходи!$L:$L,разходи!$E:$E,'ПП Октомври'!$C$63,разходи!$M:$M,'ПП Октомври'!M2)</f>
        <v>0</v>
      </c>
      <c r="N63" s="74">
        <f>SUMIFS(разходи!$L:$L,разходи!$E:$E,'ПП Октомври'!$C$63,разходи!$M:$M,'ПП Октомври'!N2)</f>
        <v>0</v>
      </c>
      <c r="O63" s="74">
        <f>SUMIFS(разходи!$L:$L,разходи!$E:$E,'ПП Октомври'!$C$63,разходи!$M:$M,'ПП Октомври'!O2)</f>
        <v>0</v>
      </c>
      <c r="P63" s="76">
        <f>SUMIFS(разходи!$L:$L,разходи!$E:$E,'ПП Октомври'!$C$63,разходи!$M:$M,'ПП Октомври'!P2)</f>
        <v>0</v>
      </c>
      <c r="Q63" s="76">
        <f>SUMIFS(разходи!$L:$L,разходи!$E:$E,'ПП Октомври'!$C$63,разходи!$M:$M,'ПП Октомври'!Q2)</f>
        <v>0</v>
      </c>
      <c r="R63" s="74">
        <f>SUMIFS(разходи!$L:$L,разходи!$E:$E,'ПП Октомври'!$C$63,разходи!$M:$M,'ПП Октомври'!R2)</f>
        <v>0</v>
      </c>
      <c r="S63" s="74">
        <f>SUMIFS(разходи!$L:$L,разходи!$E:$E,'ПП Октомври'!$C$63,разходи!$M:$M,'ПП Октомври'!S2)</f>
        <v>0</v>
      </c>
      <c r="T63" s="74">
        <f>SUMIFS(разходи!$L:$L,разходи!$E:$E,'ПП Октомври'!$C$63,разходи!$M:$M,'ПП Октомври'!T2)</f>
        <v>0</v>
      </c>
      <c r="U63" s="74">
        <f>SUMIFS(разходи!$L:$L,разходи!$E:$E,'ПП Октомври'!$C$63,разходи!$M:$M,'ПП Октомври'!U2)</f>
        <v>0</v>
      </c>
      <c r="V63" s="74">
        <f>SUMIFS(разходи!$L:$L,разходи!$E:$E,'ПП Октомври'!$C$63,разходи!$M:$M,'ПП Октомври'!V2)</f>
        <v>0</v>
      </c>
      <c r="W63" s="76">
        <f>SUMIFS(разходи!$L:$L,разходи!$E:$E,'ПП Октомври'!$C$63,разходи!$M:$M,'ПП Октомври'!W2)</f>
        <v>0</v>
      </c>
      <c r="X63" s="76">
        <f>SUMIFS(разходи!$L:$L,разходи!$E:$E,'ПП Октомври'!$C$63,разходи!$M:$M,'ПП Октомври'!X2)</f>
        <v>0</v>
      </c>
      <c r="Y63" s="74">
        <f>SUMIFS(разходи!$L:$L,разходи!$E:$E,'ПП Октомври'!$C$63,разходи!$M:$M,'ПП Октомври'!Y2)</f>
        <v>0</v>
      </c>
      <c r="Z63" s="74">
        <f>SUMIFS(разходи!$L:$L,разходи!$E:$E,'ПП Октомври'!$C$63,разходи!$M:$M,'ПП Октомври'!Z2)</f>
        <v>0</v>
      </c>
      <c r="AA63" s="74">
        <f>SUMIFS(разходи!$L:$L,разходи!$E:$E,'ПП Октомври'!$C$63,разходи!$M:$M,'ПП Октомври'!AA2)</f>
        <v>0</v>
      </c>
      <c r="AB63" s="74">
        <f>SUMIFS(разходи!$L:$L,разходи!$E:$E,'ПП Октомври'!$C$63,разходи!$M:$M,'ПП Октомври'!AB2)</f>
        <v>0</v>
      </c>
      <c r="AC63" s="74">
        <f>SUMIFS(разходи!$L:$L,разходи!$E:$E,'ПП Октомври'!$C$63,разходи!$M:$M,'ПП Октомври'!AC2)</f>
        <v>0</v>
      </c>
      <c r="AD63" s="76">
        <f>SUMIFS(разходи!$L:$L,разходи!$E:$E,'ПП Октомври'!$C$63,разходи!$M:$M,'ПП Октомври'!AD2)</f>
        <v>0</v>
      </c>
      <c r="AE63" s="76">
        <f>SUMIFS(разходи!$L:$L,разходи!$E:$E,'ПП Октомври'!$C$63,разходи!$M:$M,'ПП Октомври'!AE2)</f>
        <v>0</v>
      </c>
      <c r="AF63" s="74">
        <f>SUMIFS(разходи!$L:$L,разходи!$E:$E,'ПП Октомври'!$C$63,разходи!$M:$M,'ПП Октомври'!AF2)</f>
        <v>0</v>
      </c>
      <c r="AG63" s="74">
        <f>SUMIFS(разходи!$L:$L,разходи!$E:$E,'ПП Октомври'!$C$63,разходи!$M:$M,'ПП Октомври'!AG2)</f>
        <v>0</v>
      </c>
      <c r="AH63" s="74">
        <f>SUMIFS(разходи!$L:$L,разходи!$E:$E,'ПП Октомври'!$C$63,разходи!$M:$M,'ПП Октомври'!AH2)</f>
        <v>0</v>
      </c>
      <c r="AI63" s="74">
        <f>SUMIFS(разходи!$L:$L,разходи!$E:$E,'ПП Октомври'!$C$63,разходи!$M:$M,'ПП Октомври'!AI2)</f>
        <v>0</v>
      </c>
      <c r="AJ63" s="61">
        <f t="shared" si="16"/>
        <v>0</v>
      </c>
      <c r="AK63" s="69">
        <f t="shared" si="3"/>
        <v>43000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4">
        <f>SUMIFS(разходи!$L:$L,разходи!$E:$E,'ПП Октомври'!$C$64,разходи!$M:$M,'ПП Октомври'!E2)</f>
        <v>0</v>
      </c>
      <c r="F64" s="74">
        <f>SUMIFS(разходи!$L:$L,разходи!$E:$E,'ПП Октомври'!$C$64,разходи!$M:$M,'ПП Октомври'!F2)</f>
        <v>0</v>
      </c>
      <c r="G64" s="74">
        <f>SUMIFS(разходи!$L:$L,разходи!$E:$E,'ПП Октомври'!$C$64,разходи!$M:$M,'ПП Октомври'!G2)</f>
        <v>0</v>
      </c>
      <c r="H64" s="74">
        <f>SUMIFS(разходи!$L:$L,разходи!$E:$E,'ПП Октомври'!$C$64,разходи!$M:$M,'ПП Октомври'!H2)</f>
        <v>0</v>
      </c>
      <c r="I64" s="76">
        <f>SUMIFS(разходи!$L:$L,разходи!$E:$E,'ПП Октомври'!$C$64,разходи!$M:$M,'ПП Октомври'!I2)</f>
        <v>0</v>
      </c>
      <c r="J64" s="76">
        <f>SUMIFS(разходи!$L:$L,разходи!$E:$E,'ПП Октомври'!$C$64,разходи!$M:$M,'ПП Октомври'!J2)</f>
        <v>0</v>
      </c>
      <c r="K64" s="74">
        <f>SUMIFS(разходи!$L:$L,разходи!$E:$E,'ПП Октомври'!$C$64,разходи!$M:$M,'ПП Октомври'!K2)</f>
        <v>0</v>
      </c>
      <c r="L64" s="74">
        <f>SUMIFS(разходи!$L:$L,разходи!$E:$E,'ПП Октомври'!$C$64,разходи!$M:$M,'ПП Октомври'!L2)</f>
        <v>0</v>
      </c>
      <c r="M64" s="74">
        <f>SUMIFS(разходи!$L:$L,разходи!$E:$E,'ПП Октомври'!$C$64,разходи!$M:$M,'ПП Октомври'!M2)</f>
        <v>0</v>
      </c>
      <c r="N64" s="74">
        <f>SUMIFS(разходи!$L:$L,разходи!$E:$E,'ПП Октомври'!$C$64,разходи!$M:$M,'ПП Октомври'!N2)</f>
        <v>0</v>
      </c>
      <c r="O64" s="74">
        <f>SUMIFS(разходи!$L:$L,разходи!$E:$E,'ПП Октомври'!$C$64,разходи!$M:$M,'ПП Октомври'!O2)</f>
        <v>0</v>
      </c>
      <c r="P64" s="76">
        <f>SUMIFS(разходи!$L:$L,разходи!$E:$E,'ПП Октомври'!$C$64,разходи!$M:$M,'ПП Октомври'!P2)</f>
        <v>0</v>
      </c>
      <c r="Q64" s="76">
        <f>SUMIFS(разходи!$L:$L,разходи!$E:$E,'ПП Октомври'!$C$64,разходи!$M:$M,'ПП Октомври'!Q2)</f>
        <v>0</v>
      </c>
      <c r="R64" s="74">
        <f>SUMIFS(разходи!$L:$L,разходи!$E:$E,'ПП Октомври'!$C$64,разходи!$M:$M,'ПП Октомври'!R2)</f>
        <v>0</v>
      </c>
      <c r="S64" s="74">
        <f>SUMIFS(разходи!$L:$L,разходи!$E:$E,'ПП Октомври'!$C$64,разходи!$M:$M,'ПП Октомври'!S2)</f>
        <v>0</v>
      </c>
      <c r="T64" s="74">
        <f>SUMIFS(разходи!$L:$L,разходи!$E:$E,'ПП Октомври'!$C$64,разходи!$M:$M,'ПП Октомври'!T2)</f>
        <v>0</v>
      </c>
      <c r="U64" s="74">
        <f>SUMIFS(разходи!$L:$L,разходи!$E:$E,'ПП Октомври'!$C$64,разходи!$M:$M,'ПП Октомври'!U2)</f>
        <v>0</v>
      </c>
      <c r="V64" s="74">
        <f>SUMIFS(разходи!$L:$L,разходи!$E:$E,'ПП Октомври'!$C$64,разходи!$M:$M,'ПП Октомври'!V2)</f>
        <v>0</v>
      </c>
      <c r="W64" s="76">
        <f>SUMIFS(разходи!$L:$L,разходи!$E:$E,'ПП Октомври'!$C$64,разходи!$M:$M,'ПП Октомври'!W2)</f>
        <v>0</v>
      </c>
      <c r="X64" s="76">
        <f>SUMIFS(разходи!$L:$L,разходи!$E:$E,'ПП Октомври'!$C$64,разходи!$M:$M,'ПП Октомври'!X2)</f>
        <v>0</v>
      </c>
      <c r="Y64" s="74">
        <f>SUMIFS(разходи!$L:$L,разходи!$E:$E,'ПП Октомври'!$C$64,разходи!$M:$M,'ПП Октомври'!Y2)</f>
        <v>0</v>
      </c>
      <c r="Z64" s="74">
        <f>SUMIFS(разходи!$L:$L,разходи!$E:$E,'ПП Октомври'!$C$64,разходи!$M:$M,'ПП Октомври'!Z2)</f>
        <v>0</v>
      </c>
      <c r="AA64" s="74">
        <f>SUMIFS(разходи!$L:$L,разходи!$E:$E,'ПП Октомври'!$C$64,разходи!$M:$M,'ПП Октомври'!AA2)</f>
        <v>0</v>
      </c>
      <c r="AB64" s="74">
        <f>SUMIFS(разходи!$L:$L,разходи!$E:$E,'ПП Октомври'!$C$64,разходи!$M:$M,'ПП Октомври'!AB2)</f>
        <v>0</v>
      </c>
      <c r="AC64" s="74">
        <f>SUMIFS(разходи!$L:$L,разходи!$E:$E,'ПП Октомври'!$C$64,разходи!$M:$M,'ПП Октомври'!AC2)</f>
        <v>0</v>
      </c>
      <c r="AD64" s="76">
        <f>SUMIFS(разходи!$L:$L,разходи!$E:$E,'ПП Октомври'!$C$64,разходи!$M:$M,'ПП Октомври'!AD2)</f>
        <v>0</v>
      </c>
      <c r="AE64" s="76">
        <f>SUMIFS(разходи!$L:$L,разходи!$E:$E,'ПП Октомври'!$C$64,разходи!$M:$M,'ПП Октомври'!AE2)</f>
        <v>0</v>
      </c>
      <c r="AF64" s="74">
        <f>SUMIFS(разходи!$L:$L,разходи!$E:$E,'ПП Октомври'!$C$64,разходи!$M:$M,'ПП Октомври'!AF2)</f>
        <v>0</v>
      </c>
      <c r="AG64" s="74">
        <f>SUMIFS(разходи!$L:$L,разходи!$E:$E,'ПП Октомври'!$C$64,разходи!$M:$M,'ПП Октомври'!AG2)</f>
        <v>0</v>
      </c>
      <c r="AH64" s="74">
        <f>SUMIFS(разходи!$L:$L,разходи!$E:$E,'ПП Октомври'!$C$64,разходи!$M:$M,'ПП Октомври'!AH2)</f>
        <v>0</v>
      </c>
      <c r="AI64" s="74">
        <f>SUMIFS(разходи!$L:$L,разходи!$E:$E,'ПП Октомври'!$C$64,разходи!$M:$M,'ПП Октомври'!AI2)</f>
        <v>0</v>
      </c>
      <c r="AJ64" s="61">
        <f t="shared" si="16"/>
        <v>0</v>
      </c>
      <c r="AK64" s="69">
        <f t="shared" si="3"/>
        <v>0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Октомври'!$C$65,разходи!$M:$M,'ПП Октомври'!E2)</f>
        <v>0</v>
      </c>
      <c r="F65" s="74">
        <f>SUMIFS(разходи!$L:$L,разходи!$E:$E,'ПП Октомври'!$C$65,разходи!$M:$M,'ПП Октомври'!F2)</f>
        <v>0</v>
      </c>
      <c r="G65" s="74">
        <f>SUMIFS(разходи!$L:$L,разходи!$E:$E,'ПП Октомври'!$C$65,разходи!$M:$M,'ПП Октомври'!G2)</f>
        <v>0</v>
      </c>
      <c r="H65" s="74">
        <f>SUMIFS(разходи!$L:$L,разходи!$E:$E,'ПП Октомври'!$C$65,разходи!$M:$M,'ПП Октомври'!H2)</f>
        <v>0</v>
      </c>
      <c r="I65" s="76">
        <f>SUMIFS(разходи!$L:$L,разходи!$E:$E,'ПП Октомври'!$C$65,разходи!$M:$M,'ПП Октомври'!I2)</f>
        <v>0</v>
      </c>
      <c r="J65" s="76">
        <f>SUMIFS(разходи!$L:$L,разходи!$E:$E,'ПП Октомври'!$C$65,разходи!$M:$M,'ПП Октомври'!J2)</f>
        <v>0</v>
      </c>
      <c r="K65" s="74">
        <f>SUMIFS(разходи!$L:$L,разходи!$E:$E,'ПП Октомври'!$C$65,разходи!$M:$M,'ПП Октомври'!K2)</f>
        <v>0</v>
      </c>
      <c r="L65" s="74">
        <f>SUMIFS(разходи!$L:$L,разходи!$E:$E,'ПП Октомври'!$C$65,разходи!$M:$M,'ПП Октомври'!L2)</f>
        <v>0</v>
      </c>
      <c r="M65" s="74">
        <f>SUMIFS(разходи!$L:$L,разходи!$E:$E,'ПП Октомври'!$C$65,разходи!$M:$M,'ПП Октомври'!M2)</f>
        <v>0</v>
      </c>
      <c r="N65" s="74">
        <f>SUMIFS(разходи!$L:$L,разходи!$E:$E,'ПП Октомври'!$C$65,разходи!$M:$M,'ПП Октомври'!N2)</f>
        <v>0</v>
      </c>
      <c r="O65" s="74">
        <f>SUMIFS(разходи!$L:$L,разходи!$E:$E,'ПП Октомври'!$C$65,разходи!$M:$M,'ПП Октомври'!O2)</f>
        <v>0</v>
      </c>
      <c r="P65" s="76">
        <f>SUMIFS(разходи!$L:$L,разходи!$E:$E,'ПП Октомври'!$C$65,разходи!$M:$M,'ПП Октомври'!P2)</f>
        <v>0</v>
      </c>
      <c r="Q65" s="76">
        <f>SUMIFS(разходи!$L:$L,разходи!$E:$E,'ПП Октомври'!$C$65,разходи!$M:$M,'ПП Октомври'!Q2)</f>
        <v>0</v>
      </c>
      <c r="R65" s="74">
        <f>SUMIFS(разходи!$L:$L,разходи!$E:$E,'ПП Октомври'!$C$65,разходи!$M:$M,'ПП Октомври'!R2)</f>
        <v>0</v>
      </c>
      <c r="S65" s="74">
        <f>SUMIFS(разходи!$L:$L,разходи!$E:$E,'ПП Октомври'!$C$65,разходи!$M:$M,'ПП Октомври'!S2)</f>
        <v>0</v>
      </c>
      <c r="T65" s="74">
        <f>SUMIFS(разходи!$L:$L,разходи!$E:$E,'ПП Октомври'!$C$65,разходи!$M:$M,'ПП Октомври'!T2)</f>
        <v>0</v>
      </c>
      <c r="U65" s="74">
        <f>SUMIFS(разходи!$L:$L,разходи!$E:$E,'ПП Октомври'!$C$65,разходи!$M:$M,'ПП Октомври'!U2)</f>
        <v>0</v>
      </c>
      <c r="V65" s="74">
        <f>SUMIFS(разходи!$L:$L,разходи!$E:$E,'ПП Октомври'!$C$65,разходи!$M:$M,'ПП Октомври'!V2)</f>
        <v>0</v>
      </c>
      <c r="W65" s="76">
        <f>SUMIFS(разходи!$L:$L,разходи!$E:$E,'ПП Октомври'!$C$65,разходи!$M:$M,'ПП Октомври'!W2)</f>
        <v>0</v>
      </c>
      <c r="X65" s="76">
        <f>SUMIFS(разходи!$L:$L,разходи!$E:$E,'ПП Октомври'!$C$65,разходи!$M:$M,'ПП Октомври'!X2)</f>
        <v>0</v>
      </c>
      <c r="Y65" s="74">
        <f>SUMIFS(разходи!$L:$L,разходи!$E:$E,'ПП Октомври'!$C$65,разходи!$M:$M,'ПП Октомври'!Y2)</f>
        <v>0</v>
      </c>
      <c r="Z65" s="74">
        <f>SUMIFS(разходи!$L:$L,разходи!$E:$E,'ПП Октомври'!$C$65,разходи!$M:$M,'ПП Октомври'!Z2)</f>
        <v>0</v>
      </c>
      <c r="AA65" s="74">
        <f>SUMIFS(разходи!$L:$L,разходи!$E:$E,'ПП Октомври'!$C$65,разходи!$M:$M,'ПП Октомври'!AA2)</f>
        <v>0</v>
      </c>
      <c r="AB65" s="74">
        <f>SUMIFS(разходи!$L:$L,разходи!$E:$E,'ПП Октомври'!$C$65,разходи!$M:$M,'ПП Октомври'!AB2)</f>
        <v>0</v>
      </c>
      <c r="AC65" s="74">
        <f>SUMIFS(разходи!$L:$L,разходи!$E:$E,'ПП Октомври'!$C$65,разходи!$M:$M,'ПП Октомври'!AC2)</f>
        <v>0</v>
      </c>
      <c r="AD65" s="76">
        <f>SUMIFS(разходи!$L:$L,разходи!$E:$E,'ПП Октомври'!$C$65,разходи!$M:$M,'ПП Октомври'!AD2)</f>
        <v>0</v>
      </c>
      <c r="AE65" s="76">
        <f>SUMIFS(разходи!$L:$L,разходи!$E:$E,'ПП Октомври'!$C$65,разходи!$M:$M,'ПП Октомври'!AE2)</f>
        <v>0</v>
      </c>
      <c r="AF65" s="74">
        <f>SUMIFS(разходи!$L:$L,разходи!$E:$E,'ПП Октомври'!$C$65,разходи!$M:$M,'ПП Октомври'!AF2)</f>
        <v>0</v>
      </c>
      <c r="AG65" s="74">
        <f>SUMIFS(разходи!$L:$L,разходи!$E:$E,'ПП Октомври'!$C$65,разходи!$M:$M,'ПП Октомври'!AG2)</f>
        <v>0</v>
      </c>
      <c r="AH65" s="74">
        <f>SUMIFS(разходи!$L:$L,разходи!$E:$E,'ПП Октомври'!$C$65,разходи!$M:$M,'ПП Октомври'!AH2)</f>
        <v>0</v>
      </c>
      <c r="AI65" s="74">
        <f>SUMIFS(разходи!$L:$L,разходи!$E:$E,'ПП Октомври'!$C$65,разходи!$M:$M,'ПП Октомври'!AI2)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3">D3-D23</f>
        <v>-4969480.7116439994</v>
      </c>
      <c r="E66" s="54">
        <f t="shared" si="23"/>
        <v>0</v>
      </c>
      <c r="F66" s="54">
        <f t="shared" si="23"/>
        <v>0</v>
      </c>
      <c r="G66" s="54">
        <f t="shared" si="23"/>
        <v>0</v>
      </c>
      <c r="H66" s="54">
        <f t="shared" si="23"/>
        <v>0</v>
      </c>
      <c r="I66" s="54">
        <f t="shared" si="23"/>
        <v>0</v>
      </c>
      <c r="J66" s="54">
        <f t="shared" si="23"/>
        <v>0</v>
      </c>
      <c r="K66" s="54">
        <f t="shared" si="23"/>
        <v>0</v>
      </c>
      <c r="L66" s="54">
        <f t="shared" si="23"/>
        <v>0</v>
      </c>
      <c r="M66" s="54">
        <f t="shared" si="23"/>
        <v>0</v>
      </c>
      <c r="N66" s="54">
        <f t="shared" si="23"/>
        <v>0</v>
      </c>
      <c r="O66" s="54">
        <f t="shared" si="23"/>
        <v>0</v>
      </c>
      <c r="P66" s="54">
        <f t="shared" si="23"/>
        <v>0</v>
      </c>
      <c r="Q66" s="54">
        <f t="shared" si="23"/>
        <v>0</v>
      </c>
      <c r="R66" s="54">
        <f t="shared" si="23"/>
        <v>0</v>
      </c>
      <c r="S66" s="54">
        <f t="shared" si="23"/>
        <v>0</v>
      </c>
      <c r="T66" s="54">
        <f t="shared" si="23"/>
        <v>0</v>
      </c>
      <c r="U66" s="54">
        <f t="shared" si="23"/>
        <v>0</v>
      </c>
      <c r="V66" s="54">
        <f t="shared" si="23"/>
        <v>0</v>
      </c>
      <c r="W66" s="54">
        <f t="shared" si="23"/>
        <v>0</v>
      </c>
      <c r="X66" s="54">
        <f t="shared" si="23"/>
        <v>0</v>
      </c>
      <c r="Y66" s="54">
        <f t="shared" si="23"/>
        <v>0</v>
      </c>
      <c r="Z66" s="54">
        <f t="shared" si="23"/>
        <v>0</v>
      </c>
      <c r="AA66" s="54">
        <f t="shared" si="23"/>
        <v>0</v>
      </c>
      <c r="AB66" s="54">
        <f t="shared" si="23"/>
        <v>0</v>
      </c>
      <c r="AC66" s="54">
        <f t="shared" si="23"/>
        <v>0</v>
      </c>
      <c r="AD66" s="54">
        <f t="shared" si="23"/>
        <v>0</v>
      </c>
      <c r="AE66" s="54">
        <f t="shared" si="23"/>
        <v>0</v>
      </c>
      <c r="AF66" s="54">
        <f t="shared" si="23"/>
        <v>0</v>
      </c>
      <c r="AG66" s="54">
        <f t="shared" si="23"/>
        <v>0</v>
      </c>
      <c r="AH66" s="54">
        <f t="shared" si="23"/>
        <v>0</v>
      </c>
      <c r="AI66" s="54">
        <f t="shared" si="23"/>
        <v>0</v>
      </c>
      <c r="AJ66" s="54">
        <f t="shared" si="16"/>
        <v>0</v>
      </c>
      <c r="AK66" s="54">
        <f t="shared" si="3"/>
        <v>-4969480.7116439994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E71E-EA8E-4398-9A58-119242337314}">
  <sheetPr>
    <tabColor theme="7" tint="0.79998168889431442"/>
  </sheetPr>
  <dimension ref="A1:AJ67"/>
  <sheetViews>
    <sheetView zoomScale="60" zoomScaleNormal="6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AH24" sqref="AH24:AH6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81">
        <v>45597</v>
      </c>
      <c r="F2" s="83">
        <f>+E2+1</f>
        <v>45598</v>
      </c>
      <c r="G2" s="83">
        <f t="shared" ref="G2:AH2" si="0">+F2+1</f>
        <v>45599</v>
      </c>
      <c r="H2" s="81">
        <f t="shared" si="0"/>
        <v>45600</v>
      </c>
      <c r="I2" s="81">
        <f t="shared" si="0"/>
        <v>45601</v>
      </c>
      <c r="J2" s="81">
        <f t="shared" si="0"/>
        <v>45602</v>
      </c>
      <c r="K2" s="81">
        <f t="shared" si="0"/>
        <v>45603</v>
      </c>
      <c r="L2" s="81">
        <f t="shared" si="0"/>
        <v>45604</v>
      </c>
      <c r="M2" s="83">
        <f t="shared" si="0"/>
        <v>45605</v>
      </c>
      <c r="N2" s="83">
        <f t="shared" si="0"/>
        <v>45606</v>
      </c>
      <c r="O2" s="81">
        <f>+N2+1</f>
        <v>45607</v>
      </c>
      <c r="P2" s="81">
        <f t="shared" si="0"/>
        <v>45608</v>
      </c>
      <c r="Q2" s="82">
        <f t="shared" si="0"/>
        <v>45609</v>
      </c>
      <c r="R2" s="82">
        <f t="shared" si="0"/>
        <v>45610</v>
      </c>
      <c r="S2" s="81">
        <f t="shared" si="0"/>
        <v>45611</v>
      </c>
      <c r="T2" s="83">
        <f t="shared" si="0"/>
        <v>45612</v>
      </c>
      <c r="U2" s="83">
        <f t="shared" si="0"/>
        <v>45613</v>
      </c>
      <c r="V2" s="81">
        <f t="shared" si="0"/>
        <v>45614</v>
      </c>
      <c r="W2" s="81">
        <f t="shared" si="0"/>
        <v>45615</v>
      </c>
      <c r="X2" s="81">
        <f t="shared" si="0"/>
        <v>45616</v>
      </c>
      <c r="Y2" s="81">
        <f t="shared" si="0"/>
        <v>45617</v>
      </c>
      <c r="Z2" s="81">
        <f t="shared" si="0"/>
        <v>45618</v>
      </c>
      <c r="AA2" s="83">
        <f t="shared" si="0"/>
        <v>45619</v>
      </c>
      <c r="AB2" s="83">
        <f t="shared" si="0"/>
        <v>45620</v>
      </c>
      <c r="AC2" s="81">
        <f t="shared" si="0"/>
        <v>45621</v>
      </c>
      <c r="AD2" s="81">
        <f t="shared" si="0"/>
        <v>45622</v>
      </c>
      <c r="AE2" s="81">
        <f t="shared" si="0"/>
        <v>45623</v>
      </c>
      <c r="AF2" s="81">
        <f t="shared" si="0"/>
        <v>45624</v>
      </c>
      <c r="AG2" s="81">
        <f t="shared" si="0"/>
        <v>45625</v>
      </c>
      <c r="AH2" s="83">
        <f t="shared" si="0"/>
        <v>45626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0</v>
      </c>
      <c r="AJ3" s="54">
        <f t="shared" ref="AJ3:AJ34" si="3">+D3-AI3</f>
        <v>0</v>
      </c>
    </row>
    <row r="4" spans="1:36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3">
        <f>SUM(E5,E9,E10)</f>
        <v>0</v>
      </c>
      <c r="F4" s="77">
        <f>SUM(F5,F9,F10)</f>
        <v>0</v>
      </c>
      <c r="G4" s="77">
        <f>SUM(G5,G9,G10)</f>
        <v>0</v>
      </c>
      <c r="H4" s="73">
        <f>+H5+H9+H10</f>
        <v>0</v>
      </c>
      <c r="I4" s="73">
        <f t="shared" ref="I4:AH4" si="5">SUM(I5,I9,I10)</f>
        <v>0</v>
      </c>
      <c r="J4" s="73">
        <f t="shared" si="5"/>
        <v>0</v>
      </c>
      <c r="K4" s="73">
        <f t="shared" si="5"/>
        <v>0</v>
      </c>
      <c r="L4" s="73">
        <f t="shared" si="5"/>
        <v>0</v>
      </c>
      <c r="M4" s="77">
        <f t="shared" si="5"/>
        <v>0</v>
      </c>
      <c r="N4" s="77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7">
        <f t="shared" si="5"/>
        <v>0</v>
      </c>
      <c r="U4" s="77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3">
        <f t="shared" si="5"/>
        <v>0</v>
      </c>
      <c r="AA4" s="77">
        <f t="shared" si="5"/>
        <v>0</v>
      </c>
      <c r="AB4" s="77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7">
        <f t="shared" si="5"/>
        <v>0</v>
      </c>
      <c r="AI4" s="57">
        <f t="shared" si="2"/>
        <v>0</v>
      </c>
      <c r="AJ4" s="58">
        <f t="shared" si="3"/>
        <v>0</v>
      </c>
    </row>
    <row r="5" spans="1:36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6">SUM(E6:E8)</f>
        <v>0</v>
      </c>
      <c r="F5" s="76">
        <f>SUM(F6:F8)</f>
        <v>0</v>
      </c>
      <c r="G5" s="76">
        <f>SUM(G6:G8)</f>
        <v>0</v>
      </c>
      <c r="H5" s="74">
        <f>+H6+H7+H8</f>
        <v>0</v>
      </c>
      <c r="I5" s="74">
        <f t="shared" ref="I5:AH5" si="7">SUM(I6:I8)</f>
        <v>0</v>
      </c>
      <c r="J5" s="74">
        <f t="shared" si="7"/>
        <v>0</v>
      </c>
      <c r="K5" s="74">
        <f t="shared" si="7"/>
        <v>0</v>
      </c>
      <c r="L5" s="74">
        <f t="shared" si="7"/>
        <v>0</v>
      </c>
      <c r="M5" s="76">
        <f t="shared" si="7"/>
        <v>0</v>
      </c>
      <c r="N5" s="76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6">
        <f t="shared" si="7"/>
        <v>0</v>
      </c>
      <c r="U5" s="76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6">
        <f t="shared" si="7"/>
        <v>0</v>
      </c>
      <c r="AB5" s="76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4">
        <f t="shared" si="7"/>
        <v>0</v>
      </c>
      <c r="AH5" s="76">
        <f t="shared" si="7"/>
        <v>0</v>
      </c>
      <c r="AI5" s="61">
        <f t="shared" si="2"/>
        <v>0</v>
      </c>
      <c r="AJ5" s="62">
        <f t="shared" si="3"/>
        <v>0</v>
      </c>
    </row>
    <row r="6" spans="1:36" s="23" customFormat="1" ht="20.100000000000001" customHeight="1" outlineLevel="1" x14ac:dyDescent="0.3">
      <c r="B6" s="24"/>
      <c r="C6" s="25" t="s">
        <v>851</v>
      </c>
      <c r="D6" s="79"/>
      <c r="E6" s="75"/>
      <c r="F6" s="78"/>
      <c r="G6" s="78"/>
      <c r="H6" s="75"/>
      <c r="I6" s="75"/>
      <c r="J6" s="75"/>
      <c r="K6" s="75"/>
      <c r="L6" s="75"/>
      <c r="M6" s="78"/>
      <c r="N6" s="78"/>
      <c r="O6" s="75"/>
      <c r="P6" s="75"/>
      <c r="Q6" s="75"/>
      <c r="R6" s="75"/>
      <c r="S6" s="75"/>
      <c r="T6" s="78"/>
      <c r="U6" s="78"/>
      <c r="V6" s="75"/>
      <c r="W6" s="75"/>
      <c r="X6" s="75"/>
      <c r="Y6" s="75"/>
      <c r="Z6" s="75"/>
      <c r="AA6" s="78"/>
      <c r="AB6" s="78"/>
      <c r="AC6" s="75"/>
      <c r="AD6" s="75"/>
      <c r="AE6" s="75"/>
      <c r="AF6" s="75"/>
      <c r="AG6" s="75"/>
      <c r="AH6" s="78"/>
      <c r="AI6" s="66">
        <f t="shared" si="2"/>
        <v>0</v>
      </c>
      <c r="AJ6" s="67">
        <f t="shared" si="3"/>
        <v>0</v>
      </c>
    </row>
    <row r="7" spans="1:36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Ноември'!$C$7,приходи!$M:$M,'ПП Ноември'!E2)</f>
        <v>0</v>
      </c>
      <c r="F7" s="76">
        <f>SUMIFS(приходи!$L:$L,приходи!$E:$E,'ПП Ноември'!$C$7,приходи!$M:$M,'ПП Ноември'!F2)</f>
        <v>0</v>
      </c>
      <c r="G7" s="76">
        <f>SUMIFS(приходи!$L:$L,приходи!$E:$E,'ПП Ноември'!$C$7,приходи!$M:$M,'ПП Ноември'!G2)</f>
        <v>0</v>
      </c>
      <c r="H7" s="74">
        <f>SUMIFS(приходи!$L:$L,приходи!$E:$E,'ПП Ноември'!$C$7,приходи!$M:$M,'ПП Ноември'!H2)</f>
        <v>0</v>
      </c>
      <c r="I7" s="74">
        <f>SUMIFS(приходи!$L:$L,приходи!$E:$E,'ПП Ноември'!$C$7,приходи!$M:$M,'ПП Ноември'!I2)</f>
        <v>0</v>
      </c>
      <c r="J7" s="74">
        <f>SUMIFS(приходи!$L:$L,приходи!$E:$E,'ПП Ноември'!$C$7,приходи!$M:$M,'ПП Ноември'!J2)</f>
        <v>0</v>
      </c>
      <c r="K7" s="74">
        <f>SUMIFS(приходи!$L:$L,приходи!$E:$E,'ПП Ноември'!$C$7,приходи!$M:$M,'ПП Ноември'!K2)</f>
        <v>0</v>
      </c>
      <c r="L7" s="74">
        <f>SUMIFS(приходи!$L:$L,приходи!$E:$E,'ПП Ноември'!$C$7,приходи!$M:$M,'ПП Ноември'!L2)</f>
        <v>0</v>
      </c>
      <c r="M7" s="76">
        <f>SUMIFS(приходи!$L:$L,приходи!$E:$E,'ПП Ноември'!$C$7,приходи!$M:$M,'ПП Ноември'!M2)</f>
        <v>0</v>
      </c>
      <c r="N7" s="76">
        <f>SUMIFS(приходи!$L:$L,приходи!$E:$E,'ПП Ноември'!$C$7,приходи!$M:$M,'ПП Ноември'!N2)</f>
        <v>0</v>
      </c>
      <c r="O7" s="74">
        <f>SUMIFS(приходи!$L:$L,приходи!$E:$E,'ПП Ноември'!$C$7,приходи!$M:$M,'ПП Ноември'!O2)</f>
        <v>0</v>
      </c>
      <c r="P7" s="74">
        <f>SUMIFS(приходи!$L:$L,приходи!$E:$E,'ПП Ноември'!$C$7,приходи!$M:$M,'ПП Ноември'!P2)</f>
        <v>0</v>
      </c>
      <c r="Q7" s="74">
        <f>SUMIFS(приходи!$L:$L,приходи!$E:$E,'ПП Ноември'!$C$7,приходи!$M:$M,'ПП Ноември'!Q2)</f>
        <v>0</v>
      </c>
      <c r="R7" s="74">
        <f>SUMIFS(приходи!$L:$L,приходи!$E:$E,'ПП Ноември'!$C$7,приходи!$M:$M,'ПП Ноември'!R2)</f>
        <v>0</v>
      </c>
      <c r="S7" s="74">
        <f>SUMIFS(приходи!$L:$L,приходи!$E:$E,'ПП Ноември'!$C$7,приходи!$M:$M,'ПП Ноември'!S2)</f>
        <v>0</v>
      </c>
      <c r="T7" s="76">
        <f>SUMIFS(приходи!$L:$L,приходи!$E:$E,'ПП Ноември'!$C$7,приходи!$M:$M,'ПП Ноември'!T2)</f>
        <v>0</v>
      </c>
      <c r="U7" s="76">
        <f>SUMIFS(приходи!$L:$L,приходи!$E:$E,'ПП Ноември'!$C$7,приходи!$M:$M,'ПП Ноември'!U2)</f>
        <v>0</v>
      </c>
      <c r="V7" s="74">
        <f>SUMIFS(приходи!$L:$L,приходи!$E:$E,'ПП Ноември'!$C$7,приходи!$M:$M,'ПП Ноември'!V2)</f>
        <v>0</v>
      </c>
      <c r="W7" s="74">
        <f>SUMIFS(приходи!$L:$L,приходи!$E:$E,'ПП Ноември'!$C$7,приходи!$M:$M,'ПП Ноември'!W2)</f>
        <v>0</v>
      </c>
      <c r="X7" s="74">
        <f>SUMIFS(приходи!$L:$L,приходи!$E:$E,'ПП Ноември'!$C$7,приходи!$M:$M,'ПП Ноември'!X2)</f>
        <v>0</v>
      </c>
      <c r="Y7" s="74">
        <f>SUMIFS(приходи!$L:$L,приходи!$E:$E,'ПП Ноември'!$C$7,приходи!$M:$M,'ПП Ноември'!Y2)</f>
        <v>0</v>
      </c>
      <c r="Z7" s="74">
        <f>SUMIFS(приходи!$L:$L,приходи!$E:$E,'ПП Ноември'!$C$7,приходи!$M:$M,'ПП Ноември'!Z2)</f>
        <v>0</v>
      </c>
      <c r="AA7" s="76">
        <f>SUMIFS(приходи!$L:$L,приходи!$E:$E,'ПП Ноември'!$C$7,приходи!$M:$M,'ПП Ноември'!AA2)</f>
        <v>0</v>
      </c>
      <c r="AB7" s="76">
        <f>SUMIFS(приходи!$L:$L,приходи!$E:$E,'ПП Ноември'!$C$7,приходи!$M:$M,'ПП Ноември'!AB2)</f>
        <v>0</v>
      </c>
      <c r="AC7" s="74">
        <f>SUMIFS(приходи!$L:$L,приходи!$E:$E,'ПП Ноември'!$C$7,приходи!$M:$M,'ПП Ноември'!AC2)</f>
        <v>0</v>
      </c>
      <c r="AD7" s="74">
        <f>SUMIFS(приходи!$L:$L,приходи!$E:$E,'ПП Ноември'!$C$7,приходи!$M:$M,'ПП Ноември'!AD2)</f>
        <v>0</v>
      </c>
      <c r="AE7" s="74">
        <f>SUMIFS(приходи!$L:$L,приходи!$E:$E,'ПП Ноември'!$C$7,приходи!$M:$M,'ПП Ноември'!AE2)</f>
        <v>0</v>
      </c>
      <c r="AF7" s="74">
        <f>SUMIFS(приходи!$L:$L,приходи!$E:$E,'ПП Ноември'!$C$7,приходи!$M:$M,'ПП Ноември'!AF2)</f>
        <v>0</v>
      </c>
      <c r="AG7" s="74">
        <f>SUMIFS(приходи!$L:$L,приходи!$E:$E,'ПП Ноември'!$C$7,приходи!$M:$M,'ПП Ноември'!AG2)</f>
        <v>0</v>
      </c>
      <c r="AH7" s="76">
        <f>SUMIFS(приходи!$L:$L,приходи!$E:$E,'ПП Ноември'!$C$7,приходи!$M:$M,'ПП Ноември'!AH2)</f>
        <v>0</v>
      </c>
      <c r="AI7" s="61">
        <f t="shared" si="2"/>
        <v>0</v>
      </c>
      <c r="AJ7" s="69">
        <f t="shared" si="3"/>
        <v>0</v>
      </c>
    </row>
    <row r="8" spans="1:36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Ноември'!$C$8,приходи!$M:$M,'ПП Ноември'!E2)</f>
        <v>0</v>
      </c>
      <c r="F8" s="76">
        <f>SUMIFS(приходи!$L:$L,приходи!$E:$E,'ПП Ноември'!$C$8,приходи!$M:$M,'ПП Ноември'!F2)</f>
        <v>0</v>
      </c>
      <c r="G8" s="76">
        <f>SUMIFS(приходи!$L:$L,приходи!$E:$E,'ПП Ноември'!$C$8,приходи!$M:$M,'ПП Ноември'!G2)</f>
        <v>0</v>
      </c>
      <c r="H8" s="74">
        <f>SUMIFS(приходи!$L:$L,приходи!$E:$E,'ПП Ноември'!$C$8,приходи!$M:$M,'ПП Ноември'!H2)</f>
        <v>0</v>
      </c>
      <c r="I8" s="74">
        <f>SUMIFS(приходи!$L:$L,приходи!$E:$E,'ПП Ноември'!$C$8,приходи!$M:$M,'ПП Ноември'!I2)</f>
        <v>0</v>
      </c>
      <c r="J8" s="74">
        <f>SUMIFS(приходи!$L:$L,приходи!$E:$E,'ПП Ноември'!$C$8,приходи!$M:$M,'ПП Ноември'!J2)</f>
        <v>0</v>
      </c>
      <c r="K8" s="74">
        <f>SUMIFS(приходи!$L:$L,приходи!$E:$E,'ПП Ноември'!$C$8,приходи!$M:$M,'ПП Ноември'!K2)</f>
        <v>0</v>
      </c>
      <c r="L8" s="74">
        <f>SUMIFS(приходи!$L:$L,приходи!$E:$E,'ПП Ноември'!$C$8,приходи!$M:$M,'ПП Ноември'!L2)</f>
        <v>0</v>
      </c>
      <c r="M8" s="76">
        <f>SUMIFS(приходи!$L:$L,приходи!$E:$E,'ПП Ноември'!$C$8,приходи!$M:$M,'ПП Ноември'!M2)</f>
        <v>0</v>
      </c>
      <c r="N8" s="76">
        <f>SUMIFS(приходи!$L:$L,приходи!$E:$E,'ПП Ноември'!$C$8,приходи!$M:$M,'ПП Ноември'!N2)</f>
        <v>0</v>
      </c>
      <c r="O8" s="74">
        <f>SUMIFS(приходи!$L:$L,приходи!$E:$E,'ПП Ноември'!$C$8,приходи!$M:$M,'ПП Ноември'!O2)</f>
        <v>0</v>
      </c>
      <c r="P8" s="74">
        <f>SUMIFS(приходи!$L:$L,приходи!$E:$E,'ПП Ноември'!$C$8,приходи!$M:$M,'ПП Ноември'!P2)</f>
        <v>0</v>
      </c>
      <c r="Q8" s="74">
        <f>SUMIFS(приходи!$L:$L,приходи!$E:$E,'ПП Ноември'!$C$8,приходи!$M:$M,'ПП Ноември'!Q2)</f>
        <v>0</v>
      </c>
      <c r="R8" s="74">
        <f>SUMIFS(приходи!$L:$L,приходи!$E:$E,'ПП Ноември'!$C$8,приходи!$M:$M,'ПП Ноември'!R2)</f>
        <v>0</v>
      </c>
      <c r="S8" s="74">
        <f>SUMIFS(приходи!$L:$L,приходи!$E:$E,'ПП Ноември'!$C$8,приходи!$M:$M,'ПП Ноември'!S2)</f>
        <v>0</v>
      </c>
      <c r="T8" s="76">
        <f>SUMIFS(приходи!$L:$L,приходи!$E:$E,'ПП Ноември'!$C$8,приходи!$M:$M,'ПП Ноември'!T2)</f>
        <v>0</v>
      </c>
      <c r="U8" s="76">
        <f>SUMIFS(приходи!$L:$L,приходи!$E:$E,'ПП Ноември'!$C$8,приходи!$M:$M,'ПП Ноември'!U2)</f>
        <v>0</v>
      </c>
      <c r="V8" s="74">
        <f>SUMIFS(приходи!$L:$L,приходи!$E:$E,'ПП Ноември'!$C$8,приходи!$M:$M,'ПП Ноември'!V2)</f>
        <v>0</v>
      </c>
      <c r="W8" s="74">
        <f>SUMIFS(приходи!$L:$L,приходи!$E:$E,'ПП Ноември'!$C$8,приходи!$M:$M,'ПП Ноември'!W2)</f>
        <v>0</v>
      </c>
      <c r="X8" s="74">
        <f>SUMIFS(приходи!$L:$L,приходи!$E:$E,'ПП Ноември'!$C$8,приходи!$M:$M,'ПП Ноември'!X2)</f>
        <v>0</v>
      </c>
      <c r="Y8" s="74">
        <f>SUMIFS(приходи!$L:$L,приходи!$E:$E,'ПП Ноември'!$C$8,приходи!$M:$M,'ПП Ноември'!Y2)</f>
        <v>0</v>
      </c>
      <c r="Z8" s="74">
        <f>SUMIFS(приходи!$L:$L,приходи!$E:$E,'ПП Ноември'!$C$8,приходи!$M:$M,'ПП Ноември'!Z2)</f>
        <v>0</v>
      </c>
      <c r="AA8" s="76">
        <f>SUMIFS(приходи!$L:$L,приходи!$E:$E,'ПП Ноември'!$C$8,приходи!$M:$M,'ПП Ноември'!AA2)</f>
        <v>0</v>
      </c>
      <c r="AB8" s="76">
        <f>SUMIFS(приходи!$L:$L,приходи!$E:$E,'ПП Ноември'!$C$8,приходи!$M:$M,'ПП Ноември'!AB2)</f>
        <v>0</v>
      </c>
      <c r="AC8" s="74">
        <f>SUMIFS(приходи!$L:$L,приходи!$E:$E,'ПП Ноември'!$C$8,приходи!$M:$M,'ПП Ноември'!AC2)</f>
        <v>0</v>
      </c>
      <c r="AD8" s="74">
        <f>SUMIFS(приходи!$L:$L,приходи!$E:$E,'ПП Ноември'!$C$8,приходи!$M:$M,'ПП Ноември'!AD2)</f>
        <v>0</v>
      </c>
      <c r="AE8" s="74">
        <f>SUMIFS(приходи!$L:$L,приходи!$E:$E,'ПП Ноември'!$C$8,приходи!$M:$M,'ПП Ноември'!AE2)</f>
        <v>0</v>
      </c>
      <c r="AF8" s="74">
        <f>SUMIFS(приходи!$L:$L,приходи!$E:$E,'ПП Ноември'!$C$8,приходи!$M:$M,'ПП Ноември'!AF2)</f>
        <v>0</v>
      </c>
      <c r="AG8" s="74">
        <f>SUMIFS(приходи!$L:$L,приходи!$E:$E,'ПП Ноември'!$C$8,приходи!$M:$M,'ПП Ноември'!AG2)</f>
        <v>0</v>
      </c>
      <c r="AH8" s="76">
        <f>SUMIFS(приходи!$L:$L,приходи!$E:$E,'ПП Ноември'!$C$8,приходи!$M:$M,'ПП Ноември'!AH2)</f>
        <v>0</v>
      </c>
      <c r="AI8" s="61">
        <f t="shared" si="2"/>
        <v>0</v>
      </c>
      <c r="AJ8" s="69">
        <f t="shared" si="3"/>
        <v>0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Ноември'!$C$9,приходи!$M:$M,'ПП Ноември'!E2)</f>
        <v>0</v>
      </c>
      <c r="F9" s="76">
        <f>SUMIFS(приходи!$L:$L,приходи!$E:$E,'ПП Ноември'!$C$9,приходи!$M:$M,'ПП Ноември'!F2)</f>
        <v>0</v>
      </c>
      <c r="G9" s="76">
        <f>SUMIFS(приходи!$L:$L,приходи!$E:$E,'ПП Ноември'!$C$9,приходи!$M:$M,'ПП Ноември'!G2)</f>
        <v>0</v>
      </c>
      <c r="H9" s="74">
        <f>SUMIFS(приходи!$L:$L,приходи!$E:$E,'ПП Ноември'!$C$9,приходи!$M:$M,'ПП Ноември'!H2)</f>
        <v>0</v>
      </c>
      <c r="I9" s="74">
        <f>SUMIFS(приходи!$L:$L,приходи!$E:$E,'ПП Ноември'!$C$9,приходи!$M:$M,'ПП Ноември'!I2)</f>
        <v>0</v>
      </c>
      <c r="J9" s="74">
        <f>SUMIFS(приходи!$L:$L,приходи!$E:$E,'ПП Ноември'!$C$9,приходи!$M:$M,'ПП Ноември'!J2)</f>
        <v>0</v>
      </c>
      <c r="K9" s="74">
        <f>SUMIFS(приходи!$L:$L,приходи!$E:$E,'ПП Ноември'!$C$9,приходи!$M:$M,'ПП Ноември'!K2)</f>
        <v>0</v>
      </c>
      <c r="L9" s="74">
        <f>SUMIFS(приходи!$L:$L,приходи!$E:$E,'ПП Ноември'!$C$9,приходи!$M:$M,'ПП Ноември'!L2)</f>
        <v>0</v>
      </c>
      <c r="M9" s="76">
        <f>SUMIFS(приходи!$L:$L,приходи!$E:$E,'ПП Ноември'!$C$9,приходи!$M:$M,'ПП Ноември'!M2)</f>
        <v>0</v>
      </c>
      <c r="N9" s="76">
        <f>SUMIFS(приходи!$L:$L,приходи!$E:$E,'ПП Ноември'!$C$9,приходи!$M:$M,'ПП Ноември'!N2)</f>
        <v>0</v>
      </c>
      <c r="O9" s="74">
        <f>SUMIFS(приходи!$L:$L,приходи!$E:$E,'ПП Ноември'!$C$9,приходи!$M:$M,'ПП Ноември'!O2)</f>
        <v>0</v>
      </c>
      <c r="P9" s="74">
        <f>SUMIFS(приходи!$L:$L,приходи!$E:$E,'ПП Ноември'!$C$9,приходи!$M:$M,'ПП Ноември'!P2)</f>
        <v>0</v>
      </c>
      <c r="Q9" s="74">
        <f>SUMIFS(приходи!$L:$L,приходи!$E:$E,'ПП Ноември'!$C$9,приходи!$M:$M,'ПП Ноември'!Q2)</f>
        <v>0</v>
      </c>
      <c r="R9" s="74">
        <f>SUMIFS(приходи!$L:$L,приходи!$E:$E,'ПП Ноември'!$C$9,приходи!$M:$M,'ПП Ноември'!R2)</f>
        <v>0</v>
      </c>
      <c r="S9" s="74">
        <f>SUMIFS(приходи!$L:$L,приходи!$E:$E,'ПП Ноември'!$C$9,приходи!$M:$M,'ПП Ноември'!S2)</f>
        <v>0</v>
      </c>
      <c r="T9" s="76">
        <f>SUMIFS(приходи!$L:$L,приходи!$E:$E,'ПП Ноември'!$C$9,приходи!$M:$M,'ПП Ноември'!T2)</f>
        <v>0</v>
      </c>
      <c r="U9" s="76">
        <f>SUMIFS(приходи!$L:$L,приходи!$E:$E,'ПП Ноември'!$C$9,приходи!$M:$M,'ПП Ноември'!U2)</f>
        <v>0</v>
      </c>
      <c r="V9" s="74">
        <f>SUMIFS(приходи!$L:$L,приходи!$E:$E,'ПП Ноември'!$C$9,приходи!$M:$M,'ПП Ноември'!V2)</f>
        <v>0</v>
      </c>
      <c r="W9" s="74">
        <f>SUMIFS(приходи!$L:$L,приходи!$E:$E,'ПП Ноември'!$C$9,приходи!$M:$M,'ПП Ноември'!W2)</f>
        <v>0</v>
      </c>
      <c r="X9" s="74">
        <f>SUMIFS(приходи!$L:$L,приходи!$E:$E,'ПП Ноември'!$C$9,приходи!$M:$M,'ПП Ноември'!X2)</f>
        <v>0</v>
      </c>
      <c r="Y9" s="74">
        <f>SUMIFS(приходи!$L:$L,приходи!$E:$E,'ПП Ноември'!$C$9,приходи!$M:$M,'ПП Ноември'!Y2)</f>
        <v>0</v>
      </c>
      <c r="Z9" s="74">
        <f>SUMIFS(приходи!$L:$L,приходи!$E:$E,'ПП Ноември'!$C$9,приходи!$M:$M,'ПП Ноември'!Z2)</f>
        <v>0</v>
      </c>
      <c r="AA9" s="76">
        <f>SUMIFS(приходи!$L:$L,приходи!$E:$E,'ПП Ноември'!$C$9,приходи!$M:$M,'ПП Ноември'!AA2)</f>
        <v>0</v>
      </c>
      <c r="AB9" s="76">
        <f>SUMIFS(приходи!$L:$L,приходи!$E:$E,'ПП Ноември'!$C$9,приходи!$M:$M,'ПП Ноември'!AB2)</f>
        <v>0</v>
      </c>
      <c r="AC9" s="74">
        <f>SUMIFS(приходи!$L:$L,приходи!$E:$E,'ПП Ноември'!$C$9,приходи!$M:$M,'ПП Ноември'!AC2)</f>
        <v>0</v>
      </c>
      <c r="AD9" s="74">
        <f>SUMIFS(приходи!$L:$L,приходи!$E:$E,'ПП Ноември'!$C$9,приходи!$M:$M,'ПП Ноември'!AD2)</f>
        <v>0</v>
      </c>
      <c r="AE9" s="74">
        <f>SUMIFS(приходи!$L:$L,приходи!$E:$E,'ПП Ноември'!$C$9,приходи!$M:$M,'ПП Ноември'!AE2)</f>
        <v>0</v>
      </c>
      <c r="AF9" s="74">
        <f>SUMIFS(приходи!$L:$L,приходи!$E:$E,'ПП Ноември'!$C$9,приходи!$M:$M,'ПП Ноември'!AF2)</f>
        <v>0</v>
      </c>
      <c r="AG9" s="74">
        <f>SUMIFS(приходи!$L:$L,приходи!$E:$E,'ПП Ноември'!$C$9,приходи!$M:$M,'ПП Ноември'!AG2)</f>
        <v>0</v>
      </c>
      <c r="AH9" s="76">
        <f>SUMIFS(приходи!$L:$L,приходи!$E:$E,'ПП Ноември'!$C$9,приходи!$M:$M,'ПП Ноември'!AH2)</f>
        <v>0</v>
      </c>
      <c r="AI9" s="61">
        <f t="shared" si="2"/>
        <v>0</v>
      </c>
      <c r="AJ9" s="69">
        <f t="shared" si="3"/>
        <v>0</v>
      </c>
    </row>
    <row r="10" spans="1:36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Ноември'!$C$10,приходи!$M:$M,'ПП Ноември'!E2)</f>
        <v>0</v>
      </c>
      <c r="F10" s="76">
        <f>SUMIFS(приходи!$L:$L,приходи!$E:$E,'ПП Ноември'!$C$10,приходи!$M:$M,'ПП Ноември'!F2)</f>
        <v>0</v>
      </c>
      <c r="G10" s="76">
        <f>SUMIFS(приходи!$L:$L,приходи!$E:$E,'ПП Ноември'!$C$10,приходи!$M:$M,'ПП Ноември'!G2)</f>
        <v>0</v>
      </c>
      <c r="H10" s="74">
        <f>SUMIFS(приходи!$L:$L,приходи!$E:$E,'ПП Ноември'!$C$10,приходи!$M:$M,'ПП Ноември'!H2)</f>
        <v>0</v>
      </c>
      <c r="I10" s="74">
        <f>SUMIFS(приходи!$L:$L,приходи!$E:$E,'ПП Ноември'!$C$10,приходи!$M:$M,'ПП Ноември'!I2)</f>
        <v>0</v>
      </c>
      <c r="J10" s="74">
        <f>SUMIFS(приходи!$L:$L,приходи!$E:$E,'ПП Ноември'!$C$10,приходи!$M:$M,'ПП Ноември'!J2)</f>
        <v>0</v>
      </c>
      <c r="K10" s="74">
        <f>SUMIFS(приходи!$L:$L,приходи!$E:$E,'ПП Ноември'!$C$10,приходи!$M:$M,'ПП Ноември'!K2)</f>
        <v>0</v>
      </c>
      <c r="L10" s="74">
        <f>SUMIFS(приходи!$L:$L,приходи!$E:$E,'ПП Ноември'!$C$10,приходи!$M:$M,'ПП Ноември'!L2)</f>
        <v>0</v>
      </c>
      <c r="M10" s="76">
        <f>SUMIFS(приходи!$L:$L,приходи!$E:$E,'ПП Ноември'!$C$10,приходи!$M:$M,'ПП Ноември'!M2)</f>
        <v>0</v>
      </c>
      <c r="N10" s="76">
        <f>SUMIFS(приходи!$L:$L,приходи!$E:$E,'ПП Ноември'!$C$10,приходи!$M:$M,'ПП Ноември'!N2)</f>
        <v>0</v>
      </c>
      <c r="O10" s="74">
        <f>SUMIFS(приходи!$L:$L,приходи!$E:$E,'ПП Ноември'!$C$10,приходи!$M:$M,'ПП Ноември'!O2)</f>
        <v>0</v>
      </c>
      <c r="P10" s="74">
        <f>SUMIFS(приходи!$L:$L,приходи!$E:$E,'ПП Ноември'!$C$10,приходи!$M:$M,'ПП Ноември'!P2)</f>
        <v>0</v>
      </c>
      <c r="Q10" s="74">
        <f>SUMIFS(приходи!$L:$L,приходи!$E:$E,'ПП Ноември'!$C$10,приходи!$M:$M,'ПП Ноември'!Q2)</f>
        <v>0</v>
      </c>
      <c r="R10" s="74">
        <f>SUMIFS(приходи!$L:$L,приходи!$E:$E,'ПП Ноември'!$C$10,приходи!$M:$M,'ПП Ноември'!R2)</f>
        <v>0</v>
      </c>
      <c r="S10" s="74">
        <f>SUMIFS(приходи!$L:$L,приходи!$E:$E,'ПП Ноември'!$C$10,приходи!$M:$M,'ПП Ноември'!S2)</f>
        <v>0</v>
      </c>
      <c r="T10" s="76">
        <f>SUMIFS(приходи!$L:$L,приходи!$E:$E,'ПП Ноември'!$C$10,приходи!$M:$M,'ПП Ноември'!T2)</f>
        <v>0</v>
      </c>
      <c r="U10" s="76">
        <f>SUMIFS(приходи!$L:$L,приходи!$E:$E,'ПП Ноември'!$C$10,приходи!$M:$M,'ПП Ноември'!U2)</f>
        <v>0</v>
      </c>
      <c r="V10" s="74">
        <f>SUMIFS(приходи!$L:$L,приходи!$E:$E,'ПП Ноември'!$C$10,приходи!$M:$M,'ПП Ноември'!V2)</f>
        <v>0</v>
      </c>
      <c r="W10" s="74">
        <f>SUMIFS(приходи!$L:$L,приходи!$E:$E,'ПП Ноември'!$C$10,приходи!$M:$M,'ПП Ноември'!W2)</f>
        <v>0</v>
      </c>
      <c r="X10" s="74">
        <f>SUMIFS(приходи!$L:$L,приходи!$E:$E,'ПП Ноември'!$C$10,приходи!$M:$M,'ПП Ноември'!X2)</f>
        <v>0</v>
      </c>
      <c r="Y10" s="74">
        <f>SUMIFS(приходи!$L:$L,приходи!$E:$E,'ПП Ноември'!$C$10,приходи!$M:$M,'ПП Ноември'!Y2)</f>
        <v>0</v>
      </c>
      <c r="Z10" s="74">
        <f>SUMIFS(приходи!$L:$L,приходи!$E:$E,'ПП Ноември'!$C$10,приходи!$M:$M,'ПП Ноември'!Z2)</f>
        <v>0</v>
      </c>
      <c r="AA10" s="76">
        <f>SUMIFS(приходи!$L:$L,приходи!$E:$E,'ПП Ноември'!$C$10,приходи!$M:$M,'ПП Ноември'!AA2)</f>
        <v>0</v>
      </c>
      <c r="AB10" s="76">
        <f>SUMIFS(приходи!$L:$L,приходи!$E:$E,'ПП Ноември'!$C$10,приходи!$M:$M,'ПП Ноември'!AB2)</f>
        <v>0</v>
      </c>
      <c r="AC10" s="74">
        <f>SUMIFS(приходи!$L:$L,приходи!$E:$E,'ПП Ноември'!$C$10,приходи!$M:$M,'ПП Ноември'!AC2)</f>
        <v>0</v>
      </c>
      <c r="AD10" s="74">
        <f>SUMIFS(приходи!$L:$L,приходи!$E:$E,'ПП Ноември'!$C$10,приходи!$M:$M,'ПП Ноември'!AD2)</f>
        <v>0</v>
      </c>
      <c r="AE10" s="74">
        <f>SUMIFS(приходи!$L:$L,приходи!$E:$E,'ПП Ноември'!$C$10,приходи!$M:$M,'ПП Ноември'!AE2)</f>
        <v>0</v>
      </c>
      <c r="AF10" s="74">
        <f>SUMIFS(приходи!$L:$L,приходи!$E:$E,'ПП Ноември'!$C$10,приходи!$M:$M,'ПП Ноември'!AF2)</f>
        <v>0</v>
      </c>
      <c r="AG10" s="74">
        <f>SUMIFS(приходи!$L:$L,приходи!$E:$E,'ПП Ноември'!$C$10,приходи!$M:$M,'ПП Ноември'!AG2)</f>
        <v>0</v>
      </c>
      <c r="AH10" s="76">
        <f>SUMIFS(приходи!$L:$L,приходи!$E:$E,'ПП Ноември'!$C$10,приходи!$M:$M,'ПП Ноември'!AH2)</f>
        <v>0</v>
      </c>
      <c r="AI10" s="61">
        <f t="shared" si="2"/>
        <v>0</v>
      </c>
      <c r="AJ10" s="69">
        <f t="shared" si="3"/>
        <v>0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73">
        <f t="shared" ref="D11:AH11" si="8">SUM(D12:D13,D20,D21,D22)</f>
        <v>0</v>
      </c>
      <c r="E11" s="73">
        <f t="shared" si="8"/>
        <v>0</v>
      </c>
      <c r="F11" s="77">
        <f t="shared" si="8"/>
        <v>0</v>
      </c>
      <c r="G11" s="77">
        <f t="shared" si="8"/>
        <v>0</v>
      </c>
      <c r="H11" s="73">
        <f t="shared" si="8"/>
        <v>0</v>
      </c>
      <c r="I11" s="73">
        <f t="shared" si="8"/>
        <v>0</v>
      </c>
      <c r="J11" s="73">
        <f t="shared" si="8"/>
        <v>0</v>
      </c>
      <c r="K11" s="73">
        <f t="shared" si="8"/>
        <v>0</v>
      </c>
      <c r="L11" s="73">
        <f t="shared" si="8"/>
        <v>0</v>
      </c>
      <c r="M11" s="77">
        <f t="shared" si="8"/>
        <v>0</v>
      </c>
      <c r="N11" s="77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0</v>
      </c>
      <c r="S11" s="73">
        <f t="shared" si="8"/>
        <v>0</v>
      </c>
      <c r="T11" s="77">
        <f t="shared" si="8"/>
        <v>0</v>
      </c>
      <c r="U11" s="77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3">
        <f t="shared" si="8"/>
        <v>0</v>
      </c>
      <c r="Z11" s="73">
        <f t="shared" si="8"/>
        <v>0</v>
      </c>
      <c r="AA11" s="77">
        <f t="shared" si="8"/>
        <v>0</v>
      </c>
      <c r="AB11" s="77">
        <f t="shared" si="8"/>
        <v>0</v>
      </c>
      <c r="AC11" s="73">
        <f t="shared" si="8"/>
        <v>0</v>
      </c>
      <c r="AD11" s="73">
        <f t="shared" si="8"/>
        <v>0</v>
      </c>
      <c r="AE11" s="73">
        <f t="shared" si="8"/>
        <v>0</v>
      </c>
      <c r="AF11" s="73">
        <f t="shared" si="8"/>
        <v>0</v>
      </c>
      <c r="AG11" s="73">
        <f t="shared" si="8"/>
        <v>0</v>
      </c>
      <c r="AH11" s="77">
        <f t="shared" si="8"/>
        <v>0</v>
      </c>
      <c r="AI11" s="57">
        <f t="shared" si="2"/>
        <v>0</v>
      </c>
      <c r="AJ11" s="58">
        <f t="shared" si="3"/>
        <v>0</v>
      </c>
    </row>
    <row r="12" spans="1:36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Ноември'!$C$12,приходи!$M:$M,'ПП Ноември'!E2)</f>
        <v>0</v>
      </c>
      <c r="F12" s="76">
        <f>SUMIFS(приходи!$L:$L,приходи!$E:$E,'ПП Ноември'!$C$12,приходи!$M:$M,'ПП Ноември'!F2)</f>
        <v>0</v>
      </c>
      <c r="G12" s="76">
        <f>SUMIFS(приходи!$L:$L,приходи!$E:$E,'ПП Ноември'!$C$12,приходи!$M:$M,'ПП Ноември'!G2)</f>
        <v>0</v>
      </c>
      <c r="H12" s="74">
        <f>SUMIFS(приходи!$L:$L,приходи!$E:$E,'ПП Ноември'!$C$12,приходи!$M:$M,'ПП Ноември'!H2)</f>
        <v>0</v>
      </c>
      <c r="I12" s="74">
        <f>SUMIFS(приходи!$L:$L,приходи!$E:$E,'ПП Ноември'!$C$12,приходи!$M:$M,'ПП Ноември'!I2)</f>
        <v>0</v>
      </c>
      <c r="J12" s="74">
        <f>SUMIFS(приходи!$L:$L,приходи!$E:$E,'ПП Ноември'!$C$12,приходи!$M:$M,'ПП Ноември'!J2)</f>
        <v>0</v>
      </c>
      <c r="K12" s="74">
        <f>SUMIFS(приходи!$L:$L,приходи!$E:$E,'ПП Ноември'!$C$12,приходи!$M:$M,'ПП Ноември'!K2)</f>
        <v>0</v>
      </c>
      <c r="L12" s="74">
        <f>SUMIFS(приходи!$L:$L,приходи!$E:$E,'ПП Ноември'!$C$12,приходи!$M:$M,'ПП Ноември'!L2)</f>
        <v>0</v>
      </c>
      <c r="M12" s="76">
        <f>SUMIFS(приходи!$L:$L,приходи!$E:$E,'ПП Ноември'!$C$12,приходи!$M:$M,'ПП Ноември'!M2)</f>
        <v>0</v>
      </c>
      <c r="N12" s="76">
        <f>SUMIFS(приходи!$L:$L,приходи!$E:$E,'ПП Ноември'!$C$12,приходи!$M:$M,'ПП Ноември'!N2)</f>
        <v>0</v>
      </c>
      <c r="O12" s="74">
        <f>SUMIFS(приходи!$L:$L,приходи!$E:$E,'ПП Ноември'!$C$12,приходи!$M:$M,'ПП Ноември'!O2)</f>
        <v>0</v>
      </c>
      <c r="P12" s="74">
        <f>SUMIFS(приходи!$L:$L,приходи!$E:$E,'ПП Ноември'!$C$12,приходи!$M:$M,'ПП Ноември'!P2)</f>
        <v>0</v>
      </c>
      <c r="Q12" s="74">
        <f>SUMIFS(приходи!$L:$L,приходи!$E:$E,'ПП Ноември'!$C$12,приходи!$M:$M,'ПП Ноември'!Q2)</f>
        <v>0</v>
      </c>
      <c r="R12" s="74">
        <f>SUMIFS(приходи!$L:$L,приходи!$E:$E,'ПП Ноември'!$C$12,приходи!$M:$M,'ПП Ноември'!R2)</f>
        <v>0</v>
      </c>
      <c r="S12" s="74">
        <f>SUMIFS(приходи!$L:$L,приходи!$E:$E,'ПП Ноември'!$C$12,приходи!$M:$M,'ПП Ноември'!S2)</f>
        <v>0</v>
      </c>
      <c r="T12" s="76">
        <f>SUMIFS(приходи!$L:$L,приходи!$E:$E,'ПП Ноември'!$C$12,приходи!$M:$M,'ПП Ноември'!T2)</f>
        <v>0</v>
      </c>
      <c r="U12" s="76">
        <f>SUMIFS(приходи!$L:$L,приходи!$E:$E,'ПП Ноември'!$C$12,приходи!$M:$M,'ПП Ноември'!U2)</f>
        <v>0</v>
      </c>
      <c r="V12" s="74">
        <f>SUMIFS(приходи!$L:$L,приходи!$E:$E,'ПП Ноември'!$C$12,приходи!$M:$M,'ПП Ноември'!V2)</f>
        <v>0</v>
      </c>
      <c r="W12" s="74">
        <f>SUMIFS(приходи!$L:$L,приходи!$E:$E,'ПП Ноември'!$C$12,приходи!$M:$M,'ПП Ноември'!W2)</f>
        <v>0</v>
      </c>
      <c r="X12" s="74">
        <f>SUMIFS(приходи!$L:$L,приходи!$E:$E,'ПП Ноември'!$C$12,приходи!$M:$M,'ПП Ноември'!X2)</f>
        <v>0</v>
      </c>
      <c r="Y12" s="74">
        <f>SUMIFS(приходи!$L:$L,приходи!$E:$E,'ПП Ноември'!$C$12,приходи!$M:$M,'ПП Ноември'!Y2)</f>
        <v>0</v>
      </c>
      <c r="Z12" s="74">
        <f>SUMIFS(приходи!$L:$L,приходи!$E:$E,'ПП Ноември'!$C$12,приходи!$M:$M,'ПП Ноември'!Z2)</f>
        <v>0</v>
      </c>
      <c r="AA12" s="76">
        <f>SUMIFS(приходи!$L:$L,приходи!$E:$E,'ПП Ноември'!$C$12,приходи!$M:$M,'ПП Ноември'!AA2)</f>
        <v>0</v>
      </c>
      <c r="AB12" s="76">
        <f>SUMIFS(приходи!$L:$L,приходи!$E:$E,'ПП Ноември'!$C$12,приходи!$M:$M,'ПП Ноември'!AB2)</f>
        <v>0</v>
      </c>
      <c r="AC12" s="74">
        <f>SUMIFS(приходи!$L:$L,приходи!$E:$E,'ПП Ноември'!$C$12,приходи!$M:$M,'ПП Ноември'!AC2)</f>
        <v>0</v>
      </c>
      <c r="AD12" s="74">
        <f>SUMIFS(приходи!$L:$L,приходи!$E:$E,'ПП Ноември'!$C$12,приходи!$M:$M,'ПП Ноември'!AD2)</f>
        <v>0</v>
      </c>
      <c r="AE12" s="74">
        <f>SUMIFS(приходи!$L:$L,приходи!$E:$E,'ПП Ноември'!$C$12,приходи!$M:$M,'ПП Ноември'!AE2)</f>
        <v>0</v>
      </c>
      <c r="AF12" s="74">
        <f>SUMIFS(приходи!$L:$L,приходи!$E:$E,'ПП Ноември'!$C$12,приходи!$M:$M,'ПП Ноември'!AF2)</f>
        <v>0</v>
      </c>
      <c r="AG12" s="74">
        <f>SUMIFS(приходи!$L:$L,приходи!$E:$E,'ПП Ноември'!$C$12,приходи!$M:$M,'ПП Ноември'!AG2)</f>
        <v>0</v>
      </c>
      <c r="AH12" s="76">
        <f>SUMIFS(приходи!$L:$L,приходи!$E:$E,'ПП Ноември'!$C$12,приходи!$M:$M,'ПП Ноември'!AH2)</f>
        <v>0</v>
      </c>
      <c r="AI12" s="61">
        <f t="shared" si="2"/>
        <v>0</v>
      </c>
      <c r="AJ12" s="69">
        <f t="shared" si="3"/>
        <v>0</v>
      </c>
    </row>
    <row r="13" spans="1:36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H13" si="10">SUM(E14:E19)</f>
        <v>0</v>
      </c>
      <c r="F13" s="76">
        <f t="shared" si="10"/>
        <v>0</v>
      </c>
      <c r="G13" s="76">
        <f t="shared" si="10"/>
        <v>0</v>
      </c>
      <c r="H13" s="74">
        <f t="shared" si="10"/>
        <v>0</v>
      </c>
      <c r="I13" s="74">
        <f t="shared" si="10"/>
        <v>0</v>
      </c>
      <c r="J13" s="74">
        <f t="shared" si="10"/>
        <v>0</v>
      </c>
      <c r="K13" s="74">
        <f t="shared" si="10"/>
        <v>0</v>
      </c>
      <c r="L13" s="74">
        <f t="shared" si="10"/>
        <v>0</v>
      </c>
      <c r="M13" s="76">
        <f t="shared" si="10"/>
        <v>0</v>
      </c>
      <c r="N13" s="76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0</v>
      </c>
      <c r="S13" s="74">
        <f t="shared" si="10"/>
        <v>0</v>
      </c>
      <c r="T13" s="76">
        <f t="shared" si="10"/>
        <v>0</v>
      </c>
      <c r="U13" s="76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4">
        <f t="shared" si="10"/>
        <v>0</v>
      </c>
      <c r="Z13" s="74">
        <f t="shared" si="10"/>
        <v>0</v>
      </c>
      <c r="AA13" s="76">
        <f t="shared" si="10"/>
        <v>0</v>
      </c>
      <c r="AB13" s="76">
        <f t="shared" si="10"/>
        <v>0</v>
      </c>
      <c r="AC13" s="74">
        <f t="shared" si="10"/>
        <v>0</v>
      </c>
      <c r="AD13" s="74">
        <f t="shared" si="10"/>
        <v>0</v>
      </c>
      <c r="AE13" s="74">
        <f t="shared" si="10"/>
        <v>0</v>
      </c>
      <c r="AF13" s="74">
        <f t="shared" si="10"/>
        <v>0</v>
      </c>
      <c r="AG13" s="74">
        <f t="shared" si="10"/>
        <v>0</v>
      </c>
      <c r="AH13" s="76">
        <f t="shared" si="10"/>
        <v>0</v>
      </c>
      <c r="AI13" s="61">
        <f t="shared" si="2"/>
        <v>0</v>
      </c>
      <c r="AJ13" s="62">
        <f t="shared" si="3"/>
        <v>0</v>
      </c>
    </row>
    <row r="14" spans="1:36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Ноември'!$C$14,приходи!$M:$M,'ПП Ноември'!E2)</f>
        <v>0</v>
      </c>
      <c r="F14" s="76">
        <f>SUMIFS(приходи!$L:$L,приходи!$E:$E,'ПП Ноември'!$C$14,приходи!$M:$M,'ПП Ноември'!F2)</f>
        <v>0</v>
      </c>
      <c r="G14" s="76">
        <f>SUMIFS(приходи!$L:$L,приходи!$E:$E,'ПП Ноември'!$C$14,приходи!$M:$M,'ПП Ноември'!G2)</f>
        <v>0</v>
      </c>
      <c r="H14" s="74">
        <f>SUMIFS(приходи!$L:$L,приходи!$E:$E,'ПП Ноември'!$C$14,приходи!$M:$M,'ПП Ноември'!H2)</f>
        <v>0</v>
      </c>
      <c r="I14" s="74">
        <f>SUMIFS(приходи!$L:$L,приходи!$E:$E,'ПП Ноември'!$C$14,приходи!$M:$M,'ПП Ноември'!I2)</f>
        <v>0</v>
      </c>
      <c r="J14" s="74">
        <f>SUMIFS(приходи!$L:$L,приходи!$E:$E,'ПП Ноември'!$C$14,приходи!$M:$M,'ПП Ноември'!J2)</f>
        <v>0</v>
      </c>
      <c r="K14" s="74">
        <f>SUMIFS(приходи!$L:$L,приходи!$E:$E,'ПП Ноември'!$C$14,приходи!$M:$M,'ПП Ноември'!K2)</f>
        <v>0</v>
      </c>
      <c r="L14" s="74">
        <f>SUMIFS(приходи!$L:$L,приходи!$E:$E,'ПП Ноември'!$C$14,приходи!$M:$M,'ПП Ноември'!L2)</f>
        <v>0</v>
      </c>
      <c r="M14" s="76">
        <f>SUMIFS(приходи!$L:$L,приходи!$E:$E,'ПП Ноември'!$C$14,приходи!$M:$M,'ПП Ноември'!M2)</f>
        <v>0</v>
      </c>
      <c r="N14" s="76">
        <f>SUMIFS(приходи!$L:$L,приходи!$E:$E,'ПП Ноември'!$C$14,приходи!$M:$M,'ПП Ноември'!N2)</f>
        <v>0</v>
      </c>
      <c r="O14" s="74">
        <f>SUMIFS(приходи!$L:$L,приходи!$E:$E,'ПП Ноември'!$C$14,приходи!$M:$M,'ПП Ноември'!O2)</f>
        <v>0</v>
      </c>
      <c r="P14" s="74">
        <f>SUMIFS(приходи!$L:$L,приходи!$E:$E,'ПП Ноември'!$C$14,приходи!$M:$M,'ПП Ноември'!P2)</f>
        <v>0</v>
      </c>
      <c r="Q14" s="74">
        <f>SUMIFS(приходи!$L:$L,приходи!$E:$E,'ПП Ноември'!$C$14,приходи!$M:$M,'ПП Ноември'!Q2)</f>
        <v>0</v>
      </c>
      <c r="R14" s="74">
        <f>SUMIFS(приходи!$L:$L,приходи!$E:$E,'ПП Ноември'!$C$14,приходи!$M:$M,'ПП Ноември'!R2)</f>
        <v>0</v>
      </c>
      <c r="S14" s="74">
        <f>SUMIFS(приходи!$L:$L,приходи!$E:$E,'ПП Ноември'!$C$14,приходи!$M:$M,'ПП Ноември'!S2)</f>
        <v>0</v>
      </c>
      <c r="T14" s="76">
        <f>SUMIFS(приходи!$L:$L,приходи!$E:$E,'ПП Ноември'!$C$14,приходи!$M:$M,'ПП Ноември'!T2)</f>
        <v>0</v>
      </c>
      <c r="U14" s="76">
        <f>SUMIFS(приходи!$L:$L,приходи!$E:$E,'ПП Ноември'!$C$14,приходи!$M:$M,'ПП Ноември'!U2)</f>
        <v>0</v>
      </c>
      <c r="V14" s="74">
        <f>SUMIFS(приходи!$L:$L,приходи!$E:$E,'ПП Ноември'!$C$14,приходи!$M:$M,'ПП Ноември'!V2)</f>
        <v>0</v>
      </c>
      <c r="W14" s="74">
        <f>SUMIFS(приходи!$L:$L,приходи!$E:$E,'ПП Ноември'!$C$14,приходи!$M:$M,'ПП Ноември'!W2)</f>
        <v>0</v>
      </c>
      <c r="X14" s="74">
        <f>SUMIFS(приходи!$L:$L,приходи!$E:$E,'ПП Ноември'!$C$14,приходи!$M:$M,'ПП Ноември'!X2)</f>
        <v>0</v>
      </c>
      <c r="Y14" s="74">
        <f>SUMIFS(приходи!$L:$L,приходи!$E:$E,'ПП Ноември'!$C$14,приходи!$M:$M,'ПП Ноември'!Y2)</f>
        <v>0</v>
      </c>
      <c r="Z14" s="74">
        <f>SUMIFS(приходи!$L:$L,приходи!$E:$E,'ПП Ноември'!$C$14,приходи!$M:$M,'ПП Ноември'!Z2)</f>
        <v>0</v>
      </c>
      <c r="AA14" s="76">
        <f>SUMIFS(приходи!$L:$L,приходи!$E:$E,'ПП Ноември'!$C$14,приходи!$M:$M,'ПП Ноември'!AA2)</f>
        <v>0</v>
      </c>
      <c r="AB14" s="76">
        <f>SUMIFS(приходи!$L:$L,приходи!$E:$E,'ПП Ноември'!$C$14,приходи!$M:$M,'ПП Ноември'!AB2)</f>
        <v>0</v>
      </c>
      <c r="AC14" s="74">
        <f>SUMIFS(приходи!$L:$L,приходи!$E:$E,'ПП Ноември'!$C$14,приходи!$M:$M,'ПП Ноември'!AC2)</f>
        <v>0</v>
      </c>
      <c r="AD14" s="74">
        <f>SUMIFS(приходи!$L:$L,приходи!$E:$E,'ПП Ноември'!$C$14,приходи!$M:$M,'ПП Ноември'!AD2)</f>
        <v>0</v>
      </c>
      <c r="AE14" s="74">
        <f>SUMIFS(приходи!$L:$L,приходи!$E:$E,'ПП Ноември'!$C$14,приходи!$M:$M,'ПП Ноември'!AE2)</f>
        <v>0</v>
      </c>
      <c r="AF14" s="74">
        <f>SUMIFS(приходи!$L:$L,приходи!$E:$E,'ПП Ноември'!$C$14,приходи!$M:$M,'ПП Ноември'!AF2)</f>
        <v>0</v>
      </c>
      <c r="AG14" s="74">
        <f>SUMIFS(приходи!$L:$L,приходи!$E:$E,'ПП Ноември'!$C$14,приходи!$M:$M,'ПП Ноември'!AG2)</f>
        <v>0</v>
      </c>
      <c r="AH14" s="76">
        <f>SUMIFS(приходи!$L:$L,приходи!$E:$E,'ПП Ноември'!$C$14,приходи!$M:$M,'ПП Ноември'!AH2)</f>
        <v>0</v>
      </c>
      <c r="AI14" s="61">
        <f t="shared" si="2"/>
        <v>0</v>
      </c>
      <c r="AJ14" s="69">
        <f t="shared" si="3"/>
        <v>0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Ноември'!$C$15,приходи!$M:$M,'ПП Ноември'!E2)</f>
        <v>0</v>
      </c>
      <c r="F15" s="76">
        <f>SUMIFS(приходи!$L:$L,приходи!$E:$E,'ПП Ноември'!$C$15,приходи!$M:$M,'ПП Ноември'!F2)</f>
        <v>0</v>
      </c>
      <c r="G15" s="76">
        <f>SUMIFS(приходи!$L:$L,приходи!$E:$E,'ПП Ноември'!$C$15,приходи!$M:$M,'ПП Ноември'!G2)</f>
        <v>0</v>
      </c>
      <c r="H15" s="74">
        <f>SUMIFS(приходи!$L:$L,приходи!$E:$E,'ПП Ноември'!$C$15,приходи!$M:$M,'ПП Ноември'!H2)</f>
        <v>0</v>
      </c>
      <c r="I15" s="74">
        <f>SUMIFS(приходи!$L:$L,приходи!$E:$E,'ПП Ноември'!$C$15,приходи!$M:$M,'ПП Ноември'!I2)</f>
        <v>0</v>
      </c>
      <c r="J15" s="74">
        <f>SUMIFS(приходи!$L:$L,приходи!$E:$E,'ПП Ноември'!$C$15,приходи!$M:$M,'ПП Ноември'!J2)</f>
        <v>0</v>
      </c>
      <c r="K15" s="74">
        <f>SUMIFS(приходи!$L:$L,приходи!$E:$E,'ПП Ноември'!$C$15,приходи!$M:$M,'ПП Ноември'!K2)</f>
        <v>0</v>
      </c>
      <c r="L15" s="74">
        <f>SUMIFS(приходи!$L:$L,приходи!$E:$E,'ПП Ноември'!$C$15,приходи!$M:$M,'ПП Ноември'!L2)</f>
        <v>0</v>
      </c>
      <c r="M15" s="76">
        <f>SUMIFS(приходи!$L:$L,приходи!$E:$E,'ПП Ноември'!$C$15,приходи!$M:$M,'ПП Ноември'!M2)</f>
        <v>0</v>
      </c>
      <c r="N15" s="76">
        <f>SUMIFS(приходи!$L:$L,приходи!$E:$E,'ПП Ноември'!$C$15,приходи!$M:$M,'ПП Ноември'!N2)</f>
        <v>0</v>
      </c>
      <c r="O15" s="74">
        <f>SUMIFS(приходи!$L:$L,приходи!$E:$E,'ПП Ноември'!$C$15,приходи!$M:$M,'ПП Ноември'!O2)</f>
        <v>0</v>
      </c>
      <c r="P15" s="74">
        <f>SUMIFS(приходи!$L:$L,приходи!$E:$E,'ПП Ноември'!$C$15,приходи!$M:$M,'ПП Ноември'!P2)</f>
        <v>0</v>
      </c>
      <c r="Q15" s="74">
        <f>SUMIFS(приходи!$L:$L,приходи!$E:$E,'ПП Ноември'!$C$15,приходи!$M:$M,'ПП Ноември'!Q2)</f>
        <v>0</v>
      </c>
      <c r="R15" s="74">
        <f>SUMIFS(приходи!$L:$L,приходи!$E:$E,'ПП Ноември'!$C$15,приходи!$M:$M,'ПП Ноември'!R2)</f>
        <v>0</v>
      </c>
      <c r="S15" s="74">
        <f>SUMIFS(приходи!$L:$L,приходи!$E:$E,'ПП Ноември'!$C$15,приходи!$M:$M,'ПП Ноември'!S2)</f>
        <v>0</v>
      </c>
      <c r="T15" s="76">
        <f>SUMIFS(приходи!$L:$L,приходи!$E:$E,'ПП Ноември'!$C$15,приходи!$M:$M,'ПП Ноември'!T2)</f>
        <v>0</v>
      </c>
      <c r="U15" s="76">
        <f>SUMIFS(приходи!$L:$L,приходи!$E:$E,'ПП Ноември'!$C$15,приходи!$M:$M,'ПП Ноември'!U2)</f>
        <v>0</v>
      </c>
      <c r="V15" s="74">
        <f>SUMIFS(приходи!$L:$L,приходи!$E:$E,'ПП Ноември'!$C$15,приходи!$M:$M,'ПП Ноември'!V2)</f>
        <v>0</v>
      </c>
      <c r="W15" s="74">
        <f>SUMIFS(приходи!$L:$L,приходи!$E:$E,'ПП Ноември'!$C$15,приходи!$M:$M,'ПП Ноември'!W2)</f>
        <v>0</v>
      </c>
      <c r="X15" s="74">
        <f>SUMIFS(приходи!$L:$L,приходи!$E:$E,'ПП Ноември'!$C$15,приходи!$M:$M,'ПП Ноември'!X2)</f>
        <v>0</v>
      </c>
      <c r="Y15" s="74">
        <f>SUMIFS(приходи!$L:$L,приходи!$E:$E,'ПП Ноември'!$C$15,приходи!$M:$M,'ПП Ноември'!Y2)</f>
        <v>0</v>
      </c>
      <c r="Z15" s="74">
        <f>SUMIFS(приходи!$L:$L,приходи!$E:$E,'ПП Ноември'!$C$15,приходи!$M:$M,'ПП Ноември'!Z2)</f>
        <v>0</v>
      </c>
      <c r="AA15" s="76">
        <f>SUMIFS(приходи!$L:$L,приходи!$E:$E,'ПП Ноември'!$C$15,приходи!$M:$M,'ПП Ноември'!AA2)</f>
        <v>0</v>
      </c>
      <c r="AB15" s="76">
        <f>SUMIFS(приходи!$L:$L,приходи!$E:$E,'ПП Ноември'!$C$15,приходи!$M:$M,'ПП Ноември'!AB2)</f>
        <v>0</v>
      </c>
      <c r="AC15" s="74">
        <f>SUMIFS(приходи!$L:$L,приходи!$E:$E,'ПП Ноември'!$C$15,приходи!$M:$M,'ПП Ноември'!AC2)</f>
        <v>0</v>
      </c>
      <c r="AD15" s="74">
        <f>SUMIFS(приходи!$L:$L,приходи!$E:$E,'ПП Ноември'!$C$15,приходи!$M:$M,'ПП Ноември'!AD2)</f>
        <v>0</v>
      </c>
      <c r="AE15" s="74">
        <f>SUMIFS(приходи!$L:$L,приходи!$E:$E,'ПП Ноември'!$C$15,приходи!$M:$M,'ПП Ноември'!AE2)</f>
        <v>0</v>
      </c>
      <c r="AF15" s="74">
        <f>SUMIFS(приходи!$L:$L,приходи!$E:$E,'ПП Ноември'!$C$15,приходи!$M:$M,'ПП Ноември'!AF2)</f>
        <v>0</v>
      </c>
      <c r="AG15" s="74">
        <f>SUMIFS(приходи!$L:$L,приходи!$E:$E,'ПП Ноември'!$C$15,приходи!$M:$M,'ПП Ноември'!AG2)</f>
        <v>0</v>
      </c>
      <c r="AH15" s="76">
        <f>SUMIFS(приходи!$L:$L,приходи!$E:$E,'ПП Ноември'!$C$15,приходи!$M:$M,'ПП Ноември'!AH2)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Ноември'!$C$16,приходи!$M:$M,'ПП Ноември'!E2)</f>
        <v>0</v>
      </c>
      <c r="F16" s="76">
        <f>SUMIFS(приходи!$L:$L,приходи!$E:$E,'ПП Ноември'!$C$16,приходи!$M:$M,'ПП Ноември'!F2)</f>
        <v>0</v>
      </c>
      <c r="G16" s="76">
        <f>SUMIFS(приходи!$L:$L,приходи!$E:$E,'ПП Ноември'!$C$16,приходи!$M:$M,'ПП Ноември'!G2)</f>
        <v>0</v>
      </c>
      <c r="H16" s="74">
        <f>SUMIFS(приходи!$L:$L,приходи!$E:$E,'ПП Ноември'!$C$16,приходи!$M:$M,'ПП Ноември'!H2)</f>
        <v>0</v>
      </c>
      <c r="I16" s="74">
        <f>SUMIFS(приходи!$L:$L,приходи!$E:$E,'ПП Ноември'!$C$16,приходи!$M:$M,'ПП Ноември'!I2)</f>
        <v>0</v>
      </c>
      <c r="J16" s="74">
        <f>SUMIFS(приходи!$L:$L,приходи!$E:$E,'ПП Ноември'!$C$16,приходи!$M:$M,'ПП Ноември'!J2)</f>
        <v>0</v>
      </c>
      <c r="K16" s="74">
        <f>SUMIFS(приходи!$L:$L,приходи!$E:$E,'ПП Ноември'!$C$16,приходи!$M:$M,'ПП Ноември'!K2)</f>
        <v>0</v>
      </c>
      <c r="L16" s="74">
        <f>SUMIFS(приходи!$L:$L,приходи!$E:$E,'ПП Ноември'!$C$16,приходи!$M:$M,'ПП Ноември'!L2)</f>
        <v>0</v>
      </c>
      <c r="M16" s="76">
        <f>SUMIFS(приходи!$L:$L,приходи!$E:$E,'ПП Ноември'!$C$16,приходи!$M:$M,'ПП Ноември'!M2)</f>
        <v>0</v>
      </c>
      <c r="N16" s="76">
        <f>SUMIFS(приходи!$L:$L,приходи!$E:$E,'ПП Ноември'!$C$16,приходи!$M:$M,'ПП Ноември'!N2)</f>
        <v>0</v>
      </c>
      <c r="O16" s="74">
        <f>SUMIFS(приходи!$L:$L,приходи!$E:$E,'ПП Ноември'!$C$16,приходи!$M:$M,'ПП Ноември'!O2)</f>
        <v>0</v>
      </c>
      <c r="P16" s="74">
        <f>SUMIFS(приходи!$L:$L,приходи!$E:$E,'ПП Ноември'!$C$16,приходи!$M:$M,'ПП Ноември'!P2)</f>
        <v>0</v>
      </c>
      <c r="Q16" s="74">
        <f>SUMIFS(приходи!$L:$L,приходи!$E:$E,'ПП Ноември'!$C$16,приходи!$M:$M,'ПП Ноември'!Q2)</f>
        <v>0</v>
      </c>
      <c r="R16" s="74">
        <f>SUMIFS(приходи!$L:$L,приходи!$E:$E,'ПП Ноември'!$C$16,приходи!$M:$M,'ПП Ноември'!R2)</f>
        <v>0</v>
      </c>
      <c r="S16" s="74">
        <f>SUMIFS(приходи!$L:$L,приходи!$E:$E,'ПП Ноември'!$C$16,приходи!$M:$M,'ПП Ноември'!S2)</f>
        <v>0</v>
      </c>
      <c r="T16" s="76">
        <f>SUMIFS(приходи!$L:$L,приходи!$E:$E,'ПП Ноември'!$C$16,приходи!$M:$M,'ПП Ноември'!T2)</f>
        <v>0</v>
      </c>
      <c r="U16" s="76">
        <f>SUMIFS(приходи!$L:$L,приходи!$E:$E,'ПП Ноември'!$C$16,приходи!$M:$M,'ПП Ноември'!U2)</f>
        <v>0</v>
      </c>
      <c r="V16" s="74">
        <f>SUMIFS(приходи!$L:$L,приходи!$E:$E,'ПП Ноември'!$C$16,приходи!$M:$M,'ПП Ноември'!V2)</f>
        <v>0</v>
      </c>
      <c r="W16" s="74">
        <f>SUMIFS(приходи!$L:$L,приходи!$E:$E,'ПП Ноември'!$C$16,приходи!$M:$M,'ПП Ноември'!W2)</f>
        <v>0</v>
      </c>
      <c r="X16" s="74">
        <f>SUMIFS(приходи!$L:$L,приходи!$E:$E,'ПП Ноември'!$C$16,приходи!$M:$M,'ПП Ноември'!X2)</f>
        <v>0</v>
      </c>
      <c r="Y16" s="74">
        <f>SUMIFS(приходи!$L:$L,приходи!$E:$E,'ПП Ноември'!$C$16,приходи!$M:$M,'ПП Ноември'!Y2)</f>
        <v>0</v>
      </c>
      <c r="Z16" s="74">
        <f>SUMIFS(приходи!$L:$L,приходи!$E:$E,'ПП Ноември'!$C$16,приходи!$M:$M,'ПП Ноември'!Z2)</f>
        <v>0</v>
      </c>
      <c r="AA16" s="76">
        <f>SUMIFS(приходи!$L:$L,приходи!$E:$E,'ПП Ноември'!$C$16,приходи!$M:$M,'ПП Ноември'!AA2)</f>
        <v>0</v>
      </c>
      <c r="AB16" s="76">
        <f>SUMIFS(приходи!$L:$L,приходи!$E:$E,'ПП Ноември'!$C$16,приходи!$M:$M,'ПП Ноември'!AB2)</f>
        <v>0</v>
      </c>
      <c r="AC16" s="74">
        <f>SUMIFS(приходи!$L:$L,приходи!$E:$E,'ПП Ноември'!$C$16,приходи!$M:$M,'ПП Ноември'!AC2)</f>
        <v>0</v>
      </c>
      <c r="AD16" s="74">
        <f>SUMIFS(приходи!$L:$L,приходи!$E:$E,'ПП Ноември'!$C$16,приходи!$M:$M,'ПП Ноември'!AD2)</f>
        <v>0</v>
      </c>
      <c r="AE16" s="74">
        <f>SUMIFS(приходи!$L:$L,приходи!$E:$E,'ПП Ноември'!$C$16,приходи!$M:$M,'ПП Ноември'!AE2)</f>
        <v>0</v>
      </c>
      <c r="AF16" s="74">
        <f>SUMIFS(приходи!$L:$L,приходи!$E:$E,'ПП Ноември'!$C$16,приходи!$M:$M,'ПП Ноември'!AF2)</f>
        <v>0</v>
      </c>
      <c r="AG16" s="74">
        <f>SUMIFS(приходи!$L:$L,приходи!$E:$E,'ПП Ноември'!$C$16,приходи!$M:$M,'ПП Ноември'!AG2)</f>
        <v>0</v>
      </c>
      <c r="AH16" s="76">
        <f>SUMIFS(приходи!$L:$L,приходи!$E:$E,'ПП Ноември'!$C$16,приходи!$M:$M,'ПП Ноември'!AH2)</f>
        <v>0</v>
      </c>
      <c r="AI16" s="61">
        <f t="shared" si="2"/>
        <v>0</v>
      </c>
      <c r="AJ16" s="69">
        <f t="shared" si="3"/>
        <v>0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Ноември'!$C$17,приходи!$M:$M,'ПП Ноември'!E2)</f>
        <v>0</v>
      </c>
      <c r="F17" s="76">
        <f>SUMIFS(приходи!$L:$L,приходи!$E:$E,'ПП Ноември'!$C$17,приходи!$M:$M,'ПП Ноември'!F2)</f>
        <v>0</v>
      </c>
      <c r="G17" s="76">
        <f>SUMIFS(приходи!$L:$L,приходи!$E:$E,'ПП Ноември'!$C$17,приходи!$M:$M,'ПП Ноември'!G2)</f>
        <v>0</v>
      </c>
      <c r="H17" s="74">
        <f>SUMIFS(приходи!$L:$L,приходи!$E:$E,'ПП Ноември'!$C$17,приходи!$M:$M,'ПП Ноември'!H2)</f>
        <v>0</v>
      </c>
      <c r="I17" s="74">
        <f>SUMIFS(приходи!$L:$L,приходи!$E:$E,'ПП Ноември'!$C$17,приходи!$M:$M,'ПП Ноември'!I2)</f>
        <v>0</v>
      </c>
      <c r="J17" s="74">
        <f>SUMIFS(приходи!$L:$L,приходи!$E:$E,'ПП Ноември'!$C$17,приходи!$M:$M,'ПП Ноември'!J2)</f>
        <v>0</v>
      </c>
      <c r="K17" s="74">
        <f>SUMIFS(приходи!$L:$L,приходи!$E:$E,'ПП Ноември'!$C$17,приходи!$M:$M,'ПП Ноември'!K2)</f>
        <v>0</v>
      </c>
      <c r="L17" s="74">
        <f>SUMIFS(приходи!$L:$L,приходи!$E:$E,'ПП Ноември'!$C$17,приходи!$M:$M,'ПП Ноември'!L2)</f>
        <v>0</v>
      </c>
      <c r="M17" s="76">
        <f>SUMIFS(приходи!$L:$L,приходи!$E:$E,'ПП Ноември'!$C$17,приходи!$M:$M,'ПП Ноември'!M2)</f>
        <v>0</v>
      </c>
      <c r="N17" s="76">
        <f>SUMIFS(приходи!$L:$L,приходи!$E:$E,'ПП Ноември'!$C$17,приходи!$M:$M,'ПП Ноември'!N2)</f>
        <v>0</v>
      </c>
      <c r="O17" s="74">
        <f>SUMIFS(приходи!$L:$L,приходи!$E:$E,'ПП Ноември'!$C$17,приходи!$M:$M,'ПП Ноември'!O2)</f>
        <v>0</v>
      </c>
      <c r="P17" s="74">
        <f>SUMIFS(приходи!$L:$L,приходи!$E:$E,'ПП Ноември'!$C$17,приходи!$M:$M,'ПП Ноември'!P2)</f>
        <v>0</v>
      </c>
      <c r="Q17" s="74">
        <f>SUMIFS(приходи!$L:$L,приходи!$E:$E,'ПП Ноември'!$C$17,приходи!$M:$M,'ПП Ноември'!Q2)</f>
        <v>0</v>
      </c>
      <c r="R17" s="74">
        <f>SUMIFS(приходи!$L:$L,приходи!$E:$E,'ПП Ноември'!$C$17,приходи!$M:$M,'ПП Ноември'!R2)</f>
        <v>0</v>
      </c>
      <c r="S17" s="74">
        <f>SUMIFS(приходи!$L:$L,приходи!$E:$E,'ПП Ноември'!$C$17,приходи!$M:$M,'ПП Ноември'!S2)</f>
        <v>0</v>
      </c>
      <c r="T17" s="76">
        <f>SUMIFS(приходи!$L:$L,приходи!$E:$E,'ПП Ноември'!$C$17,приходи!$M:$M,'ПП Ноември'!T2)</f>
        <v>0</v>
      </c>
      <c r="U17" s="76">
        <f>SUMIFS(приходи!$L:$L,приходи!$E:$E,'ПП Ноември'!$C$17,приходи!$M:$M,'ПП Ноември'!U2)</f>
        <v>0</v>
      </c>
      <c r="V17" s="74">
        <f>SUMIFS(приходи!$L:$L,приходи!$E:$E,'ПП Ноември'!$C$17,приходи!$M:$M,'ПП Ноември'!V2)</f>
        <v>0</v>
      </c>
      <c r="W17" s="74">
        <f>SUMIFS(приходи!$L:$L,приходи!$E:$E,'ПП Ноември'!$C$17,приходи!$M:$M,'ПП Ноември'!W2)</f>
        <v>0</v>
      </c>
      <c r="X17" s="74">
        <f>SUMIFS(приходи!$L:$L,приходи!$E:$E,'ПП Ноември'!$C$17,приходи!$M:$M,'ПП Ноември'!X2)</f>
        <v>0</v>
      </c>
      <c r="Y17" s="74">
        <f>SUMIFS(приходи!$L:$L,приходи!$E:$E,'ПП Ноември'!$C$17,приходи!$M:$M,'ПП Ноември'!Y2)</f>
        <v>0</v>
      </c>
      <c r="Z17" s="74">
        <f>SUMIFS(приходи!$L:$L,приходи!$E:$E,'ПП Ноември'!$C$17,приходи!$M:$M,'ПП Ноември'!Z2)</f>
        <v>0</v>
      </c>
      <c r="AA17" s="76">
        <f>SUMIFS(приходи!$L:$L,приходи!$E:$E,'ПП Ноември'!$C$17,приходи!$M:$M,'ПП Ноември'!AA2)</f>
        <v>0</v>
      </c>
      <c r="AB17" s="76">
        <f>SUMIFS(приходи!$L:$L,приходи!$E:$E,'ПП Ноември'!$C$17,приходи!$M:$M,'ПП Ноември'!AB2)</f>
        <v>0</v>
      </c>
      <c r="AC17" s="74">
        <f>SUMIFS(приходи!$L:$L,приходи!$E:$E,'ПП Ноември'!$C$17,приходи!$M:$M,'ПП Ноември'!AC2)</f>
        <v>0</v>
      </c>
      <c r="AD17" s="74">
        <f>SUMIFS(приходи!$L:$L,приходи!$E:$E,'ПП Ноември'!$C$17,приходи!$M:$M,'ПП Ноември'!AD2)</f>
        <v>0</v>
      </c>
      <c r="AE17" s="74">
        <f>SUMIFS(приходи!$L:$L,приходи!$E:$E,'ПП Ноември'!$C$17,приходи!$M:$M,'ПП Ноември'!AE2)</f>
        <v>0</v>
      </c>
      <c r="AF17" s="74">
        <f>SUMIFS(приходи!$L:$L,приходи!$E:$E,'ПП Ноември'!$C$17,приходи!$M:$M,'ПП Ноември'!AF2)</f>
        <v>0</v>
      </c>
      <c r="AG17" s="74">
        <f>SUMIFS(приходи!$L:$L,приходи!$E:$E,'ПП Ноември'!$C$17,приходи!$M:$M,'ПП Ноември'!AG2)</f>
        <v>0</v>
      </c>
      <c r="AH17" s="76">
        <f>SUMIFS(приходи!$L:$L,приходи!$E:$E,'ПП Ноември'!$C$17,приходи!$M:$M,'ПП Ноември'!AH2)</f>
        <v>0</v>
      </c>
      <c r="AI17" s="61">
        <f t="shared" si="2"/>
        <v>0</v>
      </c>
      <c r="AJ17" s="69">
        <f t="shared" si="3"/>
        <v>0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Ноември'!$C$18,приходи!$M:$M,'ПП Ноември'!E2)</f>
        <v>0</v>
      </c>
      <c r="F18" s="76">
        <f>SUMIFS(приходи!$L:$L,приходи!$E:$E,'ПП Ноември'!$C$18,приходи!$M:$M,'ПП Ноември'!F2)</f>
        <v>0</v>
      </c>
      <c r="G18" s="76">
        <f>SUMIFS(приходи!$L:$L,приходи!$E:$E,'ПП Ноември'!$C$18,приходи!$M:$M,'ПП Ноември'!G2)</f>
        <v>0</v>
      </c>
      <c r="H18" s="74">
        <f>SUMIFS(приходи!$L:$L,приходи!$E:$E,'ПП Ноември'!$C$18,приходи!$M:$M,'ПП Ноември'!H2)</f>
        <v>0</v>
      </c>
      <c r="I18" s="74">
        <f>SUMIFS(приходи!$L:$L,приходи!$E:$E,'ПП Ноември'!$C$18,приходи!$M:$M,'ПП Ноември'!I2)</f>
        <v>0</v>
      </c>
      <c r="J18" s="74">
        <f>SUMIFS(приходи!$L:$L,приходи!$E:$E,'ПП Ноември'!$C$18,приходи!$M:$M,'ПП Ноември'!J2)</f>
        <v>0</v>
      </c>
      <c r="K18" s="74">
        <f>SUMIFS(приходи!$L:$L,приходи!$E:$E,'ПП Ноември'!$C$18,приходи!$M:$M,'ПП Ноември'!K2)</f>
        <v>0</v>
      </c>
      <c r="L18" s="74">
        <f>SUMIFS(приходи!$L:$L,приходи!$E:$E,'ПП Ноември'!$C$18,приходи!$M:$M,'ПП Ноември'!L2)</f>
        <v>0</v>
      </c>
      <c r="M18" s="76">
        <f>SUMIFS(приходи!$L:$L,приходи!$E:$E,'ПП Ноември'!$C$18,приходи!$M:$M,'ПП Ноември'!M2)</f>
        <v>0</v>
      </c>
      <c r="N18" s="76">
        <f>SUMIFS(приходи!$L:$L,приходи!$E:$E,'ПП Ноември'!$C$18,приходи!$M:$M,'ПП Ноември'!N2)</f>
        <v>0</v>
      </c>
      <c r="O18" s="74">
        <f>SUMIFS(приходи!$L:$L,приходи!$E:$E,'ПП Ноември'!$C$18,приходи!$M:$M,'ПП Ноември'!O2)</f>
        <v>0</v>
      </c>
      <c r="P18" s="74">
        <f>SUMIFS(приходи!$L:$L,приходи!$E:$E,'ПП Ноември'!$C$18,приходи!$M:$M,'ПП Ноември'!P2)</f>
        <v>0</v>
      </c>
      <c r="Q18" s="74">
        <f>SUMIFS(приходи!$L:$L,приходи!$E:$E,'ПП Ноември'!$C$18,приходи!$M:$M,'ПП Ноември'!Q2)</f>
        <v>0</v>
      </c>
      <c r="R18" s="74">
        <f>SUMIFS(приходи!$L:$L,приходи!$E:$E,'ПП Ноември'!$C$18,приходи!$M:$M,'ПП Ноември'!R2)</f>
        <v>0</v>
      </c>
      <c r="S18" s="74">
        <f>SUMIFS(приходи!$L:$L,приходи!$E:$E,'ПП Ноември'!$C$18,приходи!$M:$M,'ПП Ноември'!S2)</f>
        <v>0</v>
      </c>
      <c r="T18" s="76">
        <f>SUMIFS(приходи!$L:$L,приходи!$E:$E,'ПП Ноември'!$C$18,приходи!$M:$M,'ПП Ноември'!T2)</f>
        <v>0</v>
      </c>
      <c r="U18" s="76">
        <f>SUMIFS(приходи!$L:$L,приходи!$E:$E,'ПП Ноември'!$C$18,приходи!$M:$M,'ПП Ноември'!U2)</f>
        <v>0</v>
      </c>
      <c r="V18" s="74">
        <f>SUMIFS(приходи!$L:$L,приходи!$E:$E,'ПП Ноември'!$C$18,приходи!$M:$M,'ПП Ноември'!V2)</f>
        <v>0</v>
      </c>
      <c r="W18" s="74">
        <f>SUMIFS(приходи!$L:$L,приходи!$E:$E,'ПП Ноември'!$C$18,приходи!$M:$M,'ПП Ноември'!W2)</f>
        <v>0</v>
      </c>
      <c r="X18" s="74">
        <f>SUMIFS(приходи!$L:$L,приходи!$E:$E,'ПП Ноември'!$C$18,приходи!$M:$M,'ПП Ноември'!X2)</f>
        <v>0</v>
      </c>
      <c r="Y18" s="74">
        <f>SUMIFS(приходи!$L:$L,приходи!$E:$E,'ПП Ноември'!$C$18,приходи!$M:$M,'ПП Ноември'!Y2)</f>
        <v>0</v>
      </c>
      <c r="Z18" s="74">
        <f>SUMIFS(приходи!$L:$L,приходи!$E:$E,'ПП Ноември'!$C$18,приходи!$M:$M,'ПП Ноември'!Z2)</f>
        <v>0</v>
      </c>
      <c r="AA18" s="76">
        <f>SUMIFS(приходи!$L:$L,приходи!$E:$E,'ПП Ноември'!$C$18,приходи!$M:$M,'ПП Ноември'!AA2)</f>
        <v>0</v>
      </c>
      <c r="AB18" s="76">
        <f>SUMIFS(приходи!$L:$L,приходи!$E:$E,'ПП Ноември'!$C$18,приходи!$M:$M,'ПП Ноември'!AB2)</f>
        <v>0</v>
      </c>
      <c r="AC18" s="74">
        <f>SUMIFS(приходи!$L:$L,приходи!$E:$E,'ПП Ноември'!$C$18,приходи!$M:$M,'ПП Ноември'!AC2)</f>
        <v>0</v>
      </c>
      <c r="AD18" s="74">
        <f>SUMIFS(приходи!$L:$L,приходи!$E:$E,'ПП Ноември'!$C$18,приходи!$M:$M,'ПП Ноември'!AD2)</f>
        <v>0</v>
      </c>
      <c r="AE18" s="74">
        <f>SUMIFS(приходи!$L:$L,приходи!$E:$E,'ПП Ноември'!$C$18,приходи!$M:$M,'ПП Ноември'!AE2)</f>
        <v>0</v>
      </c>
      <c r="AF18" s="74">
        <f>SUMIFS(приходи!$L:$L,приходи!$E:$E,'ПП Ноември'!$C$18,приходи!$M:$M,'ПП Ноември'!AF2)</f>
        <v>0</v>
      </c>
      <c r="AG18" s="74">
        <f>SUMIFS(приходи!$L:$L,приходи!$E:$E,'ПП Ноември'!$C$18,приходи!$M:$M,'ПП Ноември'!AG2)</f>
        <v>0</v>
      </c>
      <c r="AH18" s="76">
        <f>SUMIFS(приходи!$L:$L,приходи!$E:$E,'ПП Ноември'!$C$18,приходи!$M:$M,'ПП Ноември'!AH2)</f>
        <v>0</v>
      </c>
      <c r="AI18" s="61">
        <f t="shared" si="2"/>
        <v>0</v>
      </c>
      <c r="AJ18" s="69">
        <f t="shared" si="3"/>
        <v>0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Ноември'!$C$19,приходи!$M:$M,'ПП Ноември'!E2)</f>
        <v>0</v>
      </c>
      <c r="F19" s="76">
        <f>SUMIFS(приходи!$L:$L,приходи!$E:$E,'ПП Ноември'!$C$19,приходи!$M:$M,'ПП Ноември'!F2)</f>
        <v>0</v>
      </c>
      <c r="G19" s="76">
        <f>SUMIFS(приходи!$L:$L,приходи!$E:$E,'ПП Ноември'!$C$19,приходи!$M:$M,'ПП Ноември'!G2)</f>
        <v>0</v>
      </c>
      <c r="H19" s="74">
        <f>SUMIFS(приходи!$L:$L,приходи!$E:$E,'ПП Ноември'!$C$19,приходи!$M:$M,'ПП Ноември'!H2)</f>
        <v>0</v>
      </c>
      <c r="I19" s="74">
        <f>SUMIFS(приходи!$L:$L,приходи!$E:$E,'ПП Ноември'!$C$19,приходи!$M:$M,'ПП Ноември'!I2)</f>
        <v>0</v>
      </c>
      <c r="J19" s="74">
        <f>SUMIFS(приходи!$L:$L,приходи!$E:$E,'ПП Ноември'!$C$19,приходи!$M:$M,'ПП Ноември'!J2)</f>
        <v>0</v>
      </c>
      <c r="K19" s="74">
        <f>SUMIFS(приходи!$L:$L,приходи!$E:$E,'ПП Ноември'!$C$19,приходи!$M:$M,'ПП Ноември'!K2)</f>
        <v>0</v>
      </c>
      <c r="L19" s="74">
        <f>SUMIFS(приходи!$L:$L,приходи!$E:$E,'ПП Ноември'!$C$19,приходи!$M:$M,'ПП Ноември'!L2)</f>
        <v>0</v>
      </c>
      <c r="M19" s="76">
        <f>SUMIFS(приходи!$L:$L,приходи!$E:$E,'ПП Ноември'!$C$19,приходи!$M:$M,'ПП Ноември'!M2)</f>
        <v>0</v>
      </c>
      <c r="N19" s="76">
        <f>SUMIFS(приходи!$L:$L,приходи!$E:$E,'ПП Ноември'!$C$19,приходи!$M:$M,'ПП Ноември'!N2)</f>
        <v>0</v>
      </c>
      <c r="O19" s="74">
        <f>SUMIFS(приходи!$L:$L,приходи!$E:$E,'ПП Ноември'!$C$19,приходи!$M:$M,'ПП Ноември'!O2)</f>
        <v>0</v>
      </c>
      <c r="P19" s="74">
        <f>SUMIFS(приходи!$L:$L,приходи!$E:$E,'ПП Ноември'!$C$19,приходи!$M:$M,'ПП Ноември'!P2)</f>
        <v>0</v>
      </c>
      <c r="Q19" s="74">
        <f>SUMIFS(приходи!$L:$L,приходи!$E:$E,'ПП Ноември'!$C$19,приходи!$M:$M,'ПП Ноември'!Q2)</f>
        <v>0</v>
      </c>
      <c r="R19" s="74">
        <f>SUMIFS(приходи!$L:$L,приходи!$E:$E,'ПП Ноември'!$C$19,приходи!$M:$M,'ПП Ноември'!R2)</f>
        <v>0</v>
      </c>
      <c r="S19" s="74">
        <f>SUMIFS(приходи!$L:$L,приходи!$E:$E,'ПП Ноември'!$C$19,приходи!$M:$M,'ПП Ноември'!S2)</f>
        <v>0</v>
      </c>
      <c r="T19" s="76">
        <f>SUMIFS(приходи!$L:$L,приходи!$E:$E,'ПП Ноември'!$C$19,приходи!$M:$M,'ПП Ноември'!T2)</f>
        <v>0</v>
      </c>
      <c r="U19" s="76">
        <f>SUMIFS(приходи!$L:$L,приходи!$E:$E,'ПП Ноември'!$C$19,приходи!$M:$M,'ПП Ноември'!U2)</f>
        <v>0</v>
      </c>
      <c r="V19" s="74">
        <f>SUMIFS(приходи!$L:$L,приходи!$E:$E,'ПП Ноември'!$C$19,приходи!$M:$M,'ПП Ноември'!V2)</f>
        <v>0</v>
      </c>
      <c r="W19" s="74">
        <f>SUMIFS(приходи!$L:$L,приходи!$E:$E,'ПП Ноември'!$C$19,приходи!$M:$M,'ПП Ноември'!W2)</f>
        <v>0</v>
      </c>
      <c r="X19" s="74">
        <f>SUMIFS(приходи!$L:$L,приходи!$E:$E,'ПП Ноември'!$C$19,приходи!$M:$M,'ПП Ноември'!X2)</f>
        <v>0</v>
      </c>
      <c r="Y19" s="74">
        <f>SUMIFS(приходи!$L:$L,приходи!$E:$E,'ПП Ноември'!$C$19,приходи!$M:$M,'ПП Ноември'!Y2)</f>
        <v>0</v>
      </c>
      <c r="Z19" s="74">
        <f>SUMIFS(приходи!$L:$L,приходи!$E:$E,'ПП Ноември'!$C$19,приходи!$M:$M,'ПП Ноември'!Z2)</f>
        <v>0</v>
      </c>
      <c r="AA19" s="76">
        <f>SUMIFS(приходи!$L:$L,приходи!$E:$E,'ПП Ноември'!$C$19,приходи!$M:$M,'ПП Ноември'!AA2)</f>
        <v>0</v>
      </c>
      <c r="AB19" s="76">
        <f>SUMIFS(приходи!$L:$L,приходи!$E:$E,'ПП Ноември'!$C$19,приходи!$M:$M,'ПП Ноември'!AB2)</f>
        <v>0</v>
      </c>
      <c r="AC19" s="74">
        <f>SUMIFS(приходи!$L:$L,приходи!$E:$E,'ПП Ноември'!$C$19,приходи!$M:$M,'ПП Ноември'!AC2)</f>
        <v>0</v>
      </c>
      <c r="AD19" s="74">
        <f>SUMIFS(приходи!$L:$L,приходи!$E:$E,'ПП Ноември'!$C$19,приходи!$M:$M,'ПП Ноември'!AD2)</f>
        <v>0</v>
      </c>
      <c r="AE19" s="74">
        <f>SUMIFS(приходи!$L:$L,приходи!$E:$E,'ПП Ноември'!$C$19,приходи!$M:$M,'ПП Ноември'!AE2)</f>
        <v>0</v>
      </c>
      <c r="AF19" s="74">
        <f>SUMIFS(приходи!$L:$L,приходи!$E:$E,'ПП Ноември'!$C$19,приходи!$M:$M,'ПП Ноември'!AF2)</f>
        <v>0</v>
      </c>
      <c r="AG19" s="74">
        <f>SUMIFS(приходи!$L:$L,приходи!$E:$E,'ПП Ноември'!$C$19,приходи!$M:$M,'ПП Ноември'!AG2)</f>
        <v>0</v>
      </c>
      <c r="AH19" s="76">
        <f>SUMIFS(приходи!$L:$L,приходи!$E:$E,'ПП Ноември'!$C$19,приходи!$M:$M,'ПП Ноември'!AH2)</f>
        <v>0</v>
      </c>
      <c r="AI19" s="61">
        <f t="shared" si="2"/>
        <v>0</v>
      </c>
      <c r="AJ19" s="69">
        <f t="shared" si="3"/>
        <v>0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Ноември'!$C$20,приходи!$M:$M,'ПП Ноември'!E2)</f>
        <v>0</v>
      </c>
      <c r="F20" s="76">
        <f>SUMIFS(приходи!$L:$L,приходи!$E:$E,'ПП Ноември'!$C$20,приходи!$M:$M,'ПП Ноември'!F2)</f>
        <v>0</v>
      </c>
      <c r="G20" s="76">
        <f>SUMIFS(приходи!$L:$L,приходи!$E:$E,'ПП Ноември'!$C$20,приходи!$M:$M,'ПП Ноември'!G2)</f>
        <v>0</v>
      </c>
      <c r="H20" s="74">
        <f>SUMIFS(приходи!$L:$L,приходи!$E:$E,'ПП Ноември'!$C$20,приходи!$M:$M,'ПП Ноември'!H2)</f>
        <v>0</v>
      </c>
      <c r="I20" s="74">
        <f>SUMIFS(приходи!$L:$L,приходи!$E:$E,'ПП Ноември'!$C$20,приходи!$M:$M,'ПП Ноември'!I2)</f>
        <v>0</v>
      </c>
      <c r="J20" s="74">
        <f>SUMIFS(приходи!$L:$L,приходи!$E:$E,'ПП Ноември'!$C$20,приходи!$M:$M,'ПП Ноември'!J2)</f>
        <v>0</v>
      </c>
      <c r="K20" s="74">
        <f>SUMIFS(приходи!$L:$L,приходи!$E:$E,'ПП Ноември'!$C$20,приходи!$M:$M,'ПП Ноември'!K2)</f>
        <v>0</v>
      </c>
      <c r="L20" s="74">
        <f>SUMIFS(приходи!$L:$L,приходи!$E:$E,'ПП Ноември'!$C$20,приходи!$M:$M,'ПП Ноември'!L2)</f>
        <v>0</v>
      </c>
      <c r="M20" s="76">
        <f>SUMIFS(приходи!$L:$L,приходи!$E:$E,'ПП Ноември'!$C$20,приходи!$M:$M,'ПП Ноември'!M2)</f>
        <v>0</v>
      </c>
      <c r="N20" s="76">
        <f>SUMIFS(приходи!$L:$L,приходи!$E:$E,'ПП Ноември'!$C$20,приходи!$M:$M,'ПП Ноември'!N2)</f>
        <v>0</v>
      </c>
      <c r="O20" s="74">
        <f>SUMIFS(приходи!$L:$L,приходи!$E:$E,'ПП Ноември'!$C$20,приходи!$M:$M,'ПП Ноември'!O2)</f>
        <v>0</v>
      </c>
      <c r="P20" s="74">
        <f>SUMIFS(приходи!$L:$L,приходи!$E:$E,'ПП Ноември'!$C$20,приходи!$M:$M,'ПП Ноември'!P2)</f>
        <v>0</v>
      </c>
      <c r="Q20" s="74">
        <f>SUMIFS(приходи!$L:$L,приходи!$E:$E,'ПП Ноември'!$C$20,приходи!$M:$M,'ПП Ноември'!Q2)</f>
        <v>0</v>
      </c>
      <c r="R20" s="74">
        <f>SUMIFS(приходи!$L:$L,приходи!$E:$E,'ПП Ноември'!$C$20,приходи!$M:$M,'ПП Ноември'!R2)</f>
        <v>0</v>
      </c>
      <c r="S20" s="74">
        <f>SUMIFS(приходи!$L:$L,приходи!$E:$E,'ПП Ноември'!$C$20,приходи!$M:$M,'ПП Ноември'!S2)</f>
        <v>0</v>
      </c>
      <c r="T20" s="76">
        <f>SUMIFS(приходи!$L:$L,приходи!$E:$E,'ПП Ноември'!$C$20,приходи!$M:$M,'ПП Ноември'!T2)</f>
        <v>0</v>
      </c>
      <c r="U20" s="76">
        <f>SUMIFS(приходи!$L:$L,приходи!$E:$E,'ПП Ноември'!$C$20,приходи!$M:$M,'ПП Ноември'!U2)</f>
        <v>0</v>
      </c>
      <c r="V20" s="74">
        <f>SUMIFS(приходи!$L:$L,приходи!$E:$E,'ПП Ноември'!$C$20,приходи!$M:$M,'ПП Ноември'!V2)</f>
        <v>0</v>
      </c>
      <c r="W20" s="74">
        <f>SUMIFS(приходи!$L:$L,приходи!$E:$E,'ПП Ноември'!$C$20,приходи!$M:$M,'ПП Ноември'!W2)</f>
        <v>0</v>
      </c>
      <c r="X20" s="74">
        <f>SUMIFS(приходи!$L:$L,приходи!$E:$E,'ПП Ноември'!$C$20,приходи!$M:$M,'ПП Ноември'!X2)</f>
        <v>0</v>
      </c>
      <c r="Y20" s="74">
        <f>SUMIFS(приходи!$L:$L,приходи!$E:$E,'ПП Ноември'!$C$20,приходи!$M:$M,'ПП Ноември'!Y2)</f>
        <v>0</v>
      </c>
      <c r="Z20" s="74">
        <f>SUMIFS(приходи!$L:$L,приходи!$E:$E,'ПП Ноември'!$C$20,приходи!$M:$M,'ПП Ноември'!Z2)</f>
        <v>0</v>
      </c>
      <c r="AA20" s="76">
        <f>SUMIFS(приходи!$L:$L,приходи!$E:$E,'ПП Ноември'!$C$20,приходи!$M:$M,'ПП Ноември'!AA2)</f>
        <v>0</v>
      </c>
      <c r="AB20" s="76">
        <f>SUMIFS(приходи!$L:$L,приходи!$E:$E,'ПП Ноември'!$C$20,приходи!$M:$M,'ПП Ноември'!AB2)</f>
        <v>0</v>
      </c>
      <c r="AC20" s="74">
        <f>SUMIFS(приходи!$L:$L,приходи!$E:$E,'ПП Ноември'!$C$20,приходи!$M:$M,'ПП Ноември'!AC2)</f>
        <v>0</v>
      </c>
      <c r="AD20" s="74">
        <f>SUMIFS(приходи!$L:$L,приходи!$E:$E,'ПП Ноември'!$C$20,приходи!$M:$M,'ПП Ноември'!AD2)</f>
        <v>0</v>
      </c>
      <c r="AE20" s="74">
        <f>SUMIFS(приходи!$L:$L,приходи!$E:$E,'ПП Ноември'!$C$20,приходи!$M:$M,'ПП Ноември'!AE2)</f>
        <v>0</v>
      </c>
      <c r="AF20" s="74">
        <f>SUMIFS(приходи!$L:$L,приходи!$E:$E,'ПП Ноември'!$C$20,приходи!$M:$M,'ПП Ноември'!AF2)</f>
        <v>0</v>
      </c>
      <c r="AG20" s="74">
        <f>SUMIFS(приходи!$L:$L,приходи!$E:$E,'ПП Ноември'!$C$20,приходи!$M:$M,'ПП Ноември'!AG2)</f>
        <v>0</v>
      </c>
      <c r="AH20" s="76">
        <f>SUMIFS(приходи!$L:$L,приходи!$E:$E,'ПП Ноември'!$C$20,приходи!$M:$M,'ПП Ноември'!AH2)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Ноември'!$C$21,приходи!$M:$M,'ПП Ноември'!E2)</f>
        <v>0</v>
      </c>
      <c r="F21" s="76">
        <f>SUMIFS(приходи!$L:$L,приходи!$E:$E,'ПП Ноември'!$C$21,приходи!$M:$M,'ПП Ноември'!F2)</f>
        <v>0</v>
      </c>
      <c r="G21" s="76">
        <f>SUMIFS(приходи!$L:$L,приходи!$E:$E,'ПП Ноември'!$C$21,приходи!$M:$M,'ПП Ноември'!G2)</f>
        <v>0</v>
      </c>
      <c r="H21" s="74">
        <f>SUMIFS(приходи!$L:$L,приходи!$E:$E,'ПП Ноември'!$C$21,приходи!$M:$M,'ПП Ноември'!H2)</f>
        <v>0</v>
      </c>
      <c r="I21" s="74">
        <f>SUMIFS(приходи!$L:$L,приходи!$E:$E,'ПП Ноември'!$C$21,приходи!$M:$M,'ПП Ноември'!I2)</f>
        <v>0</v>
      </c>
      <c r="J21" s="74">
        <f>SUMIFS(приходи!$L:$L,приходи!$E:$E,'ПП Ноември'!$C$21,приходи!$M:$M,'ПП Ноември'!J2)</f>
        <v>0</v>
      </c>
      <c r="K21" s="74">
        <f>SUMIFS(приходи!$L:$L,приходи!$E:$E,'ПП Ноември'!$C$21,приходи!$M:$M,'ПП Ноември'!K2)</f>
        <v>0</v>
      </c>
      <c r="L21" s="74">
        <f>SUMIFS(приходи!$L:$L,приходи!$E:$E,'ПП Ноември'!$C$21,приходи!$M:$M,'ПП Ноември'!L2)</f>
        <v>0</v>
      </c>
      <c r="M21" s="76">
        <f>SUMIFS(приходи!$L:$L,приходи!$E:$E,'ПП Ноември'!$C$21,приходи!$M:$M,'ПП Ноември'!M2)</f>
        <v>0</v>
      </c>
      <c r="N21" s="76">
        <f>SUMIFS(приходи!$L:$L,приходи!$E:$E,'ПП Ноември'!$C$21,приходи!$M:$M,'ПП Ноември'!N2)</f>
        <v>0</v>
      </c>
      <c r="O21" s="74">
        <f>SUMIFS(приходи!$L:$L,приходи!$E:$E,'ПП Ноември'!$C$21,приходи!$M:$M,'ПП Ноември'!O2)</f>
        <v>0</v>
      </c>
      <c r="P21" s="74">
        <f>SUMIFS(приходи!$L:$L,приходи!$E:$E,'ПП Ноември'!$C$21,приходи!$M:$M,'ПП Ноември'!P2)</f>
        <v>0</v>
      </c>
      <c r="Q21" s="74">
        <f>SUMIFS(приходи!$L:$L,приходи!$E:$E,'ПП Ноември'!$C$21,приходи!$M:$M,'ПП Ноември'!Q2)</f>
        <v>0</v>
      </c>
      <c r="R21" s="74">
        <f>SUMIFS(приходи!$L:$L,приходи!$E:$E,'ПП Ноември'!$C$21,приходи!$M:$M,'ПП Ноември'!R2)</f>
        <v>0</v>
      </c>
      <c r="S21" s="74">
        <f>SUMIFS(приходи!$L:$L,приходи!$E:$E,'ПП Ноември'!$C$21,приходи!$M:$M,'ПП Ноември'!S2)</f>
        <v>0</v>
      </c>
      <c r="T21" s="76">
        <f>SUMIFS(приходи!$L:$L,приходи!$E:$E,'ПП Ноември'!$C$21,приходи!$M:$M,'ПП Ноември'!T2)</f>
        <v>0</v>
      </c>
      <c r="U21" s="76">
        <f>SUMIFS(приходи!$L:$L,приходи!$E:$E,'ПП Ноември'!$C$21,приходи!$M:$M,'ПП Ноември'!U2)</f>
        <v>0</v>
      </c>
      <c r="V21" s="74">
        <f>SUMIFS(приходи!$L:$L,приходи!$E:$E,'ПП Ноември'!$C$21,приходи!$M:$M,'ПП Ноември'!V2)</f>
        <v>0</v>
      </c>
      <c r="W21" s="74">
        <f>SUMIFS(приходи!$L:$L,приходи!$E:$E,'ПП Ноември'!$C$21,приходи!$M:$M,'ПП Ноември'!W2)</f>
        <v>0</v>
      </c>
      <c r="X21" s="74">
        <f>SUMIFS(приходи!$L:$L,приходи!$E:$E,'ПП Ноември'!$C$21,приходи!$M:$M,'ПП Ноември'!X2)</f>
        <v>0</v>
      </c>
      <c r="Y21" s="74">
        <f>SUMIFS(приходи!$L:$L,приходи!$E:$E,'ПП Ноември'!$C$21,приходи!$M:$M,'ПП Ноември'!Y2)</f>
        <v>0</v>
      </c>
      <c r="Z21" s="74">
        <f>SUMIFS(приходи!$L:$L,приходи!$E:$E,'ПП Ноември'!$C$21,приходи!$M:$M,'ПП Ноември'!Z2)</f>
        <v>0</v>
      </c>
      <c r="AA21" s="76">
        <f>SUMIFS(приходи!$L:$L,приходи!$E:$E,'ПП Ноември'!$C$21,приходи!$M:$M,'ПП Ноември'!AA2)</f>
        <v>0</v>
      </c>
      <c r="AB21" s="76">
        <f>SUMIFS(приходи!$L:$L,приходи!$E:$E,'ПП Ноември'!$C$21,приходи!$M:$M,'ПП Ноември'!AB2)</f>
        <v>0</v>
      </c>
      <c r="AC21" s="74">
        <f>SUMIFS(приходи!$L:$L,приходи!$E:$E,'ПП Ноември'!$C$21,приходи!$M:$M,'ПП Ноември'!AC2)</f>
        <v>0</v>
      </c>
      <c r="AD21" s="74">
        <f>SUMIFS(приходи!$L:$L,приходи!$E:$E,'ПП Ноември'!$C$21,приходи!$M:$M,'ПП Ноември'!AD2)</f>
        <v>0</v>
      </c>
      <c r="AE21" s="74">
        <f>SUMIFS(приходи!$L:$L,приходи!$E:$E,'ПП Ноември'!$C$21,приходи!$M:$M,'ПП Ноември'!AE2)</f>
        <v>0</v>
      </c>
      <c r="AF21" s="74">
        <f>SUMIFS(приходи!$L:$L,приходи!$E:$E,'ПП Ноември'!$C$21,приходи!$M:$M,'ПП Ноември'!AF2)</f>
        <v>0</v>
      </c>
      <c r="AG21" s="74">
        <f>SUMIFS(приходи!$L:$L,приходи!$E:$E,'ПП Ноември'!$C$21,приходи!$M:$M,'ПП Ноември'!AG2)</f>
        <v>0</v>
      </c>
      <c r="AH21" s="76">
        <f>SUMIFS(приходи!$L:$L,приходи!$E:$E,'ПП Ноември'!$C$21,приходи!$M:$M,'ПП Ноември'!AH2)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Ноември'!$C$22,приходи!$M:$M,'ПП Ноември'!E2)</f>
        <v>0</v>
      </c>
      <c r="F22" s="76">
        <f>SUMIFS(приходи!$L:$L,приходи!$E:$E,'ПП Ноември'!$C$22,приходи!$M:$M,'ПП Ноември'!F2)</f>
        <v>0</v>
      </c>
      <c r="G22" s="76">
        <f>SUMIFS(приходи!$L:$L,приходи!$E:$E,'ПП Ноември'!$C$22,приходи!$M:$M,'ПП Ноември'!G2)</f>
        <v>0</v>
      </c>
      <c r="H22" s="74">
        <f>SUMIFS(приходи!$L:$L,приходи!$E:$E,'ПП Ноември'!$C$22,приходи!$M:$M,'ПП Ноември'!H2)</f>
        <v>0</v>
      </c>
      <c r="I22" s="74">
        <f>SUMIFS(приходи!$L:$L,приходи!$E:$E,'ПП Ноември'!$C$22,приходи!$M:$M,'ПП Ноември'!I2)</f>
        <v>0</v>
      </c>
      <c r="J22" s="74">
        <f>SUMIFS(приходи!$L:$L,приходи!$E:$E,'ПП Ноември'!$C$22,приходи!$M:$M,'ПП Ноември'!J2)</f>
        <v>0</v>
      </c>
      <c r="K22" s="74">
        <f>SUMIFS(приходи!$L:$L,приходи!$E:$E,'ПП Ноември'!$C$22,приходи!$M:$M,'ПП Ноември'!K2)</f>
        <v>0</v>
      </c>
      <c r="L22" s="74">
        <f>SUMIFS(приходи!$L:$L,приходи!$E:$E,'ПП Ноември'!$C$22,приходи!$M:$M,'ПП Ноември'!L2)</f>
        <v>0</v>
      </c>
      <c r="M22" s="76">
        <f>SUMIFS(приходи!$L:$L,приходи!$E:$E,'ПП Ноември'!$C$22,приходи!$M:$M,'ПП Ноември'!M2)</f>
        <v>0</v>
      </c>
      <c r="N22" s="76">
        <f>SUMIFS(приходи!$L:$L,приходи!$E:$E,'ПП Ноември'!$C$22,приходи!$M:$M,'ПП Ноември'!N2)</f>
        <v>0</v>
      </c>
      <c r="O22" s="74">
        <f>SUMIFS(приходи!$L:$L,приходи!$E:$E,'ПП Ноември'!$C$22,приходи!$M:$M,'ПП Ноември'!O2)</f>
        <v>0</v>
      </c>
      <c r="P22" s="74">
        <f>SUMIFS(приходи!$L:$L,приходи!$E:$E,'ПП Ноември'!$C$22,приходи!$M:$M,'ПП Ноември'!P2)</f>
        <v>0</v>
      </c>
      <c r="Q22" s="74">
        <f>SUMIFS(приходи!$L:$L,приходи!$E:$E,'ПП Ноември'!$C$22,приходи!$M:$M,'ПП Ноември'!Q2)</f>
        <v>0</v>
      </c>
      <c r="R22" s="74">
        <f>SUMIFS(приходи!$L:$L,приходи!$E:$E,'ПП Ноември'!$C$22,приходи!$M:$M,'ПП Ноември'!R2)</f>
        <v>0</v>
      </c>
      <c r="S22" s="74">
        <f>SUMIFS(приходи!$L:$L,приходи!$E:$E,'ПП Ноември'!$C$22,приходи!$M:$M,'ПП Ноември'!S2)</f>
        <v>0</v>
      </c>
      <c r="T22" s="76">
        <f>SUMIFS(приходи!$L:$L,приходи!$E:$E,'ПП Ноември'!$C$22,приходи!$M:$M,'ПП Ноември'!T2)</f>
        <v>0</v>
      </c>
      <c r="U22" s="76">
        <f>SUMIFS(приходи!$L:$L,приходи!$E:$E,'ПП Ноември'!$C$22,приходи!$M:$M,'ПП Ноември'!U2)</f>
        <v>0</v>
      </c>
      <c r="V22" s="74">
        <f>SUMIFS(приходи!$L:$L,приходи!$E:$E,'ПП Ноември'!$C$22,приходи!$M:$M,'ПП Ноември'!V2)</f>
        <v>0</v>
      </c>
      <c r="W22" s="74">
        <f>SUMIFS(приходи!$L:$L,приходи!$E:$E,'ПП Ноември'!$C$22,приходи!$M:$M,'ПП Ноември'!W2)</f>
        <v>0</v>
      </c>
      <c r="X22" s="74">
        <f>SUMIFS(приходи!$L:$L,приходи!$E:$E,'ПП Ноември'!$C$22,приходи!$M:$M,'ПП Ноември'!X2)</f>
        <v>0</v>
      </c>
      <c r="Y22" s="74">
        <f>SUMIFS(приходи!$L:$L,приходи!$E:$E,'ПП Ноември'!$C$22,приходи!$M:$M,'ПП Ноември'!Y2)</f>
        <v>0</v>
      </c>
      <c r="Z22" s="74">
        <f>SUMIFS(приходи!$L:$L,приходи!$E:$E,'ПП Ноември'!$C$22,приходи!$M:$M,'ПП Ноември'!Z2)</f>
        <v>0</v>
      </c>
      <c r="AA22" s="76">
        <f>SUMIFS(приходи!$L:$L,приходи!$E:$E,'ПП Ноември'!$C$22,приходи!$M:$M,'ПП Ноември'!AA2)</f>
        <v>0</v>
      </c>
      <c r="AB22" s="76">
        <f>SUMIFS(приходи!$L:$L,приходи!$E:$E,'ПП Ноември'!$C$22,приходи!$M:$M,'ПП Ноември'!AB2)</f>
        <v>0</v>
      </c>
      <c r="AC22" s="74">
        <f>SUMIFS(приходи!$L:$L,приходи!$E:$E,'ПП Ноември'!$C$22,приходи!$M:$M,'ПП Ноември'!AC2)</f>
        <v>0</v>
      </c>
      <c r="AD22" s="74">
        <f>SUMIFS(приходи!$L:$L,приходи!$E:$E,'ПП Ноември'!$C$22,приходи!$M:$M,'ПП Ноември'!AD2)</f>
        <v>0</v>
      </c>
      <c r="AE22" s="74">
        <f>SUMIFS(приходи!$L:$L,приходи!$E:$E,'ПП Ноември'!$C$22,приходи!$M:$M,'ПП Ноември'!AE2)</f>
        <v>0</v>
      </c>
      <c r="AF22" s="74">
        <f>SUMIFS(приходи!$L:$L,приходи!$E:$E,'ПП Ноември'!$C$22,приходи!$M:$M,'ПП Ноември'!AF2)</f>
        <v>0</v>
      </c>
      <c r="AG22" s="74">
        <f>SUMIFS(приходи!$L:$L,приходи!$E:$E,'ПП Ноември'!$C$22,приходи!$M:$M,'ПП Ноември'!AG2)</f>
        <v>0</v>
      </c>
      <c r="AH22" s="76">
        <f>SUMIFS(приходи!$L:$L,приходи!$E:$E,'ПП Ноември'!$C$22,приходи!$M:$M,'ПП Ноември'!AH2)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 t="shared" ref="D23:AH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2"/>
        <v>0</v>
      </c>
      <c r="AJ23" s="54">
        <f t="shared" si="3"/>
        <v>0</v>
      </c>
    </row>
    <row r="24" spans="1:36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0</v>
      </c>
      <c r="E24" s="73">
        <f t="shared" ref="E24:AH24" si="13">SUM(E25:E28)</f>
        <v>0</v>
      </c>
      <c r="F24" s="77">
        <f t="shared" si="13"/>
        <v>0</v>
      </c>
      <c r="G24" s="77">
        <f t="shared" si="13"/>
        <v>0</v>
      </c>
      <c r="H24" s="73">
        <f t="shared" si="13"/>
        <v>0</v>
      </c>
      <c r="I24" s="73">
        <f t="shared" si="13"/>
        <v>0</v>
      </c>
      <c r="J24" s="73">
        <f t="shared" si="13"/>
        <v>0</v>
      </c>
      <c r="K24" s="73">
        <f t="shared" si="13"/>
        <v>0</v>
      </c>
      <c r="L24" s="73">
        <f t="shared" si="13"/>
        <v>0</v>
      </c>
      <c r="M24" s="77">
        <f t="shared" si="13"/>
        <v>0</v>
      </c>
      <c r="N24" s="77">
        <f t="shared" si="13"/>
        <v>0</v>
      </c>
      <c r="O24" s="73">
        <f t="shared" si="13"/>
        <v>0</v>
      </c>
      <c r="P24" s="73">
        <f t="shared" si="13"/>
        <v>0</v>
      </c>
      <c r="Q24" s="73">
        <f t="shared" si="13"/>
        <v>0</v>
      </c>
      <c r="R24" s="73">
        <f t="shared" si="13"/>
        <v>0</v>
      </c>
      <c r="S24" s="73">
        <f t="shared" si="13"/>
        <v>0</v>
      </c>
      <c r="T24" s="77">
        <f t="shared" si="13"/>
        <v>0</v>
      </c>
      <c r="U24" s="77">
        <f t="shared" si="13"/>
        <v>0</v>
      </c>
      <c r="V24" s="73">
        <f t="shared" si="13"/>
        <v>0</v>
      </c>
      <c r="W24" s="73">
        <f t="shared" si="13"/>
        <v>0</v>
      </c>
      <c r="X24" s="73">
        <f t="shared" si="13"/>
        <v>0</v>
      </c>
      <c r="Y24" s="73">
        <f t="shared" si="13"/>
        <v>0</v>
      </c>
      <c r="Z24" s="73">
        <f t="shared" si="13"/>
        <v>0</v>
      </c>
      <c r="AA24" s="77">
        <f t="shared" si="13"/>
        <v>0</v>
      </c>
      <c r="AB24" s="77">
        <f t="shared" si="13"/>
        <v>0</v>
      </c>
      <c r="AC24" s="73">
        <f t="shared" si="13"/>
        <v>0</v>
      </c>
      <c r="AD24" s="73">
        <f t="shared" si="13"/>
        <v>0</v>
      </c>
      <c r="AE24" s="73">
        <f t="shared" si="13"/>
        <v>0</v>
      </c>
      <c r="AF24" s="73">
        <f t="shared" si="13"/>
        <v>0</v>
      </c>
      <c r="AG24" s="73">
        <f t="shared" si="13"/>
        <v>0</v>
      </c>
      <c r="AH24" s="77">
        <f t="shared" si="13"/>
        <v>0</v>
      </c>
      <c r="AI24" s="61">
        <f t="shared" si="2"/>
        <v>0</v>
      </c>
      <c r="AJ24" s="58">
        <f t="shared" si="3"/>
        <v>0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79"/>
      <c r="E25" s="75"/>
      <c r="F25" s="78"/>
      <c r="G25" s="78"/>
      <c r="H25" s="75"/>
      <c r="I25" s="75"/>
      <c r="J25" s="75"/>
      <c r="K25" s="75"/>
      <c r="L25" s="75"/>
      <c r="M25" s="78"/>
      <c r="N25" s="78"/>
      <c r="O25" s="75"/>
      <c r="P25" s="75"/>
      <c r="Q25" s="75"/>
      <c r="R25" s="75"/>
      <c r="S25" s="75"/>
      <c r="T25" s="78"/>
      <c r="U25" s="78"/>
      <c r="V25" s="75"/>
      <c r="W25" s="75"/>
      <c r="X25" s="75"/>
      <c r="Y25" s="75"/>
      <c r="Z25" s="75"/>
      <c r="AA25" s="78"/>
      <c r="AB25" s="78"/>
      <c r="AC25" s="75"/>
      <c r="AD25" s="75"/>
      <c r="AE25" s="75"/>
      <c r="AF25" s="75"/>
      <c r="AG25" s="75"/>
      <c r="AH25" s="78"/>
      <c r="AI25" s="66">
        <f t="shared" si="2"/>
        <v>0</v>
      </c>
      <c r="AJ25" s="67">
        <f t="shared" si="3"/>
        <v>0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/>
      <c r="E26" s="74">
        <f>SUMIFS(разходи!$L:$L,разходи!$E:$E,'ПП Ноември'!$C$26,разходи!$M:$M,'ПП Ноември'!E2)</f>
        <v>0</v>
      </c>
      <c r="F26" s="76">
        <f>SUMIFS(разходи!$L:$L,разходи!$E:$E,'ПП Ноември'!$C$26,разходи!$M:$M,'ПП Ноември'!F2)</f>
        <v>0</v>
      </c>
      <c r="G26" s="76">
        <f>SUMIFS(разходи!$L:$L,разходи!$E:$E,'ПП Ноември'!$C$26,разходи!$M:$M,'ПП Ноември'!G2)</f>
        <v>0</v>
      </c>
      <c r="H26" s="74">
        <f>SUMIFS(разходи!$L:$L,разходи!$E:$E,'ПП Ноември'!$C$26,разходи!$M:$M,'ПП Ноември'!H2)</f>
        <v>0</v>
      </c>
      <c r="I26" s="74">
        <f>SUMIFS(разходи!$L:$L,разходи!$E:$E,'ПП Ноември'!$C$26,разходи!$M:$M,'ПП Ноември'!I2)</f>
        <v>0</v>
      </c>
      <c r="J26" s="74">
        <f>SUMIFS(разходи!$L:$L,разходи!$E:$E,'ПП Ноември'!$C$26,разходи!$M:$M,'ПП Ноември'!J2)</f>
        <v>0</v>
      </c>
      <c r="K26" s="74">
        <f>SUMIFS(разходи!$L:$L,разходи!$E:$E,'ПП Ноември'!$C$26,разходи!$M:$M,'ПП Ноември'!K2)</f>
        <v>0</v>
      </c>
      <c r="L26" s="74">
        <f>SUMIFS(разходи!$L:$L,разходи!$E:$E,'ПП Ноември'!$C$26,разходи!$M:$M,'ПП Ноември'!L2)</f>
        <v>0</v>
      </c>
      <c r="M26" s="76">
        <f>SUMIFS(разходи!$L:$L,разходи!$E:$E,'ПП Ноември'!$C$26,разходи!$M:$M,'ПП Ноември'!M2)</f>
        <v>0</v>
      </c>
      <c r="N26" s="76">
        <f>SUMIFS(разходи!$L:$L,разходи!$E:$E,'ПП Ноември'!$C$26,разходи!$M:$M,'ПП Ноември'!N2)</f>
        <v>0</v>
      </c>
      <c r="O26" s="74">
        <f>SUMIFS(разходи!$L:$L,разходи!$E:$E,'ПП Ноември'!$C$26,разходи!$M:$M,'ПП Ноември'!O2)</f>
        <v>0</v>
      </c>
      <c r="P26" s="74">
        <f>SUMIFS(разходи!$L:$L,разходи!$E:$E,'ПП Ноември'!$C$26,разходи!$M:$M,'ПП Ноември'!P2)</f>
        <v>0</v>
      </c>
      <c r="Q26" s="74">
        <f>SUMIFS(разходи!$L:$L,разходи!$E:$E,'ПП Ноември'!$C$26,разходи!$M:$M,'ПП Ноември'!Q2)</f>
        <v>0</v>
      </c>
      <c r="R26" s="74">
        <f>SUMIFS(разходи!$L:$L,разходи!$E:$E,'ПП Ноември'!$C$26,разходи!$M:$M,'ПП Ноември'!R2)</f>
        <v>0</v>
      </c>
      <c r="S26" s="74">
        <f>SUMIFS(разходи!$L:$L,разходи!$E:$E,'ПП Ноември'!$C$26,разходи!$M:$M,'ПП Ноември'!S2)</f>
        <v>0</v>
      </c>
      <c r="T26" s="76">
        <f>SUMIFS(разходи!$L:$L,разходи!$E:$E,'ПП Ноември'!$C$26,разходи!$M:$M,'ПП Ноември'!T2)</f>
        <v>0</v>
      </c>
      <c r="U26" s="76">
        <f>SUMIFS(разходи!$L:$L,разходи!$E:$E,'ПП Ноември'!$C$26,разходи!$M:$M,'ПП Ноември'!U2)</f>
        <v>0</v>
      </c>
      <c r="V26" s="74">
        <f>SUMIFS(разходи!$L:$L,разходи!$E:$E,'ПП Ноември'!$C$26,разходи!$M:$M,'ПП Ноември'!V2)</f>
        <v>0</v>
      </c>
      <c r="W26" s="74">
        <f>SUMIFS(разходи!$L:$L,разходи!$E:$E,'ПП Ноември'!$C$26,разходи!$M:$M,'ПП Ноември'!W2)</f>
        <v>0</v>
      </c>
      <c r="X26" s="74">
        <f>SUMIFS(разходи!$L:$L,разходи!$E:$E,'ПП Ноември'!$C$26,разходи!$M:$M,'ПП Ноември'!X2)</f>
        <v>0</v>
      </c>
      <c r="Y26" s="74">
        <f>SUMIFS(разходи!$L:$L,разходи!$E:$E,'ПП Ноември'!$C$26,разходи!$M:$M,'ПП Ноември'!Y2)</f>
        <v>0</v>
      </c>
      <c r="Z26" s="74">
        <f>SUMIFS(разходи!$L:$L,разходи!$E:$E,'ПП Ноември'!$C$26,разходи!$M:$M,'ПП Ноември'!Z2)</f>
        <v>0</v>
      </c>
      <c r="AA26" s="76">
        <f>SUMIFS(разходи!$L:$L,разходи!$E:$E,'ПП Ноември'!$C$26,разходи!$M:$M,'ПП Ноември'!AA2)</f>
        <v>0</v>
      </c>
      <c r="AB26" s="76">
        <f>SUMIFS(разходи!$L:$L,разходи!$E:$E,'ПП Ноември'!$C$26,разходи!$M:$M,'ПП Ноември'!AB2)</f>
        <v>0</v>
      </c>
      <c r="AC26" s="74">
        <f>SUMIFS(разходи!$L:$L,разходи!$E:$E,'ПП Ноември'!$C$26,разходи!$M:$M,'ПП Ноември'!AC2)</f>
        <v>0</v>
      </c>
      <c r="AD26" s="74">
        <f>SUMIFS(разходи!$L:$L,разходи!$E:$E,'ПП Ноември'!$C$26,разходи!$M:$M,'ПП Ноември'!AD2)</f>
        <v>0</v>
      </c>
      <c r="AE26" s="74">
        <f>SUMIFS(разходи!$L:$L,разходи!$E:$E,'ПП Ноември'!$C$26,разходи!$M:$M,'ПП Ноември'!AE2)</f>
        <v>0</v>
      </c>
      <c r="AF26" s="74">
        <f>SUMIFS(разходи!$L:$L,разходи!$E:$E,'ПП Ноември'!$C$26,разходи!$M:$M,'ПП Ноември'!AF2)</f>
        <v>0</v>
      </c>
      <c r="AG26" s="74">
        <f>SUMIFS(разходи!$L:$L,разходи!$E:$E,'ПП Ноември'!$C$26,разходи!$M:$M,'ПП Ноември'!AG2)</f>
        <v>0</v>
      </c>
      <c r="AH26" s="76">
        <f>SUMIFS(разходи!$L:$L,разходи!$E:$E,'ПП Ноември'!$C$26,разходи!$M:$M,'ПП Ноември'!AH2)</f>
        <v>0</v>
      </c>
      <c r="AI26" s="61">
        <f t="shared" si="2"/>
        <v>0</v>
      </c>
      <c r="AJ26" s="69">
        <f t="shared" si="3"/>
        <v>0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/>
      <c r="E27" s="74">
        <f>SUMIFS(разходи!$L:$L,разходи!$E:$E,'ПП Ноември'!$C$27,разходи!$M:$M,'ПП Ноември'!E2)</f>
        <v>0</v>
      </c>
      <c r="F27" s="76">
        <f>SUMIFS(разходи!$L:$L,разходи!$E:$E,'ПП Ноември'!$C$27,разходи!$M:$M,'ПП Ноември'!F2)</f>
        <v>0</v>
      </c>
      <c r="G27" s="76">
        <f>SUMIFS(разходи!$L:$L,разходи!$E:$E,'ПП Ноември'!$C$27,разходи!$M:$M,'ПП Ноември'!G2)</f>
        <v>0</v>
      </c>
      <c r="H27" s="74">
        <f>SUMIFS(разходи!$L:$L,разходи!$E:$E,'ПП Ноември'!$C$27,разходи!$M:$M,'ПП Ноември'!H2)</f>
        <v>0</v>
      </c>
      <c r="I27" s="74">
        <f>SUMIFS(разходи!$L:$L,разходи!$E:$E,'ПП Ноември'!$C$27,разходи!$M:$M,'ПП Ноември'!I2)</f>
        <v>0</v>
      </c>
      <c r="J27" s="74">
        <f>SUMIFS(разходи!$L:$L,разходи!$E:$E,'ПП Ноември'!$C$27,разходи!$M:$M,'ПП Ноември'!J2)</f>
        <v>0</v>
      </c>
      <c r="K27" s="74">
        <f>SUMIFS(разходи!$L:$L,разходи!$E:$E,'ПП Ноември'!$C$27,разходи!$M:$M,'ПП Ноември'!K2)</f>
        <v>0</v>
      </c>
      <c r="L27" s="74">
        <f>SUMIFS(разходи!$L:$L,разходи!$E:$E,'ПП Ноември'!$C$27,разходи!$M:$M,'ПП Ноември'!L2)</f>
        <v>0</v>
      </c>
      <c r="M27" s="76">
        <f>SUMIFS(разходи!$L:$L,разходи!$E:$E,'ПП Ноември'!$C$27,разходи!$M:$M,'ПП Ноември'!M2)</f>
        <v>0</v>
      </c>
      <c r="N27" s="76">
        <f>SUMIFS(разходи!$L:$L,разходи!$E:$E,'ПП Ноември'!$C$27,разходи!$M:$M,'ПП Ноември'!N2)</f>
        <v>0</v>
      </c>
      <c r="O27" s="74">
        <f>SUMIFS(разходи!$L:$L,разходи!$E:$E,'ПП Ноември'!$C$27,разходи!$M:$M,'ПП Ноември'!O2)</f>
        <v>0</v>
      </c>
      <c r="P27" s="74">
        <f>SUMIFS(разходи!$L:$L,разходи!$E:$E,'ПП Ноември'!$C$27,разходи!$M:$M,'ПП Ноември'!P2)</f>
        <v>0</v>
      </c>
      <c r="Q27" s="74">
        <f>SUMIFS(разходи!$L:$L,разходи!$E:$E,'ПП Ноември'!$C$27,разходи!$M:$M,'ПП Ноември'!Q2)</f>
        <v>0</v>
      </c>
      <c r="R27" s="74">
        <f>SUMIFS(разходи!$L:$L,разходи!$E:$E,'ПП Ноември'!$C$27,разходи!$M:$M,'ПП Ноември'!R2)</f>
        <v>0</v>
      </c>
      <c r="S27" s="74">
        <f>SUMIFS(разходи!$L:$L,разходи!$E:$E,'ПП Ноември'!$C$27,разходи!$M:$M,'ПП Ноември'!S2)</f>
        <v>0</v>
      </c>
      <c r="T27" s="76">
        <f>SUMIFS(разходи!$L:$L,разходи!$E:$E,'ПП Ноември'!$C$27,разходи!$M:$M,'ПП Ноември'!T2)</f>
        <v>0</v>
      </c>
      <c r="U27" s="76">
        <f>SUMIFS(разходи!$L:$L,разходи!$E:$E,'ПП Ноември'!$C$27,разходи!$M:$M,'ПП Ноември'!U2)</f>
        <v>0</v>
      </c>
      <c r="V27" s="74">
        <f>SUMIFS(разходи!$L:$L,разходи!$E:$E,'ПП Ноември'!$C$27,разходи!$M:$M,'ПП Ноември'!V2)</f>
        <v>0</v>
      </c>
      <c r="W27" s="74">
        <f>SUMIFS(разходи!$L:$L,разходи!$E:$E,'ПП Ноември'!$C$27,разходи!$M:$M,'ПП Ноември'!W2)</f>
        <v>0</v>
      </c>
      <c r="X27" s="74">
        <f>SUMIFS(разходи!$L:$L,разходи!$E:$E,'ПП Ноември'!$C$27,разходи!$M:$M,'ПП Ноември'!X2)</f>
        <v>0</v>
      </c>
      <c r="Y27" s="74">
        <f>SUMIFS(разходи!$L:$L,разходи!$E:$E,'ПП Ноември'!$C$27,разходи!$M:$M,'ПП Ноември'!Y2)</f>
        <v>0</v>
      </c>
      <c r="Z27" s="74">
        <f>SUMIFS(разходи!$L:$L,разходи!$E:$E,'ПП Ноември'!$C$27,разходи!$M:$M,'ПП Ноември'!Z2)</f>
        <v>0</v>
      </c>
      <c r="AA27" s="76">
        <f>SUMIFS(разходи!$L:$L,разходи!$E:$E,'ПП Ноември'!$C$27,разходи!$M:$M,'ПП Ноември'!AA2)</f>
        <v>0</v>
      </c>
      <c r="AB27" s="76">
        <f>SUMIFS(разходи!$L:$L,разходи!$E:$E,'ПП Ноември'!$C$27,разходи!$M:$M,'ПП Ноември'!AB2)</f>
        <v>0</v>
      </c>
      <c r="AC27" s="74">
        <f>SUMIFS(разходи!$L:$L,разходи!$E:$E,'ПП Ноември'!$C$27,разходи!$M:$M,'ПП Ноември'!AC2)</f>
        <v>0</v>
      </c>
      <c r="AD27" s="74">
        <f>SUMIFS(разходи!$L:$L,разходи!$E:$E,'ПП Ноември'!$C$27,разходи!$M:$M,'ПП Ноември'!AD2)</f>
        <v>0</v>
      </c>
      <c r="AE27" s="74">
        <f>SUMIFS(разходи!$L:$L,разходи!$E:$E,'ПП Ноември'!$C$27,разходи!$M:$M,'ПП Ноември'!AE2)</f>
        <v>0</v>
      </c>
      <c r="AF27" s="74">
        <f>SUMIFS(разходи!$L:$L,разходи!$E:$E,'ПП Ноември'!$C$27,разходи!$M:$M,'ПП Ноември'!AF2)</f>
        <v>0</v>
      </c>
      <c r="AG27" s="74">
        <f>SUMIFS(разходи!$L:$L,разходи!$E:$E,'ПП Ноември'!$C$27,разходи!$M:$M,'ПП Ноември'!AG2)</f>
        <v>0</v>
      </c>
      <c r="AH27" s="76">
        <f>SUMIFS(разходи!$L:$L,разходи!$E:$E,'ПП Ноември'!$C$27,разходи!$M:$M,'ПП Ноември'!AH2)</f>
        <v>0</v>
      </c>
      <c r="AI27" s="61">
        <f t="shared" si="2"/>
        <v>0</v>
      </c>
      <c r="AJ27" s="69">
        <f t="shared" si="3"/>
        <v>0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Ноември'!$C$28,разходи!$M:$M,'ПП Ноември'!E2)</f>
        <v>0</v>
      </c>
      <c r="F28" s="76">
        <f>SUMIFS(разходи!$L:$L,разходи!$E:$E,'ПП Ноември'!$C$28,разходи!$M:$M,'ПП Ноември'!F2)</f>
        <v>0</v>
      </c>
      <c r="G28" s="76">
        <f>SUMIFS(разходи!$L:$L,разходи!$E:$E,'ПП Ноември'!$C$28,разходи!$M:$M,'ПП Ноември'!G2)</f>
        <v>0</v>
      </c>
      <c r="H28" s="74">
        <f>SUMIFS(разходи!$L:$L,разходи!$E:$E,'ПП Ноември'!$C$28,разходи!$M:$M,'ПП Ноември'!H2)</f>
        <v>0</v>
      </c>
      <c r="I28" s="74">
        <f>SUMIFS(разходи!$L:$L,разходи!$E:$E,'ПП Ноември'!$C$28,разходи!$M:$M,'ПП Ноември'!I2)</f>
        <v>0</v>
      </c>
      <c r="J28" s="74">
        <f>SUMIFS(разходи!$L:$L,разходи!$E:$E,'ПП Ноември'!$C$28,разходи!$M:$M,'ПП Ноември'!J2)</f>
        <v>0</v>
      </c>
      <c r="K28" s="74">
        <f>SUMIFS(разходи!$L:$L,разходи!$E:$E,'ПП Ноември'!$C$28,разходи!$M:$M,'ПП Ноември'!K2)</f>
        <v>0</v>
      </c>
      <c r="L28" s="74">
        <f>SUMIFS(разходи!$L:$L,разходи!$E:$E,'ПП Ноември'!$C$28,разходи!$M:$M,'ПП Ноември'!L2)</f>
        <v>0</v>
      </c>
      <c r="M28" s="76">
        <f>SUMIFS(разходи!$L:$L,разходи!$E:$E,'ПП Ноември'!$C$28,разходи!$M:$M,'ПП Ноември'!M2)</f>
        <v>0</v>
      </c>
      <c r="N28" s="76">
        <f>SUMIFS(разходи!$L:$L,разходи!$E:$E,'ПП Ноември'!$C$28,разходи!$M:$M,'ПП Ноември'!N2)</f>
        <v>0</v>
      </c>
      <c r="O28" s="74">
        <f>SUMIFS(разходи!$L:$L,разходи!$E:$E,'ПП Ноември'!$C$28,разходи!$M:$M,'ПП Ноември'!O2)</f>
        <v>0</v>
      </c>
      <c r="P28" s="74">
        <f>SUMIFS(разходи!$L:$L,разходи!$E:$E,'ПП Ноември'!$C$28,разходи!$M:$M,'ПП Ноември'!P2)</f>
        <v>0</v>
      </c>
      <c r="Q28" s="74">
        <f>SUMIFS(разходи!$L:$L,разходи!$E:$E,'ПП Ноември'!$C$28,разходи!$M:$M,'ПП Ноември'!Q2)</f>
        <v>0</v>
      </c>
      <c r="R28" s="74">
        <f>SUMIFS(разходи!$L:$L,разходи!$E:$E,'ПП Ноември'!$C$28,разходи!$M:$M,'ПП Ноември'!R2)</f>
        <v>0</v>
      </c>
      <c r="S28" s="74">
        <f>SUMIFS(разходи!$L:$L,разходи!$E:$E,'ПП Ноември'!$C$28,разходи!$M:$M,'ПП Ноември'!S2)</f>
        <v>0</v>
      </c>
      <c r="T28" s="76">
        <f>SUMIFS(разходи!$L:$L,разходи!$E:$E,'ПП Ноември'!$C$28,разходи!$M:$M,'ПП Ноември'!T2)</f>
        <v>0</v>
      </c>
      <c r="U28" s="76">
        <f>SUMIFS(разходи!$L:$L,разходи!$E:$E,'ПП Ноември'!$C$28,разходи!$M:$M,'ПП Ноември'!U2)</f>
        <v>0</v>
      </c>
      <c r="V28" s="74">
        <f>SUMIFS(разходи!$L:$L,разходи!$E:$E,'ПП Ноември'!$C$28,разходи!$M:$M,'ПП Ноември'!V2)</f>
        <v>0</v>
      </c>
      <c r="W28" s="74">
        <f>SUMIFS(разходи!$L:$L,разходи!$E:$E,'ПП Ноември'!$C$28,разходи!$M:$M,'ПП Ноември'!W2)</f>
        <v>0</v>
      </c>
      <c r="X28" s="74">
        <f>SUMIFS(разходи!$L:$L,разходи!$E:$E,'ПП Ноември'!$C$28,разходи!$M:$M,'ПП Ноември'!X2)</f>
        <v>0</v>
      </c>
      <c r="Y28" s="74">
        <f>SUMIFS(разходи!$L:$L,разходи!$E:$E,'ПП Ноември'!$C$28,разходи!$M:$M,'ПП Ноември'!Y2)</f>
        <v>0</v>
      </c>
      <c r="Z28" s="74">
        <f>SUMIFS(разходи!$L:$L,разходи!$E:$E,'ПП Ноември'!$C$28,разходи!$M:$M,'ПП Ноември'!Z2)</f>
        <v>0</v>
      </c>
      <c r="AA28" s="76">
        <f>SUMIFS(разходи!$L:$L,разходи!$E:$E,'ПП Ноември'!$C$28,разходи!$M:$M,'ПП Ноември'!AA2)</f>
        <v>0</v>
      </c>
      <c r="AB28" s="76">
        <f>SUMIFS(разходи!$L:$L,разходи!$E:$E,'ПП Ноември'!$C$28,разходи!$M:$M,'ПП Ноември'!AB2)</f>
        <v>0</v>
      </c>
      <c r="AC28" s="74">
        <f>SUMIFS(разходи!$L:$L,разходи!$E:$E,'ПП Ноември'!$C$28,разходи!$M:$M,'ПП Ноември'!AC2)</f>
        <v>0</v>
      </c>
      <c r="AD28" s="74">
        <f>SUMIFS(разходи!$L:$L,разходи!$E:$E,'ПП Ноември'!$C$28,разходи!$M:$M,'ПП Ноември'!AD2)</f>
        <v>0</v>
      </c>
      <c r="AE28" s="74">
        <f>SUMIFS(разходи!$L:$L,разходи!$E:$E,'ПП Ноември'!$C$28,разходи!$M:$M,'ПП Ноември'!AE2)</f>
        <v>0</v>
      </c>
      <c r="AF28" s="74">
        <f>SUMIFS(разходи!$L:$L,разходи!$E:$E,'ПП Ноември'!$C$28,разходи!$M:$M,'ПП Ноември'!AF2)</f>
        <v>0</v>
      </c>
      <c r="AG28" s="74">
        <f>SUMIFS(разходи!$L:$L,разходи!$E:$E,'ПП Ноември'!$C$28,разходи!$M:$M,'ПП Ноември'!AG2)</f>
        <v>0</v>
      </c>
      <c r="AH28" s="76">
        <f>SUMIFS(разходи!$L:$L,разходи!$E:$E,'ПП Ноември'!$C$28,разходи!$M:$M,'ПП Ноември'!AH2)</f>
        <v>0</v>
      </c>
      <c r="AI28" s="61">
        <f t="shared" si="2"/>
        <v>0</v>
      </c>
      <c r="AJ28" s="69">
        <f t="shared" si="3"/>
        <v>0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0</v>
      </c>
      <c r="E29" s="74">
        <f t="shared" ref="E29:AH29" si="15">SUM(E30:E35)</f>
        <v>0</v>
      </c>
      <c r="F29" s="76">
        <f t="shared" si="15"/>
        <v>0</v>
      </c>
      <c r="G29" s="76">
        <f t="shared" si="15"/>
        <v>0</v>
      </c>
      <c r="H29" s="74">
        <f t="shared" si="15"/>
        <v>0</v>
      </c>
      <c r="I29" s="74">
        <f t="shared" si="15"/>
        <v>0</v>
      </c>
      <c r="J29" s="74">
        <f t="shared" si="15"/>
        <v>0</v>
      </c>
      <c r="K29" s="74">
        <f t="shared" si="15"/>
        <v>0</v>
      </c>
      <c r="L29" s="74">
        <f t="shared" si="15"/>
        <v>0</v>
      </c>
      <c r="M29" s="76">
        <f t="shared" si="15"/>
        <v>0</v>
      </c>
      <c r="N29" s="76">
        <f t="shared" si="15"/>
        <v>0</v>
      </c>
      <c r="O29" s="74">
        <f t="shared" si="15"/>
        <v>0</v>
      </c>
      <c r="P29" s="74">
        <f t="shared" si="15"/>
        <v>0</v>
      </c>
      <c r="Q29" s="74">
        <f t="shared" si="15"/>
        <v>0</v>
      </c>
      <c r="R29" s="74">
        <f t="shared" si="15"/>
        <v>0</v>
      </c>
      <c r="S29" s="74">
        <f t="shared" si="15"/>
        <v>0</v>
      </c>
      <c r="T29" s="76">
        <f t="shared" si="15"/>
        <v>0</v>
      </c>
      <c r="U29" s="76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4">
        <f t="shared" si="15"/>
        <v>0</v>
      </c>
      <c r="Z29" s="74">
        <f t="shared" si="15"/>
        <v>0</v>
      </c>
      <c r="AA29" s="76">
        <f t="shared" si="15"/>
        <v>0</v>
      </c>
      <c r="AB29" s="76">
        <f t="shared" si="15"/>
        <v>0</v>
      </c>
      <c r="AC29" s="74">
        <f t="shared" si="15"/>
        <v>0</v>
      </c>
      <c r="AD29" s="74">
        <f t="shared" si="15"/>
        <v>0</v>
      </c>
      <c r="AE29" s="74">
        <f t="shared" si="15"/>
        <v>0</v>
      </c>
      <c r="AF29" s="74">
        <f t="shared" si="15"/>
        <v>0</v>
      </c>
      <c r="AG29" s="74">
        <f t="shared" si="15"/>
        <v>0</v>
      </c>
      <c r="AH29" s="76">
        <f t="shared" si="15"/>
        <v>0</v>
      </c>
      <c r="AI29" s="61">
        <f t="shared" si="2"/>
        <v>0</v>
      </c>
      <c r="AJ29" s="62">
        <f t="shared" si="3"/>
        <v>0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80"/>
      <c r="E30" s="74">
        <f>SUMIFS(разходи!$L:$L,разходи!$E:$E,'ПП Ноември'!$C$30,разходи!$M:$M,'ПП Ноември'!E2)</f>
        <v>0</v>
      </c>
      <c r="F30" s="76">
        <f>SUMIFS(разходи!$L:$L,разходи!$E:$E,'ПП Ноември'!$C$30,разходи!$M:$M,'ПП Ноември'!F2)</f>
        <v>0</v>
      </c>
      <c r="G30" s="76">
        <f>SUMIFS(разходи!$L:$L,разходи!$E:$E,'ПП Ноември'!$C$30,разходи!$M:$M,'ПП Ноември'!G2)</f>
        <v>0</v>
      </c>
      <c r="H30" s="74">
        <f>SUMIFS(разходи!$L:$L,разходи!$E:$E,'ПП Ноември'!$C$30,разходи!$M:$M,'ПП Ноември'!H2)</f>
        <v>0</v>
      </c>
      <c r="I30" s="74">
        <f>SUMIFS(разходи!$L:$L,разходи!$E:$E,'ПП Ноември'!$C$30,разходи!$M:$M,'ПП Ноември'!I2)</f>
        <v>0</v>
      </c>
      <c r="J30" s="74">
        <f>SUMIFS(разходи!$L:$L,разходи!$E:$E,'ПП Ноември'!$C$30,разходи!$M:$M,'ПП Ноември'!J2)</f>
        <v>0</v>
      </c>
      <c r="K30" s="74">
        <f>SUMIFS(разходи!$L:$L,разходи!$E:$E,'ПП Ноември'!$C$30,разходи!$M:$M,'ПП Ноември'!K2)</f>
        <v>0</v>
      </c>
      <c r="L30" s="74">
        <f>SUMIFS(разходи!$L:$L,разходи!$E:$E,'ПП Ноември'!$C$30,разходи!$M:$M,'ПП Ноември'!L2)</f>
        <v>0</v>
      </c>
      <c r="M30" s="76">
        <f>SUMIFS(разходи!$L:$L,разходи!$E:$E,'ПП Ноември'!$C$30,разходи!$M:$M,'ПП Ноември'!M2)</f>
        <v>0</v>
      </c>
      <c r="N30" s="76">
        <f>SUMIFS(разходи!$L:$L,разходи!$E:$E,'ПП Ноември'!$C$30,разходи!$M:$M,'ПП Ноември'!N2)</f>
        <v>0</v>
      </c>
      <c r="O30" s="74">
        <f>SUMIFS(разходи!$L:$L,разходи!$E:$E,'ПП Ноември'!$C$30,разходи!$M:$M,'ПП Ноември'!O2)</f>
        <v>0</v>
      </c>
      <c r="P30" s="74">
        <f>SUMIFS(разходи!$L:$L,разходи!$E:$E,'ПП Ноември'!$C$30,разходи!$M:$M,'ПП Ноември'!P2)</f>
        <v>0</v>
      </c>
      <c r="Q30" s="74">
        <f>SUMIFS(разходи!$L:$L,разходи!$E:$E,'ПП Ноември'!$C$30,разходи!$M:$M,'ПП Ноември'!Q2)</f>
        <v>0</v>
      </c>
      <c r="R30" s="74">
        <f>SUMIFS(разходи!$L:$L,разходи!$E:$E,'ПП Ноември'!$C$30,разходи!$M:$M,'ПП Ноември'!R2)</f>
        <v>0</v>
      </c>
      <c r="S30" s="74">
        <f>SUMIFS(разходи!$L:$L,разходи!$E:$E,'ПП Ноември'!$C$30,разходи!$M:$M,'ПП Ноември'!S2)</f>
        <v>0</v>
      </c>
      <c r="T30" s="76">
        <f>SUMIFS(разходи!$L:$L,разходи!$E:$E,'ПП Ноември'!$C$30,разходи!$M:$M,'ПП Ноември'!T2)</f>
        <v>0</v>
      </c>
      <c r="U30" s="76">
        <f>SUMIFS(разходи!$L:$L,разходи!$E:$E,'ПП Ноември'!$C$30,разходи!$M:$M,'ПП Ноември'!U2)</f>
        <v>0</v>
      </c>
      <c r="V30" s="74">
        <f>SUMIFS(разходи!$L:$L,разходи!$E:$E,'ПП Ноември'!$C$30,разходи!$M:$M,'ПП Ноември'!V2)</f>
        <v>0</v>
      </c>
      <c r="W30" s="74">
        <f>SUMIFS(разходи!$L:$L,разходи!$E:$E,'ПП Ноември'!$C$30,разходи!$M:$M,'ПП Ноември'!W2)</f>
        <v>0</v>
      </c>
      <c r="X30" s="74">
        <f>SUMIFS(разходи!$L:$L,разходи!$E:$E,'ПП Ноември'!$C$30,разходи!$M:$M,'ПП Ноември'!X2)</f>
        <v>0</v>
      </c>
      <c r="Y30" s="74">
        <f>SUMIFS(разходи!$L:$L,разходи!$E:$E,'ПП Ноември'!$C$30,разходи!$M:$M,'ПП Ноември'!Y2)</f>
        <v>0</v>
      </c>
      <c r="Z30" s="74">
        <f>SUMIFS(разходи!$L:$L,разходи!$E:$E,'ПП Ноември'!$C$30,разходи!$M:$M,'ПП Ноември'!Z2)</f>
        <v>0</v>
      </c>
      <c r="AA30" s="76">
        <f>SUMIFS(разходи!$L:$L,разходи!$E:$E,'ПП Ноември'!$C$30,разходи!$M:$M,'ПП Ноември'!AA2)</f>
        <v>0</v>
      </c>
      <c r="AB30" s="76">
        <f>SUMIFS(разходи!$L:$L,разходи!$E:$E,'ПП Ноември'!$C$30,разходи!$M:$M,'ПП Ноември'!AB2)</f>
        <v>0</v>
      </c>
      <c r="AC30" s="74">
        <f>SUMIFS(разходи!$L:$L,разходи!$E:$E,'ПП Ноември'!$C$30,разходи!$M:$M,'ПП Ноември'!AC2)</f>
        <v>0</v>
      </c>
      <c r="AD30" s="74">
        <f>SUMIFS(разходи!$L:$L,разходи!$E:$E,'ПП Ноември'!$C$30,разходи!$M:$M,'ПП Ноември'!AD2)</f>
        <v>0</v>
      </c>
      <c r="AE30" s="74">
        <f>SUMIFS(разходи!$L:$L,разходи!$E:$E,'ПП Ноември'!$C$30,разходи!$M:$M,'ПП Ноември'!AE2)</f>
        <v>0</v>
      </c>
      <c r="AF30" s="74">
        <f>SUMIFS(разходи!$L:$L,разходи!$E:$E,'ПП Ноември'!$C$30,разходи!$M:$M,'ПП Ноември'!AF2)</f>
        <v>0</v>
      </c>
      <c r="AG30" s="74">
        <f>SUMIFS(разходи!$L:$L,разходи!$E:$E,'ПП Ноември'!$C$30,разходи!$M:$M,'ПП Ноември'!AG2)</f>
        <v>0</v>
      </c>
      <c r="AH30" s="76">
        <f>SUMIFS(разходи!$L:$L,разходи!$E:$E,'ПП Ноември'!$C$30,разходи!$M:$M,'ПП Ноември'!AH2)</f>
        <v>0</v>
      </c>
      <c r="AI30" s="61">
        <f t="shared" si="2"/>
        <v>0</v>
      </c>
      <c r="AJ30" s="69">
        <f t="shared" si="3"/>
        <v>0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80"/>
      <c r="E31" s="74">
        <f>SUMIFS(разходи!$L:$L,разходи!$E:$E,'ПП Ноември'!$C$31,разходи!$M:$M,'ПП Ноември'!E2)</f>
        <v>0</v>
      </c>
      <c r="F31" s="76">
        <f>SUMIFS(разходи!$L:$L,разходи!$E:$E,'ПП Ноември'!$C$31,разходи!$M:$M,'ПП Ноември'!F2)</f>
        <v>0</v>
      </c>
      <c r="G31" s="76">
        <f>SUMIFS(разходи!$L:$L,разходи!$E:$E,'ПП Ноември'!$C$31,разходи!$M:$M,'ПП Ноември'!G2)</f>
        <v>0</v>
      </c>
      <c r="H31" s="74">
        <f>SUMIFS(разходи!$L:$L,разходи!$E:$E,'ПП Ноември'!$C$31,разходи!$M:$M,'ПП Ноември'!H2)</f>
        <v>0</v>
      </c>
      <c r="I31" s="74">
        <f>SUMIFS(разходи!$L:$L,разходи!$E:$E,'ПП Ноември'!$C$31,разходи!$M:$M,'ПП Ноември'!I2)</f>
        <v>0</v>
      </c>
      <c r="J31" s="74">
        <f>SUMIFS(разходи!$L:$L,разходи!$E:$E,'ПП Ноември'!$C$31,разходи!$M:$M,'ПП Ноември'!J2)</f>
        <v>0</v>
      </c>
      <c r="K31" s="74">
        <f>SUMIFS(разходи!$L:$L,разходи!$E:$E,'ПП Ноември'!$C$31,разходи!$M:$M,'ПП Ноември'!K2)</f>
        <v>0</v>
      </c>
      <c r="L31" s="74">
        <f>SUMIFS(разходи!$L:$L,разходи!$E:$E,'ПП Ноември'!$C$31,разходи!$M:$M,'ПП Ноември'!L2)</f>
        <v>0</v>
      </c>
      <c r="M31" s="76">
        <f>SUMIFS(разходи!$L:$L,разходи!$E:$E,'ПП Ноември'!$C$31,разходи!$M:$M,'ПП Ноември'!M2)</f>
        <v>0</v>
      </c>
      <c r="N31" s="76">
        <f>SUMIFS(разходи!$L:$L,разходи!$E:$E,'ПП Ноември'!$C$31,разходи!$M:$M,'ПП Ноември'!N2)</f>
        <v>0</v>
      </c>
      <c r="O31" s="74">
        <f>SUMIFS(разходи!$L:$L,разходи!$E:$E,'ПП Ноември'!$C$31,разходи!$M:$M,'ПП Ноември'!O2)</f>
        <v>0</v>
      </c>
      <c r="P31" s="74">
        <f>SUMIFS(разходи!$L:$L,разходи!$E:$E,'ПП Ноември'!$C$31,разходи!$M:$M,'ПП Ноември'!P2)</f>
        <v>0</v>
      </c>
      <c r="Q31" s="74">
        <f>SUMIFS(разходи!$L:$L,разходи!$E:$E,'ПП Ноември'!$C$31,разходи!$M:$M,'ПП Ноември'!Q2)</f>
        <v>0</v>
      </c>
      <c r="R31" s="74">
        <f>SUMIFS(разходи!$L:$L,разходи!$E:$E,'ПП Ноември'!$C$31,разходи!$M:$M,'ПП Ноември'!R2)</f>
        <v>0</v>
      </c>
      <c r="S31" s="74">
        <f>SUMIFS(разходи!$L:$L,разходи!$E:$E,'ПП Ноември'!$C$31,разходи!$M:$M,'ПП Ноември'!S2)</f>
        <v>0</v>
      </c>
      <c r="T31" s="76">
        <f>SUMIFS(разходи!$L:$L,разходи!$E:$E,'ПП Ноември'!$C$31,разходи!$M:$M,'ПП Ноември'!T2)</f>
        <v>0</v>
      </c>
      <c r="U31" s="76">
        <f>SUMIFS(разходи!$L:$L,разходи!$E:$E,'ПП Ноември'!$C$31,разходи!$M:$M,'ПП Ноември'!U2)</f>
        <v>0</v>
      </c>
      <c r="V31" s="74">
        <f>SUMIFS(разходи!$L:$L,разходи!$E:$E,'ПП Ноември'!$C$31,разходи!$M:$M,'ПП Ноември'!V2)</f>
        <v>0</v>
      </c>
      <c r="W31" s="74">
        <f>SUMIFS(разходи!$L:$L,разходи!$E:$E,'ПП Ноември'!$C$31,разходи!$M:$M,'ПП Ноември'!W2)</f>
        <v>0</v>
      </c>
      <c r="X31" s="74">
        <f>SUMIFS(разходи!$L:$L,разходи!$E:$E,'ПП Ноември'!$C$31,разходи!$M:$M,'ПП Ноември'!X2)</f>
        <v>0</v>
      </c>
      <c r="Y31" s="74">
        <f>SUMIFS(разходи!$L:$L,разходи!$E:$E,'ПП Ноември'!$C$31,разходи!$M:$M,'ПП Ноември'!Y2)</f>
        <v>0</v>
      </c>
      <c r="Z31" s="74">
        <f>SUMIFS(разходи!$L:$L,разходи!$E:$E,'ПП Ноември'!$C$31,разходи!$M:$M,'ПП Ноември'!Z2)</f>
        <v>0</v>
      </c>
      <c r="AA31" s="76">
        <f>SUMIFS(разходи!$L:$L,разходи!$E:$E,'ПП Ноември'!$C$31,разходи!$M:$M,'ПП Ноември'!AA2)</f>
        <v>0</v>
      </c>
      <c r="AB31" s="76">
        <f>SUMIFS(разходи!$L:$L,разходи!$E:$E,'ПП Ноември'!$C$31,разходи!$M:$M,'ПП Ноември'!AB2)</f>
        <v>0</v>
      </c>
      <c r="AC31" s="74">
        <f>SUMIFS(разходи!$L:$L,разходи!$E:$E,'ПП Ноември'!$C$31,разходи!$M:$M,'ПП Ноември'!AC2)</f>
        <v>0</v>
      </c>
      <c r="AD31" s="74">
        <f>SUMIFS(разходи!$L:$L,разходи!$E:$E,'ПП Ноември'!$C$31,разходи!$M:$M,'ПП Ноември'!AD2)</f>
        <v>0</v>
      </c>
      <c r="AE31" s="74">
        <f>SUMIFS(разходи!$L:$L,разходи!$E:$E,'ПП Ноември'!$C$31,разходи!$M:$M,'ПП Ноември'!AE2)</f>
        <v>0</v>
      </c>
      <c r="AF31" s="74">
        <f>SUMIFS(разходи!$L:$L,разходи!$E:$E,'ПП Ноември'!$C$31,разходи!$M:$M,'ПП Ноември'!AF2)</f>
        <v>0</v>
      </c>
      <c r="AG31" s="74">
        <f>SUMIFS(разходи!$L:$L,разходи!$E:$E,'ПП Ноември'!$C$31,разходи!$M:$M,'ПП Ноември'!AG2)</f>
        <v>0</v>
      </c>
      <c r="AH31" s="76">
        <f>SUMIFS(разходи!$L:$L,разходи!$E:$E,'ПП Ноември'!$C$31,разходи!$M:$M,'ПП Ноември'!AH2)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80"/>
      <c r="E32" s="74">
        <f>SUMIFS(разходи!$L:$L,разходи!$E:$E,'ПП Ноември'!$C$32,разходи!$M:$M,'ПП Ноември'!E2)</f>
        <v>0</v>
      </c>
      <c r="F32" s="76">
        <f>SUMIFS(разходи!$L:$L,разходи!$E:$E,'ПП Ноември'!$C$32,разходи!$M:$M,'ПП Ноември'!F2)</f>
        <v>0</v>
      </c>
      <c r="G32" s="76">
        <f>SUMIFS(разходи!$L:$L,разходи!$E:$E,'ПП Ноември'!$C$32,разходи!$M:$M,'ПП Ноември'!G2)</f>
        <v>0</v>
      </c>
      <c r="H32" s="74">
        <f>SUMIFS(разходи!$L:$L,разходи!$E:$E,'ПП Ноември'!$C$32,разходи!$M:$M,'ПП Ноември'!H2)</f>
        <v>0</v>
      </c>
      <c r="I32" s="74">
        <f>SUMIFS(разходи!$L:$L,разходи!$E:$E,'ПП Ноември'!$C$32,разходи!$M:$M,'ПП Ноември'!I2)</f>
        <v>0</v>
      </c>
      <c r="J32" s="74">
        <f>SUMIFS(разходи!$L:$L,разходи!$E:$E,'ПП Ноември'!$C$32,разходи!$M:$M,'ПП Ноември'!J2)</f>
        <v>0</v>
      </c>
      <c r="K32" s="74">
        <f>SUMIFS(разходи!$L:$L,разходи!$E:$E,'ПП Ноември'!$C$32,разходи!$M:$M,'ПП Ноември'!K2)</f>
        <v>0</v>
      </c>
      <c r="L32" s="74">
        <f>SUMIFS(разходи!$L:$L,разходи!$E:$E,'ПП Ноември'!$C$32,разходи!$M:$M,'ПП Ноември'!L2)</f>
        <v>0</v>
      </c>
      <c r="M32" s="76">
        <f>SUMIFS(разходи!$L:$L,разходи!$E:$E,'ПП Ноември'!$C$32,разходи!$M:$M,'ПП Ноември'!M2)</f>
        <v>0</v>
      </c>
      <c r="N32" s="76">
        <f>SUMIFS(разходи!$L:$L,разходи!$E:$E,'ПП Ноември'!$C$32,разходи!$M:$M,'ПП Ноември'!N2)</f>
        <v>0</v>
      </c>
      <c r="O32" s="74">
        <f>SUMIFS(разходи!$L:$L,разходи!$E:$E,'ПП Ноември'!$C$32,разходи!$M:$M,'ПП Ноември'!O2)</f>
        <v>0</v>
      </c>
      <c r="P32" s="74">
        <f>SUMIFS(разходи!$L:$L,разходи!$E:$E,'ПП Ноември'!$C$32,разходи!$M:$M,'ПП Ноември'!P2)</f>
        <v>0</v>
      </c>
      <c r="Q32" s="74">
        <f>SUMIFS(разходи!$L:$L,разходи!$E:$E,'ПП Ноември'!$C$32,разходи!$M:$M,'ПП Ноември'!Q2)</f>
        <v>0</v>
      </c>
      <c r="R32" s="74">
        <f>SUMIFS(разходи!$L:$L,разходи!$E:$E,'ПП Ноември'!$C$32,разходи!$M:$M,'ПП Ноември'!R2)</f>
        <v>0</v>
      </c>
      <c r="S32" s="74">
        <f>SUMIFS(разходи!$L:$L,разходи!$E:$E,'ПП Ноември'!$C$32,разходи!$M:$M,'ПП Ноември'!S2)</f>
        <v>0</v>
      </c>
      <c r="T32" s="76">
        <f>SUMIFS(разходи!$L:$L,разходи!$E:$E,'ПП Ноември'!$C$32,разходи!$M:$M,'ПП Ноември'!T2)</f>
        <v>0</v>
      </c>
      <c r="U32" s="76">
        <f>SUMIFS(разходи!$L:$L,разходи!$E:$E,'ПП Ноември'!$C$32,разходи!$M:$M,'ПП Ноември'!U2)</f>
        <v>0</v>
      </c>
      <c r="V32" s="74">
        <f>SUMIFS(разходи!$L:$L,разходи!$E:$E,'ПП Ноември'!$C$32,разходи!$M:$M,'ПП Ноември'!V2)</f>
        <v>0</v>
      </c>
      <c r="W32" s="74">
        <f>SUMIFS(разходи!$L:$L,разходи!$E:$E,'ПП Ноември'!$C$32,разходи!$M:$M,'ПП Ноември'!W2)</f>
        <v>0</v>
      </c>
      <c r="X32" s="74">
        <f>SUMIFS(разходи!$L:$L,разходи!$E:$E,'ПП Ноември'!$C$32,разходи!$M:$M,'ПП Ноември'!X2)</f>
        <v>0</v>
      </c>
      <c r="Y32" s="74">
        <f>SUMIFS(разходи!$L:$L,разходи!$E:$E,'ПП Ноември'!$C$32,разходи!$M:$M,'ПП Ноември'!Y2)</f>
        <v>0</v>
      </c>
      <c r="Z32" s="74">
        <f>SUMIFS(разходи!$L:$L,разходи!$E:$E,'ПП Ноември'!$C$32,разходи!$M:$M,'ПП Ноември'!Z2)</f>
        <v>0</v>
      </c>
      <c r="AA32" s="76">
        <f>SUMIFS(разходи!$L:$L,разходи!$E:$E,'ПП Ноември'!$C$32,разходи!$M:$M,'ПП Ноември'!AA2)</f>
        <v>0</v>
      </c>
      <c r="AB32" s="76">
        <f>SUMIFS(разходи!$L:$L,разходи!$E:$E,'ПП Ноември'!$C$32,разходи!$M:$M,'ПП Ноември'!AB2)</f>
        <v>0</v>
      </c>
      <c r="AC32" s="74">
        <f>SUMIFS(разходи!$L:$L,разходи!$E:$E,'ПП Ноември'!$C$32,разходи!$M:$M,'ПП Ноември'!AC2)</f>
        <v>0</v>
      </c>
      <c r="AD32" s="74">
        <f>SUMIFS(разходи!$L:$L,разходи!$E:$E,'ПП Ноември'!$C$32,разходи!$M:$M,'ПП Ноември'!AD2)</f>
        <v>0</v>
      </c>
      <c r="AE32" s="74">
        <f>SUMIFS(разходи!$L:$L,разходи!$E:$E,'ПП Ноември'!$C$32,разходи!$M:$M,'ПП Ноември'!AE2)</f>
        <v>0</v>
      </c>
      <c r="AF32" s="74">
        <f>SUMIFS(разходи!$L:$L,разходи!$E:$E,'ПП Ноември'!$C$32,разходи!$M:$M,'ПП Ноември'!AF2)</f>
        <v>0</v>
      </c>
      <c r="AG32" s="74">
        <f>SUMIFS(разходи!$L:$L,разходи!$E:$E,'ПП Ноември'!$C$32,разходи!$M:$M,'ПП Ноември'!AG2)</f>
        <v>0</v>
      </c>
      <c r="AH32" s="76">
        <f>SUMIFS(разходи!$L:$L,разходи!$E:$E,'ПП Ноември'!$C$32,разходи!$M:$M,'ПП Ноември'!AH2)</f>
        <v>0</v>
      </c>
      <c r="AI32" s="61">
        <f t="shared" si="2"/>
        <v>0</v>
      </c>
      <c r="AJ32" s="69">
        <f t="shared" si="3"/>
        <v>0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/>
      <c r="E33" s="74">
        <f>SUMIFS(разходи!$L:$L,разходи!$E:$E,'ПП Ноември'!$C$33,разходи!$M:$M,'ПП Ноември'!E2)</f>
        <v>0</v>
      </c>
      <c r="F33" s="76">
        <f>SUMIFS(разходи!$L:$L,разходи!$E:$E,'ПП Ноември'!$C$33,разходи!$M:$M,'ПП Ноември'!F2)</f>
        <v>0</v>
      </c>
      <c r="G33" s="76">
        <f>SUMIFS(разходи!$L:$L,разходи!$E:$E,'ПП Ноември'!$C$33,разходи!$M:$M,'ПП Ноември'!G2)</f>
        <v>0</v>
      </c>
      <c r="H33" s="74">
        <f>SUMIFS(разходи!$L:$L,разходи!$E:$E,'ПП Ноември'!$C$33,разходи!$M:$M,'ПП Ноември'!H2)</f>
        <v>0</v>
      </c>
      <c r="I33" s="74">
        <f>SUMIFS(разходи!$L:$L,разходи!$E:$E,'ПП Ноември'!$C$33,разходи!$M:$M,'ПП Ноември'!I2)</f>
        <v>0</v>
      </c>
      <c r="J33" s="74">
        <f>SUMIFS(разходи!$L:$L,разходи!$E:$E,'ПП Ноември'!$C$33,разходи!$M:$M,'ПП Ноември'!J2)</f>
        <v>0</v>
      </c>
      <c r="K33" s="74">
        <f>SUMIFS(разходи!$L:$L,разходи!$E:$E,'ПП Ноември'!$C$33,разходи!$M:$M,'ПП Ноември'!K2)</f>
        <v>0</v>
      </c>
      <c r="L33" s="74">
        <f>SUMIFS(разходи!$L:$L,разходи!$E:$E,'ПП Ноември'!$C$33,разходи!$M:$M,'ПП Ноември'!L2)</f>
        <v>0</v>
      </c>
      <c r="M33" s="76">
        <f>SUMIFS(разходи!$L:$L,разходи!$E:$E,'ПП Ноември'!$C$33,разходи!$M:$M,'ПП Ноември'!M2)</f>
        <v>0</v>
      </c>
      <c r="N33" s="76">
        <f>SUMIFS(разходи!$L:$L,разходи!$E:$E,'ПП Ноември'!$C$33,разходи!$M:$M,'ПП Ноември'!N2)</f>
        <v>0</v>
      </c>
      <c r="O33" s="74">
        <f>SUMIFS(разходи!$L:$L,разходи!$E:$E,'ПП Ноември'!$C$33,разходи!$M:$M,'ПП Ноември'!O2)</f>
        <v>0</v>
      </c>
      <c r="P33" s="74">
        <f>SUMIFS(разходи!$L:$L,разходи!$E:$E,'ПП Ноември'!$C$33,разходи!$M:$M,'ПП Ноември'!P2)</f>
        <v>0</v>
      </c>
      <c r="Q33" s="74">
        <f>SUMIFS(разходи!$L:$L,разходи!$E:$E,'ПП Ноември'!$C$33,разходи!$M:$M,'ПП Ноември'!Q2)</f>
        <v>0</v>
      </c>
      <c r="R33" s="74">
        <f>SUMIFS(разходи!$L:$L,разходи!$E:$E,'ПП Ноември'!$C$33,разходи!$M:$M,'ПП Ноември'!R2)</f>
        <v>0</v>
      </c>
      <c r="S33" s="74">
        <f>SUMIFS(разходи!$L:$L,разходи!$E:$E,'ПП Ноември'!$C$33,разходи!$M:$M,'ПП Ноември'!S2)</f>
        <v>0</v>
      </c>
      <c r="T33" s="76">
        <f>SUMIFS(разходи!$L:$L,разходи!$E:$E,'ПП Ноември'!$C$33,разходи!$M:$M,'ПП Ноември'!T2)</f>
        <v>0</v>
      </c>
      <c r="U33" s="76">
        <f>SUMIFS(разходи!$L:$L,разходи!$E:$E,'ПП Ноември'!$C$33,разходи!$M:$M,'ПП Ноември'!U2)</f>
        <v>0</v>
      </c>
      <c r="V33" s="74">
        <f>SUMIFS(разходи!$L:$L,разходи!$E:$E,'ПП Ноември'!$C$33,разходи!$M:$M,'ПП Ноември'!V2)</f>
        <v>0</v>
      </c>
      <c r="W33" s="74">
        <f>SUMIFS(разходи!$L:$L,разходи!$E:$E,'ПП Ноември'!$C$33,разходи!$M:$M,'ПП Ноември'!W2)</f>
        <v>0</v>
      </c>
      <c r="X33" s="74">
        <f>SUMIFS(разходи!$L:$L,разходи!$E:$E,'ПП Ноември'!$C$33,разходи!$M:$M,'ПП Ноември'!X2)</f>
        <v>0</v>
      </c>
      <c r="Y33" s="74">
        <f>SUMIFS(разходи!$L:$L,разходи!$E:$E,'ПП Ноември'!$C$33,разходи!$M:$M,'ПП Ноември'!Y2)</f>
        <v>0</v>
      </c>
      <c r="Z33" s="74">
        <f>SUMIFS(разходи!$L:$L,разходи!$E:$E,'ПП Ноември'!$C$33,разходи!$M:$M,'ПП Ноември'!Z2)</f>
        <v>0</v>
      </c>
      <c r="AA33" s="76">
        <f>SUMIFS(разходи!$L:$L,разходи!$E:$E,'ПП Ноември'!$C$33,разходи!$M:$M,'ПП Ноември'!AA2)</f>
        <v>0</v>
      </c>
      <c r="AB33" s="76">
        <f>SUMIFS(разходи!$L:$L,разходи!$E:$E,'ПП Ноември'!$C$33,разходи!$M:$M,'ПП Ноември'!AB2)</f>
        <v>0</v>
      </c>
      <c r="AC33" s="74">
        <f>SUMIFS(разходи!$L:$L,разходи!$E:$E,'ПП Ноември'!$C$33,разходи!$M:$M,'ПП Ноември'!AC2)</f>
        <v>0</v>
      </c>
      <c r="AD33" s="74">
        <f>SUMIFS(разходи!$L:$L,разходи!$E:$E,'ПП Ноември'!$C$33,разходи!$M:$M,'ПП Ноември'!AD2)</f>
        <v>0</v>
      </c>
      <c r="AE33" s="74">
        <f>SUMIFS(разходи!$L:$L,разходи!$E:$E,'ПП Ноември'!$C$33,разходи!$M:$M,'ПП Ноември'!AE2)</f>
        <v>0</v>
      </c>
      <c r="AF33" s="74">
        <f>SUMIFS(разходи!$L:$L,разходи!$E:$E,'ПП Ноември'!$C$33,разходи!$M:$M,'ПП Ноември'!AF2)</f>
        <v>0</v>
      </c>
      <c r="AG33" s="74">
        <f>SUMIFS(разходи!$L:$L,разходи!$E:$E,'ПП Ноември'!$C$33,разходи!$M:$M,'ПП Ноември'!AG2)</f>
        <v>0</v>
      </c>
      <c r="AH33" s="76">
        <f>SUMIFS(разходи!$L:$L,разходи!$E:$E,'ПП Ноември'!$C$33,разходи!$M:$M,'ПП Ноември'!AH2)</f>
        <v>0</v>
      </c>
      <c r="AI33" s="61">
        <f t="shared" si="2"/>
        <v>0</v>
      </c>
      <c r="AJ33" s="69">
        <f t="shared" si="3"/>
        <v>0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Ноември'!$C$34,разходи!$M:$M,'ПП Ноември'!E2)</f>
        <v>0</v>
      </c>
      <c r="F34" s="76">
        <f>SUMIFS(разходи!$L:$L,разходи!$E:$E,'ПП Ноември'!$C$34,разходи!$M:$M,'ПП Ноември'!F2)</f>
        <v>0</v>
      </c>
      <c r="G34" s="76">
        <f>SUMIFS(разходи!$L:$L,разходи!$E:$E,'ПП Ноември'!$C$34,разходи!$M:$M,'ПП Ноември'!G2)</f>
        <v>0</v>
      </c>
      <c r="H34" s="74">
        <f>SUMIFS(разходи!$L:$L,разходи!$E:$E,'ПП Ноември'!$C$34,разходи!$M:$M,'ПП Ноември'!H2)</f>
        <v>0</v>
      </c>
      <c r="I34" s="74">
        <f>SUMIFS(разходи!$L:$L,разходи!$E:$E,'ПП Ноември'!$C$34,разходи!$M:$M,'ПП Ноември'!I2)</f>
        <v>0</v>
      </c>
      <c r="J34" s="74">
        <f>SUMIFS(разходи!$L:$L,разходи!$E:$E,'ПП Ноември'!$C$34,разходи!$M:$M,'ПП Ноември'!J2)</f>
        <v>0</v>
      </c>
      <c r="K34" s="74">
        <f>SUMIFS(разходи!$L:$L,разходи!$E:$E,'ПП Ноември'!$C$34,разходи!$M:$M,'ПП Ноември'!K2)</f>
        <v>0</v>
      </c>
      <c r="L34" s="74">
        <f>SUMIFS(разходи!$L:$L,разходи!$E:$E,'ПП Ноември'!$C$34,разходи!$M:$M,'ПП Ноември'!L2)</f>
        <v>0</v>
      </c>
      <c r="M34" s="76">
        <f>SUMIFS(разходи!$L:$L,разходи!$E:$E,'ПП Ноември'!$C$34,разходи!$M:$M,'ПП Ноември'!M2)</f>
        <v>0</v>
      </c>
      <c r="N34" s="76">
        <f>SUMIFS(разходи!$L:$L,разходи!$E:$E,'ПП Ноември'!$C$34,разходи!$M:$M,'ПП Ноември'!N2)</f>
        <v>0</v>
      </c>
      <c r="O34" s="74">
        <f>SUMIFS(разходи!$L:$L,разходи!$E:$E,'ПП Ноември'!$C$34,разходи!$M:$M,'ПП Ноември'!O2)</f>
        <v>0</v>
      </c>
      <c r="P34" s="74">
        <f>SUMIFS(разходи!$L:$L,разходи!$E:$E,'ПП Ноември'!$C$34,разходи!$M:$M,'ПП Ноември'!P2)</f>
        <v>0</v>
      </c>
      <c r="Q34" s="74">
        <f>SUMIFS(разходи!$L:$L,разходи!$E:$E,'ПП Ноември'!$C$34,разходи!$M:$M,'ПП Ноември'!Q2)</f>
        <v>0</v>
      </c>
      <c r="R34" s="74">
        <f>SUMIFS(разходи!$L:$L,разходи!$E:$E,'ПП Ноември'!$C$34,разходи!$M:$M,'ПП Ноември'!R2)</f>
        <v>0</v>
      </c>
      <c r="S34" s="74">
        <f>SUMIFS(разходи!$L:$L,разходи!$E:$E,'ПП Ноември'!$C$34,разходи!$M:$M,'ПП Ноември'!S2)</f>
        <v>0</v>
      </c>
      <c r="T34" s="76">
        <f>SUMIFS(разходи!$L:$L,разходи!$E:$E,'ПП Ноември'!$C$34,разходи!$M:$M,'ПП Ноември'!T2)</f>
        <v>0</v>
      </c>
      <c r="U34" s="76">
        <f>SUMIFS(разходи!$L:$L,разходи!$E:$E,'ПП Ноември'!$C$34,разходи!$M:$M,'ПП Ноември'!U2)</f>
        <v>0</v>
      </c>
      <c r="V34" s="74">
        <f>SUMIFS(разходи!$L:$L,разходи!$E:$E,'ПП Ноември'!$C$34,разходи!$M:$M,'ПП Ноември'!V2)</f>
        <v>0</v>
      </c>
      <c r="W34" s="74">
        <f>SUMIFS(разходи!$L:$L,разходи!$E:$E,'ПП Ноември'!$C$34,разходи!$M:$M,'ПП Ноември'!W2)</f>
        <v>0</v>
      </c>
      <c r="X34" s="74">
        <f>SUMIFS(разходи!$L:$L,разходи!$E:$E,'ПП Ноември'!$C$34,разходи!$M:$M,'ПП Ноември'!X2)</f>
        <v>0</v>
      </c>
      <c r="Y34" s="74">
        <f>SUMIFS(разходи!$L:$L,разходи!$E:$E,'ПП Ноември'!$C$34,разходи!$M:$M,'ПП Ноември'!Y2)</f>
        <v>0</v>
      </c>
      <c r="Z34" s="74">
        <f>SUMIFS(разходи!$L:$L,разходи!$E:$E,'ПП Ноември'!$C$34,разходи!$M:$M,'ПП Ноември'!Z2)</f>
        <v>0</v>
      </c>
      <c r="AA34" s="76">
        <f>SUMIFS(разходи!$L:$L,разходи!$E:$E,'ПП Ноември'!$C$34,разходи!$M:$M,'ПП Ноември'!AA2)</f>
        <v>0</v>
      </c>
      <c r="AB34" s="76">
        <f>SUMIFS(разходи!$L:$L,разходи!$E:$E,'ПП Ноември'!$C$34,разходи!$M:$M,'ПП Ноември'!AB2)</f>
        <v>0</v>
      </c>
      <c r="AC34" s="74">
        <f>SUMIFS(разходи!$L:$L,разходи!$E:$E,'ПП Ноември'!$C$34,разходи!$M:$M,'ПП Ноември'!AC2)</f>
        <v>0</v>
      </c>
      <c r="AD34" s="74">
        <f>SUMIFS(разходи!$L:$L,разходи!$E:$E,'ПП Ноември'!$C$34,разходи!$M:$M,'ПП Ноември'!AD2)</f>
        <v>0</v>
      </c>
      <c r="AE34" s="74">
        <f>SUMIFS(разходи!$L:$L,разходи!$E:$E,'ПП Ноември'!$C$34,разходи!$M:$M,'ПП Ноември'!AE2)</f>
        <v>0</v>
      </c>
      <c r="AF34" s="74">
        <f>SUMIFS(разходи!$L:$L,разходи!$E:$E,'ПП Ноември'!$C$34,разходи!$M:$M,'ПП Ноември'!AF2)</f>
        <v>0</v>
      </c>
      <c r="AG34" s="74">
        <f>SUMIFS(разходи!$L:$L,разходи!$E:$E,'ПП Ноември'!$C$34,разходи!$M:$M,'ПП Ноември'!AG2)</f>
        <v>0</v>
      </c>
      <c r="AH34" s="76">
        <f>SUMIFS(разходи!$L:$L,разходи!$E:$E,'ПП Ноември'!$C$34,разходи!$M:$M,'ПП Ноември'!AH2)</f>
        <v>0</v>
      </c>
      <c r="AI34" s="61">
        <f t="shared" si="2"/>
        <v>0</v>
      </c>
      <c r="AJ34" s="69">
        <f t="shared" si="3"/>
        <v>0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Ноември'!$C$35,разходи!$M:$M,'ПП Ноември'!E2)</f>
        <v>0</v>
      </c>
      <c r="F35" s="76">
        <f>SUMIFS(разходи!$L:$L,разходи!$E:$E,'ПП Ноември'!$C$35,разходи!$M:$M,'ПП Ноември'!F2)</f>
        <v>0</v>
      </c>
      <c r="G35" s="76">
        <f>SUMIFS(разходи!$L:$L,разходи!$E:$E,'ПП Ноември'!$C$35,разходи!$M:$M,'ПП Ноември'!G2)</f>
        <v>0</v>
      </c>
      <c r="H35" s="74">
        <f>SUMIFS(разходи!$L:$L,разходи!$E:$E,'ПП Ноември'!$C$35,разходи!$M:$M,'ПП Ноември'!H2)</f>
        <v>0</v>
      </c>
      <c r="I35" s="74">
        <f>SUMIFS(разходи!$L:$L,разходи!$E:$E,'ПП Ноември'!$C$35,разходи!$M:$M,'ПП Ноември'!I2)</f>
        <v>0</v>
      </c>
      <c r="J35" s="74">
        <f>SUMIFS(разходи!$L:$L,разходи!$E:$E,'ПП Ноември'!$C$35,разходи!$M:$M,'ПП Ноември'!J2)</f>
        <v>0</v>
      </c>
      <c r="K35" s="74">
        <f>SUMIFS(разходи!$L:$L,разходи!$E:$E,'ПП Ноември'!$C$35,разходи!$M:$M,'ПП Ноември'!K2)</f>
        <v>0</v>
      </c>
      <c r="L35" s="74">
        <f>SUMIFS(разходи!$L:$L,разходи!$E:$E,'ПП Ноември'!$C$35,разходи!$M:$M,'ПП Ноември'!L2)</f>
        <v>0</v>
      </c>
      <c r="M35" s="76">
        <f>SUMIFS(разходи!$L:$L,разходи!$E:$E,'ПП Ноември'!$C$35,разходи!$M:$M,'ПП Ноември'!M2)</f>
        <v>0</v>
      </c>
      <c r="N35" s="76">
        <f>SUMIFS(разходи!$L:$L,разходи!$E:$E,'ПП Ноември'!$C$35,разходи!$M:$M,'ПП Ноември'!N2)</f>
        <v>0</v>
      </c>
      <c r="O35" s="74">
        <f>SUMIFS(разходи!$L:$L,разходи!$E:$E,'ПП Ноември'!$C$35,разходи!$M:$M,'ПП Ноември'!O2)</f>
        <v>0</v>
      </c>
      <c r="P35" s="74">
        <f>SUMIFS(разходи!$L:$L,разходи!$E:$E,'ПП Ноември'!$C$35,разходи!$M:$M,'ПП Ноември'!P2)</f>
        <v>0</v>
      </c>
      <c r="Q35" s="74">
        <f>SUMIFS(разходи!$L:$L,разходи!$E:$E,'ПП Ноември'!$C$35,разходи!$M:$M,'ПП Ноември'!Q2)</f>
        <v>0</v>
      </c>
      <c r="R35" s="74">
        <f>SUMIFS(разходи!$L:$L,разходи!$E:$E,'ПП Ноември'!$C$35,разходи!$M:$M,'ПП Ноември'!R2)</f>
        <v>0</v>
      </c>
      <c r="S35" s="74">
        <f>SUMIFS(разходи!$L:$L,разходи!$E:$E,'ПП Ноември'!$C$35,разходи!$M:$M,'ПП Ноември'!S2)</f>
        <v>0</v>
      </c>
      <c r="T35" s="76">
        <f>SUMIFS(разходи!$L:$L,разходи!$E:$E,'ПП Ноември'!$C$35,разходи!$M:$M,'ПП Ноември'!T2)</f>
        <v>0</v>
      </c>
      <c r="U35" s="76">
        <f>SUMIFS(разходи!$L:$L,разходи!$E:$E,'ПП Ноември'!$C$35,разходи!$M:$M,'ПП Ноември'!U2)</f>
        <v>0</v>
      </c>
      <c r="V35" s="74">
        <f>SUMIFS(разходи!$L:$L,разходи!$E:$E,'ПП Ноември'!$C$35,разходи!$M:$M,'ПП Ноември'!V2)</f>
        <v>0</v>
      </c>
      <c r="W35" s="74">
        <f>SUMIFS(разходи!$L:$L,разходи!$E:$E,'ПП Ноември'!$C$35,разходи!$M:$M,'ПП Ноември'!W2)</f>
        <v>0</v>
      </c>
      <c r="X35" s="74">
        <f>SUMIFS(разходи!$L:$L,разходи!$E:$E,'ПП Ноември'!$C$35,разходи!$M:$M,'ПП Ноември'!X2)</f>
        <v>0</v>
      </c>
      <c r="Y35" s="74">
        <f>SUMIFS(разходи!$L:$L,разходи!$E:$E,'ПП Ноември'!$C$35,разходи!$M:$M,'ПП Ноември'!Y2)</f>
        <v>0</v>
      </c>
      <c r="Z35" s="74">
        <f>SUMIFS(разходи!$L:$L,разходи!$E:$E,'ПП Ноември'!$C$35,разходи!$M:$M,'ПП Ноември'!Z2)</f>
        <v>0</v>
      </c>
      <c r="AA35" s="76">
        <f>SUMIFS(разходи!$L:$L,разходи!$E:$E,'ПП Ноември'!$C$35,разходи!$M:$M,'ПП Ноември'!AA2)</f>
        <v>0</v>
      </c>
      <c r="AB35" s="76">
        <f>SUMIFS(разходи!$L:$L,разходи!$E:$E,'ПП Ноември'!$C$35,разходи!$M:$M,'ПП Ноември'!AB2)</f>
        <v>0</v>
      </c>
      <c r="AC35" s="74">
        <f>SUMIFS(разходи!$L:$L,разходи!$E:$E,'ПП Ноември'!$C$35,разходи!$M:$M,'ПП Ноември'!AC2)</f>
        <v>0</v>
      </c>
      <c r="AD35" s="74">
        <f>SUMIFS(разходи!$L:$L,разходи!$E:$E,'ПП Ноември'!$C$35,разходи!$M:$M,'ПП Ноември'!AD2)</f>
        <v>0</v>
      </c>
      <c r="AE35" s="74">
        <f>SUMIFS(разходи!$L:$L,разходи!$E:$E,'ПП Ноември'!$C$35,разходи!$M:$M,'ПП Ноември'!AE2)</f>
        <v>0</v>
      </c>
      <c r="AF35" s="74">
        <f>SUMIFS(разходи!$L:$L,разходи!$E:$E,'ПП Ноември'!$C$35,разходи!$M:$M,'ПП Ноември'!AF2)</f>
        <v>0</v>
      </c>
      <c r="AG35" s="74">
        <f>SUMIFS(разходи!$L:$L,разходи!$E:$E,'ПП Ноември'!$C$35,разходи!$M:$M,'ПП Ноември'!AG2)</f>
        <v>0</v>
      </c>
      <c r="AH35" s="76">
        <f>SUMIFS(разходи!$L:$L,разходи!$E:$E,'ПП Ноември'!$C$35,разходи!$M:$M,'ПП Ноември'!AH2)</f>
        <v>0</v>
      </c>
      <c r="AI35" s="61">
        <f t="shared" ref="AI35:AI66" si="16">SUM(E35:AH35)</f>
        <v>0</v>
      </c>
      <c r="AJ35" s="69">
        <f t="shared" ref="AJ35:AJ66" si="17">+D35-AI35</f>
        <v>0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4"/>
      <c r="E36" s="74">
        <f t="shared" ref="E36:AH36" si="18">SUM(E37:E40)</f>
        <v>0</v>
      </c>
      <c r="F36" s="76">
        <f t="shared" si="18"/>
        <v>0</v>
      </c>
      <c r="G36" s="76">
        <f t="shared" si="18"/>
        <v>0</v>
      </c>
      <c r="H36" s="74">
        <f t="shared" si="18"/>
        <v>0</v>
      </c>
      <c r="I36" s="74">
        <f t="shared" si="18"/>
        <v>0</v>
      </c>
      <c r="J36" s="74">
        <f t="shared" si="18"/>
        <v>0</v>
      </c>
      <c r="K36" s="74">
        <f t="shared" si="18"/>
        <v>0</v>
      </c>
      <c r="L36" s="74">
        <f t="shared" si="18"/>
        <v>0</v>
      </c>
      <c r="M36" s="76">
        <f t="shared" si="18"/>
        <v>0</v>
      </c>
      <c r="N36" s="76">
        <f t="shared" si="18"/>
        <v>0</v>
      </c>
      <c r="O36" s="74">
        <f t="shared" si="18"/>
        <v>0</v>
      </c>
      <c r="P36" s="74">
        <f t="shared" si="18"/>
        <v>0</v>
      </c>
      <c r="Q36" s="74">
        <f t="shared" si="18"/>
        <v>0</v>
      </c>
      <c r="R36" s="74">
        <f t="shared" si="18"/>
        <v>0</v>
      </c>
      <c r="S36" s="74">
        <f t="shared" si="18"/>
        <v>0</v>
      </c>
      <c r="T36" s="76">
        <f t="shared" si="18"/>
        <v>0</v>
      </c>
      <c r="U36" s="76">
        <f t="shared" si="18"/>
        <v>0</v>
      </c>
      <c r="V36" s="74">
        <f t="shared" si="18"/>
        <v>0</v>
      </c>
      <c r="W36" s="74">
        <f t="shared" si="18"/>
        <v>0</v>
      </c>
      <c r="X36" s="74">
        <f t="shared" si="18"/>
        <v>0</v>
      </c>
      <c r="Y36" s="74">
        <f t="shared" si="18"/>
        <v>0</v>
      </c>
      <c r="Z36" s="74">
        <f t="shared" si="18"/>
        <v>0</v>
      </c>
      <c r="AA36" s="76">
        <f t="shared" si="18"/>
        <v>0</v>
      </c>
      <c r="AB36" s="76">
        <f t="shared" si="18"/>
        <v>0</v>
      </c>
      <c r="AC36" s="74">
        <f t="shared" si="18"/>
        <v>0</v>
      </c>
      <c r="AD36" s="74">
        <f t="shared" si="18"/>
        <v>0</v>
      </c>
      <c r="AE36" s="74">
        <f t="shared" si="18"/>
        <v>0</v>
      </c>
      <c r="AF36" s="74">
        <f t="shared" si="18"/>
        <v>0</v>
      </c>
      <c r="AG36" s="74">
        <f t="shared" si="18"/>
        <v>0</v>
      </c>
      <c r="AH36" s="76">
        <f t="shared" si="18"/>
        <v>0</v>
      </c>
      <c r="AI36" s="61">
        <f t="shared" si="16"/>
        <v>0</v>
      </c>
      <c r="AJ36" s="62">
        <f t="shared" si="17"/>
        <v>0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80"/>
      <c r="E37" s="74">
        <f>SUMIFS(разходи!$L:$L,разходи!$E:$E,'ПП Ноември'!$C$37,разходи!$M:$M,'ПП Ноември'!E2)</f>
        <v>0</v>
      </c>
      <c r="F37" s="76">
        <f>SUMIFS(разходи!$L:$L,разходи!$E:$E,'ПП Ноември'!$C$37,разходи!$M:$M,'ПП Ноември'!F2)</f>
        <v>0</v>
      </c>
      <c r="G37" s="76">
        <f>SUMIFS(разходи!$L:$L,разходи!$E:$E,'ПП Ноември'!$C$37,разходи!$M:$M,'ПП Ноември'!G2)</f>
        <v>0</v>
      </c>
      <c r="H37" s="74">
        <f>SUMIFS(разходи!$L:$L,разходи!$E:$E,'ПП Ноември'!$C$37,разходи!$M:$M,'ПП Ноември'!H2)</f>
        <v>0</v>
      </c>
      <c r="I37" s="74">
        <f>SUMIFS(разходи!$L:$L,разходи!$E:$E,'ПП Ноември'!$C$37,разходи!$M:$M,'ПП Ноември'!I2)</f>
        <v>0</v>
      </c>
      <c r="J37" s="74">
        <f>SUMIFS(разходи!$L:$L,разходи!$E:$E,'ПП Ноември'!$C$37,разходи!$M:$M,'ПП Ноември'!J2)</f>
        <v>0</v>
      </c>
      <c r="K37" s="74">
        <f>SUMIFS(разходи!$L:$L,разходи!$E:$E,'ПП Ноември'!$C$37,разходи!$M:$M,'ПП Ноември'!K2)</f>
        <v>0</v>
      </c>
      <c r="L37" s="74">
        <f>SUMIFS(разходи!$L:$L,разходи!$E:$E,'ПП Ноември'!$C$37,разходи!$M:$M,'ПП Ноември'!L2)</f>
        <v>0</v>
      </c>
      <c r="M37" s="76">
        <f>SUMIFS(разходи!$L:$L,разходи!$E:$E,'ПП Ноември'!$C$37,разходи!$M:$M,'ПП Ноември'!M2)</f>
        <v>0</v>
      </c>
      <c r="N37" s="76">
        <f>SUMIFS(разходи!$L:$L,разходи!$E:$E,'ПП Ноември'!$C$37,разходи!$M:$M,'ПП Ноември'!N2)</f>
        <v>0</v>
      </c>
      <c r="O37" s="74">
        <f>SUMIFS(разходи!$L:$L,разходи!$E:$E,'ПП Ноември'!$C$37,разходи!$M:$M,'ПП Ноември'!O2)</f>
        <v>0</v>
      </c>
      <c r="P37" s="74">
        <f>SUMIFS(разходи!$L:$L,разходи!$E:$E,'ПП Ноември'!$C$37,разходи!$M:$M,'ПП Ноември'!P2)</f>
        <v>0</v>
      </c>
      <c r="Q37" s="74">
        <f>SUMIFS(разходи!$L:$L,разходи!$E:$E,'ПП Ноември'!$C$37,разходи!$M:$M,'ПП Ноември'!Q2)</f>
        <v>0</v>
      </c>
      <c r="R37" s="74">
        <f>SUMIFS(разходи!$L:$L,разходи!$E:$E,'ПП Ноември'!$C$37,разходи!$M:$M,'ПП Ноември'!R2)</f>
        <v>0</v>
      </c>
      <c r="S37" s="74">
        <f>SUMIFS(разходи!$L:$L,разходи!$E:$E,'ПП Ноември'!$C$37,разходи!$M:$M,'ПП Ноември'!S2)</f>
        <v>0</v>
      </c>
      <c r="T37" s="76">
        <f>SUMIFS(разходи!$L:$L,разходи!$E:$E,'ПП Ноември'!$C$37,разходи!$M:$M,'ПП Ноември'!T2)</f>
        <v>0</v>
      </c>
      <c r="U37" s="76">
        <f>SUMIFS(разходи!$L:$L,разходи!$E:$E,'ПП Ноември'!$C$37,разходи!$M:$M,'ПП Ноември'!U2)</f>
        <v>0</v>
      </c>
      <c r="V37" s="74">
        <f>SUMIFS(разходи!$L:$L,разходи!$E:$E,'ПП Ноември'!$C$37,разходи!$M:$M,'ПП Ноември'!V2)</f>
        <v>0</v>
      </c>
      <c r="W37" s="74">
        <f>SUMIFS(разходи!$L:$L,разходи!$E:$E,'ПП Ноември'!$C$37,разходи!$M:$M,'ПП Ноември'!W2)</f>
        <v>0</v>
      </c>
      <c r="X37" s="74">
        <f>SUMIFS(разходи!$L:$L,разходи!$E:$E,'ПП Ноември'!$C$37,разходи!$M:$M,'ПП Ноември'!X2)</f>
        <v>0</v>
      </c>
      <c r="Y37" s="74">
        <f>SUMIFS(разходи!$L:$L,разходи!$E:$E,'ПП Ноември'!$C$37,разходи!$M:$M,'ПП Ноември'!Y2)</f>
        <v>0</v>
      </c>
      <c r="Z37" s="74">
        <f>SUMIFS(разходи!$L:$L,разходи!$E:$E,'ПП Ноември'!$C$37,разходи!$M:$M,'ПП Ноември'!Z2)</f>
        <v>0</v>
      </c>
      <c r="AA37" s="76">
        <f>SUMIFS(разходи!$L:$L,разходи!$E:$E,'ПП Ноември'!$C$37,разходи!$M:$M,'ПП Ноември'!AA2)</f>
        <v>0</v>
      </c>
      <c r="AB37" s="76">
        <f>SUMIFS(разходи!$L:$L,разходи!$E:$E,'ПП Ноември'!$C$37,разходи!$M:$M,'ПП Ноември'!AB2)</f>
        <v>0</v>
      </c>
      <c r="AC37" s="74">
        <f>SUMIFS(разходи!$L:$L,разходи!$E:$E,'ПП Ноември'!$C$37,разходи!$M:$M,'ПП Ноември'!AC2)</f>
        <v>0</v>
      </c>
      <c r="AD37" s="74">
        <f>SUMIFS(разходи!$L:$L,разходи!$E:$E,'ПП Ноември'!$C$37,разходи!$M:$M,'ПП Ноември'!AD2)</f>
        <v>0</v>
      </c>
      <c r="AE37" s="74">
        <f>SUMIFS(разходи!$L:$L,разходи!$E:$E,'ПП Ноември'!$C$37,разходи!$M:$M,'ПП Ноември'!AE2)</f>
        <v>0</v>
      </c>
      <c r="AF37" s="74">
        <f>SUMIFS(разходи!$L:$L,разходи!$E:$E,'ПП Ноември'!$C$37,разходи!$M:$M,'ПП Ноември'!AF2)</f>
        <v>0</v>
      </c>
      <c r="AG37" s="74">
        <f>SUMIFS(разходи!$L:$L,разходи!$E:$E,'ПП Ноември'!$C$37,разходи!$M:$M,'ПП Ноември'!AG2)</f>
        <v>0</v>
      </c>
      <c r="AH37" s="76">
        <f>SUMIFS(разходи!$L:$L,разходи!$E:$E,'ПП Ноември'!$C$37,разходи!$M:$M,'ПП Ноември'!AH2)</f>
        <v>0</v>
      </c>
      <c r="AI37" s="61">
        <f t="shared" si="16"/>
        <v>0</v>
      </c>
      <c r="AJ37" s="69">
        <f t="shared" si="17"/>
        <v>0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80"/>
      <c r="E38" s="74">
        <f>SUMIFS(разходи!$L:$L,разходи!$E:$E,'ПП Ноември'!$C$38,разходи!$M:$M,'ПП Ноември'!E2)</f>
        <v>0</v>
      </c>
      <c r="F38" s="76">
        <f>SUMIFS(разходи!$L:$L,разходи!$E:$E,'ПП Ноември'!$C$38,разходи!$M:$M,'ПП Ноември'!F2)</f>
        <v>0</v>
      </c>
      <c r="G38" s="76">
        <f>SUMIFS(разходи!$L:$L,разходи!$E:$E,'ПП Ноември'!$C$38,разходи!$M:$M,'ПП Ноември'!G2)</f>
        <v>0</v>
      </c>
      <c r="H38" s="74">
        <f>SUMIFS(разходи!$L:$L,разходи!$E:$E,'ПП Ноември'!$C$38,разходи!$M:$M,'ПП Ноември'!H2)</f>
        <v>0</v>
      </c>
      <c r="I38" s="74">
        <f>SUMIFS(разходи!$L:$L,разходи!$E:$E,'ПП Ноември'!$C$38,разходи!$M:$M,'ПП Ноември'!I2)</f>
        <v>0</v>
      </c>
      <c r="J38" s="74">
        <f>SUMIFS(разходи!$L:$L,разходи!$E:$E,'ПП Ноември'!$C$38,разходи!$M:$M,'ПП Ноември'!J2)</f>
        <v>0</v>
      </c>
      <c r="K38" s="74">
        <f>SUMIFS(разходи!$L:$L,разходи!$E:$E,'ПП Ноември'!$C$38,разходи!$M:$M,'ПП Ноември'!K2)</f>
        <v>0</v>
      </c>
      <c r="L38" s="74">
        <f>SUMIFS(разходи!$L:$L,разходи!$E:$E,'ПП Ноември'!$C$38,разходи!$M:$M,'ПП Ноември'!L2)</f>
        <v>0</v>
      </c>
      <c r="M38" s="76">
        <f>SUMIFS(разходи!$L:$L,разходи!$E:$E,'ПП Ноември'!$C$38,разходи!$M:$M,'ПП Ноември'!M2)</f>
        <v>0</v>
      </c>
      <c r="N38" s="76">
        <f>SUMIFS(разходи!$L:$L,разходи!$E:$E,'ПП Ноември'!$C$38,разходи!$M:$M,'ПП Ноември'!N2)</f>
        <v>0</v>
      </c>
      <c r="O38" s="74">
        <f>SUMIFS(разходи!$L:$L,разходи!$E:$E,'ПП Ноември'!$C$38,разходи!$M:$M,'ПП Ноември'!O2)</f>
        <v>0</v>
      </c>
      <c r="P38" s="74">
        <f>SUMIFS(разходи!$L:$L,разходи!$E:$E,'ПП Ноември'!$C$38,разходи!$M:$M,'ПП Ноември'!P2)</f>
        <v>0</v>
      </c>
      <c r="Q38" s="74">
        <f>SUMIFS(разходи!$L:$L,разходи!$E:$E,'ПП Ноември'!$C$38,разходи!$M:$M,'ПП Ноември'!Q2)</f>
        <v>0</v>
      </c>
      <c r="R38" s="74">
        <f>SUMIFS(разходи!$L:$L,разходи!$E:$E,'ПП Ноември'!$C$38,разходи!$M:$M,'ПП Ноември'!R2)</f>
        <v>0</v>
      </c>
      <c r="S38" s="74">
        <f>SUMIFS(разходи!$L:$L,разходи!$E:$E,'ПП Ноември'!$C$38,разходи!$M:$M,'ПП Ноември'!S2)</f>
        <v>0</v>
      </c>
      <c r="T38" s="76">
        <f>SUMIFS(разходи!$L:$L,разходи!$E:$E,'ПП Ноември'!$C$38,разходи!$M:$M,'ПП Ноември'!T2)</f>
        <v>0</v>
      </c>
      <c r="U38" s="76">
        <f>SUMIFS(разходи!$L:$L,разходи!$E:$E,'ПП Ноември'!$C$38,разходи!$M:$M,'ПП Ноември'!U2)</f>
        <v>0</v>
      </c>
      <c r="V38" s="74">
        <f>SUMIFS(разходи!$L:$L,разходи!$E:$E,'ПП Ноември'!$C$38,разходи!$M:$M,'ПП Ноември'!V2)</f>
        <v>0</v>
      </c>
      <c r="W38" s="74">
        <f>SUMIFS(разходи!$L:$L,разходи!$E:$E,'ПП Ноември'!$C$38,разходи!$M:$M,'ПП Ноември'!W2)</f>
        <v>0</v>
      </c>
      <c r="X38" s="74">
        <f>SUMIFS(разходи!$L:$L,разходи!$E:$E,'ПП Ноември'!$C$38,разходи!$M:$M,'ПП Ноември'!X2)</f>
        <v>0</v>
      </c>
      <c r="Y38" s="74">
        <f>SUMIFS(разходи!$L:$L,разходи!$E:$E,'ПП Ноември'!$C$38,разходи!$M:$M,'ПП Ноември'!Y2)</f>
        <v>0</v>
      </c>
      <c r="Z38" s="74">
        <f>SUMIFS(разходи!$L:$L,разходи!$E:$E,'ПП Ноември'!$C$38,разходи!$M:$M,'ПП Ноември'!Z2)</f>
        <v>0</v>
      </c>
      <c r="AA38" s="76">
        <f>SUMIFS(разходи!$L:$L,разходи!$E:$E,'ПП Ноември'!$C$38,разходи!$M:$M,'ПП Ноември'!AA2)</f>
        <v>0</v>
      </c>
      <c r="AB38" s="76">
        <f>SUMIFS(разходи!$L:$L,разходи!$E:$E,'ПП Ноември'!$C$38,разходи!$M:$M,'ПП Ноември'!AB2)</f>
        <v>0</v>
      </c>
      <c r="AC38" s="74">
        <f>SUMIFS(разходи!$L:$L,разходи!$E:$E,'ПП Ноември'!$C$38,разходи!$M:$M,'ПП Ноември'!AC2)</f>
        <v>0</v>
      </c>
      <c r="AD38" s="74">
        <f>SUMIFS(разходи!$L:$L,разходи!$E:$E,'ПП Ноември'!$C$38,разходи!$M:$M,'ПП Ноември'!AD2)</f>
        <v>0</v>
      </c>
      <c r="AE38" s="74">
        <f>SUMIFS(разходи!$L:$L,разходи!$E:$E,'ПП Ноември'!$C$38,разходи!$M:$M,'ПП Ноември'!AE2)</f>
        <v>0</v>
      </c>
      <c r="AF38" s="74">
        <f>SUMIFS(разходи!$L:$L,разходи!$E:$E,'ПП Ноември'!$C$38,разходи!$M:$M,'ПП Ноември'!AF2)</f>
        <v>0</v>
      </c>
      <c r="AG38" s="74">
        <f>SUMIFS(разходи!$L:$L,разходи!$E:$E,'ПП Ноември'!$C$38,разходи!$M:$M,'ПП Ноември'!AG2)</f>
        <v>0</v>
      </c>
      <c r="AH38" s="76">
        <f>SUMIFS(разходи!$L:$L,разходи!$E:$E,'ПП Ноември'!$C$38,разходи!$M:$M,'ПП Ноември'!AH2)</f>
        <v>0</v>
      </c>
      <c r="AI38" s="61">
        <f t="shared" si="16"/>
        <v>0</v>
      </c>
      <c r="AJ38" s="69">
        <f t="shared" si="17"/>
        <v>0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Ноември'!$C$39,разходи!$M:$M,'ПП Ноември'!E2)</f>
        <v>0</v>
      </c>
      <c r="F39" s="76">
        <f>SUMIFS(разходи!$L:$L,разходи!$E:$E,'ПП Ноември'!$C$39,разходи!$M:$M,'ПП Ноември'!F2)</f>
        <v>0</v>
      </c>
      <c r="G39" s="76">
        <f>SUMIFS(разходи!$L:$L,разходи!$E:$E,'ПП Ноември'!$C$39,разходи!$M:$M,'ПП Ноември'!G2)</f>
        <v>0</v>
      </c>
      <c r="H39" s="74">
        <f>SUMIFS(разходи!$L:$L,разходи!$E:$E,'ПП Ноември'!$C$39,разходи!$M:$M,'ПП Ноември'!H2)</f>
        <v>0</v>
      </c>
      <c r="I39" s="74">
        <f>SUMIFS(разходи!$L:$L,разходи!$E:$E,'ПП Ноември'!$C$39,разходи!$M:$M,'ПП Ноември'!I2)</f>
        <v>0</v>
      </c>
      <c r="J39" s="74">
        <f>SUMIFS(разходи!$L:$L,разходи!$E:$E,'ПП Ноември'!$C$39,разходи!$M:$M,'ПП Ноември'!J2)</f>
        <v>0</v>
      </c>
      <c r="K39" s="74">
        <f>SUMIFS(разходи!$L:$L,разходи!$E:$E,'ПП Ноември'!$C$39,разходи!$M:$M,'ПП Ноември'!K2)</f>
        <v>0</v>
      </c>
      <c r="L39" s="74">
        <f>SUMIFS(разходи!$L:$L,разходи!$E:$E,'ПП Ноември'!$C$39,разходи!$M:$M,'ПП Ноември'!L2)</f>
        <v>0</v>
      </c>
      <c r="M39" s="76">
        <f>SUMIFS(разходи!$L:$L,разходи!$E:$E,'ПП Ноември'!$C$39,разходи!$M:$M,'ПП Ноември'!M2)</f>
        <v>0</v>
      </c>
      <c r="N39" s="76">
        <f>SUMIFS(разходи!$L:$L,разходи!$E:$E,'ПП Ноември'!$C$39,разходи!$M:$M,'ПП Ноември'!N2)</f>
        <v>0</v>
      </c>
      <c r="O39" s="74">
        <f>SUMIFS(разходи!$L:$L,разходи!$E:$E,'ПП Ноември'!$C$39,разходи!$M:$M,'ПП Ноември'!O2)</f>
        <v>0</v>
      </c>
      <c r="P39" s="74">
        <f>SUMIFS(разходи!$L:$L,разходи!$E:$E,'ПП Ноември'!$C$39,разходи!$M:$M,'ПП Ноември'!P2)</f>
        <v>0</v>
      </c>
      <c r="Q39" s="74">
        <f>SUMIFS(разходи!$L:$L,разходи!$E:$E,'ПП Ноември'!$C$39,разходи!$M:$M,'ПП Ноември'!Q2)</f>
        <v>0</v>
      </c>
      <c r="R39" s="74">
        <f>SUMIFS(разходи!$L:$L,разходи!$E:$E,'ПП Ноември'!$C$39,разходи!$M:$M,'ПП Ноември'!R2)</f>
        <v>0</v>
      </c>
      <c r="S39" s="74">
        <f>SUMIFS(разходи!$L:$L,разходи!$E:$E,'ПП Ноември'!$C$39,разходи!$M:$M,'ПП Ноември'!S2)</f>
        <v>0</v>
      </c>
      <c r="T39" s="76">
        <f>SUMIFS(разходи!$L:$L,разходи!$E:$E,'ПП Ноември'!$C$39,разходи!$M:$M,'ПП Ноември'!T2)</f>
        <v>0</v>
      </c>
      <c r="U39" s="76">
        <f>SUMIFS(разходи!$L:$L,разходи!$E:$E,'ПП Ноември'!$C$39,разходи!$M:$M,'ПП Ноември'!U2)</f>
        <v>0</v>
      </c>
      <c r="V39" s="74">
        <f>SUMIFS(разходи!$L:$L,разходи!$E:$E,'ПП Ноември'!$C$39,разходи!$M:$M,'ПП Ноември'!V2)</f>
        <v>0</v>
      </c>
      <c r="W39" s="74">
        <f>SUMIFS(разходи!$L:$L,разходи!$E:$E,'ПП Ноември'!$C$39,разходи!$M:$M,'ПП Ноември'!W2)</f>
        <v>0</v>
      </c>
      <c r="X39" s="74">
        <f>SUMIFS(разходи!$L:$L,разходи!$E:$E,'ПП Ноември'!$C$39,разходи!$M:$M,'ПП Ноември'!X2)</f>
        <v>0</v>
      </c>
      <c r="Y39" s="74">
        <f>SUMIFS(разходи!$L:$L,разходи!$E:$E,'ПП Ноември'!$C$39,разходи!$M:$M,'ПП Ноември'!Y2)</f>
        <v>0</v>
      </c>
      <c r="Z39" s="74">
        <f>SUMIFS(разходи!$L:$L,разходи!$E:$E,'ПП Ноември'!$C$39,разходи!$M:$M,'ПП Ноември'!Z2)</f>
        <v>0</v>
      </c>
      <c r="AA39" s="76">
        <f>SUMIFS(разходи!$L:$L,разходи!$E:$E,'ПП Ноември'!$C$39,разходи!$M:$M,'ПП Ноември'!AA2)</f>
        <v>0</v>
      </c>
      <c r="AB39" s="76">
        <f>SUMIFS(разходи!$L:$L,разходи!$E:$E,'ПП Ноември'!$C$39,разходи!$M:$M,'ПП Ноември'!AB2)</f>
        <v>0</v>
      </c>
      <c r="AC39" s="74">
        <f>SUMIFS(разходи!$L:$L,разходи!$E:$E,'ПП Ноември'!$C$39,разходи!$M:$M,'ПП Ноември'!AC2)</f>
        <v>0</v>
      </c>
      <c r="AD39" s="74">
        <f>SUMIFS(разходи!$L:$L,разходи!$E:$E,'ПП Ноември'!$C$39,разходи!$M:$M,'ПП Ноември'!AD2)</f>
        <v>0</v>
      </c>
      <c r="AE39" s="74">
        <f>SUMIFS(разходи!$L:$L,разходи!$E:$E,'ПП Ноември'!$C$39,разходи!$M:$M,'ПП Ноември'!AE2)</f>
        <v>0</v>
      </c>
      <c r="AF39" s="74">
        <f>SUMIFS(разходи!$L:$L,разходи!$E:$E,'ПП Ноември'!$C$39,разходи!$M:$M,'ПП Ноември'!AF2)</f>
        <v>0</v>
      </c>
      <c r="AG39" s="74">
        <f>SUMIFS(разходи!$L:$L,разходи!$E:$E,'ПП Ноември'!$C$39,разходи!$M:$M,'ПП Ноември'!AG2)</f>
        <v>0</v>
      </c>
      <c r="AH39" s="76">
        <f>SUMIFS(разходи!$L:$L,разходи!$E:$E,'ПП Ноември'!$C$39,разходи!$M:$M,'ПП Ноември'!AH2)</f>
        <v>0</v>
      </c>
      <c r="AI39" s="61">
        <f t="shared" si="16"/>
        <v>0</v>
      </c>
      <c r="AJ39" s="69">
        <f t="shared" si="17"/>
        <v>0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80"/>
      <c r="E40" s="74">
        <f>SUMIFS(разходи!$L:$L,разходи!$E:$E,'ПП Ноември'!$C$40,разходи!$M:$M,'ПП Ноември'!E2)</f>
        <v>0</v>
      </c>
      <c r="F40" s="76">
        <f>SUMIFS(разходи!$L:$L,разходи!$E:$E,'ПП Ноември'!$C$40,разходи!$M:$M,'ПП Ноември'!F2)</f>
        <v>0</v>
      </c>
      <c r="G40" s="76">
        <f>SUMIFS(разходи!$L:$L,разходи!$E:$E,'ПП Ноември'!$C$40,разходи!$M:$M,'ПП Ноември'!G2)</f>
        <v>0</v>
      </c>
      <c r="H40" s="74">
        <f>SUMIFS(разходи!$L:$L,разходи!$E:$E,'ПП Ноември'!$C$40,разходи!$M:$M,'ПП Ноември'!H2)</f>
        <v>0</v>
      </c>
      <c r="I40" s="74">
        <f>SUMIFS(разходи!$L:$L,разходи!$E:$E,'ПП Ноември'!$C$40,разходи!$M:$M,'ПП Ноември'!I2)</f>
        <v>0</v>
      </c>
      <c r="J40" s="74">
        <f>SUMIFS(разходи!$L:$L,разходи!$E:$E,'ПП Ноември'!$C$40,разходи!$M:$M,'ПП Ноември'!J2)</f>
        <v>0</v>
      </c>
      <c r="K40" s="74">
        <f>SUMIFS(разходи!$L:$L,разходи!$E:$E,'ПП Ноември'!$C$40,разходи!$M:$M,'ПП Ноември'!K2)</f>
        <v>0</v>
      </c>
      <c r="L40" s="74">
        <f>SUMIFS(разходи!$L:$L,разходи!$E:$E,'ПП Ноември'!$C$40,разходи!$M:$M,'ПП Ноември'!L2)</f>
        <v>0</v>
      </c>
      <c r="M40" s="76">
        <f>SUMIFS(разходи!$L:$L,разходи!$E:$E,'ПП Ноември'!$C$40,разходи!$M:$M,'ПП Ноември'!M2)</f>
        <v>0</v>
      </c>
      <c r="N40" s="76">
        <f>SUMIFS(разходи!$L:$L,разходи!$E:$E,'ПП Ноември'!$C$40,разходи!$M:$M,'ПП Ноември'!N2)</f>
        <v>0</v>
      </c>
      <c r="O40" s="74">
        <f>SUMIFS(разходи!$L:$L,разходи!$E:$E,'ПП Ноември'!$C$40,разходи!$M:$M,'ПП Ноември'!O2)</f>
        <v>0</v>
      </c>
      <c r="P40" s="74">
        <f>SUMIFS(разходи!$L:$L,разходи!$E:$E,'ПП Ноември'!$C$40,разходи!$M:$M,'ПП Ноември'!P2)</f>
        <v>0</v>
      </c>
      <c r="Q40" s="74">
        <f>SUMIFS(разходи!$L:$L,разходи!$E:$E,'ПП Ноември'!$C$40,разходи!$M:$M,'ПП Ноември'!Q2)</f>
        <v>0</v>
      </c>
      <c r="R40" s="74">
        <f>SUMIFS(разходи!$L:$L,разходи!$E:$E,'ПП Ноември'!$C$40,разходи!$M:$M,'ПП Ноември'!R2)</f>
        <v>0</v>
      </c>
      <c r="S40" s="74">
        <f>SUMIFS(разходи!$L:$L,разходи!$E:$E,'ПП Ноември'!$C$40,разходи!$M:$M,'ПП Ноември'!S2)</f>
        <v>0</v>
      </c>
      <c r="T40" s="76">
        <f>SUMIFS(разходи!$L:$L,разходи!$E:$E,'ПП Ноември'!$C$40,разходи!$M:$M,'ПП Ноември'!T2)</f>
        <v>0</v>
      </c>
      <c r="U40" s="76">
        <f>SUMIFS(разходи!$L:$L,разходи!$E:$E,'ПП Ноември'!$C$40,разходи!$M:$M,'ПП Ноември'!U2)</f>
        <v>0</v>
      </c>
      <c r="V40" s="74">
        <f>SUMIFS(разходи!$L:$L,разходи!$E:$E,'ПП Ноември'!$C$40,разходи!$M:$M,'ПП Ноември'!V2)</f>
        <v>0</v>
      </c>
      <c r="W40" s="74">
        <f>SUMIFS(разходи!$L:$L,разходи!$E:$E,'ПП Ноември'!$C$40,разходи!$M:$M,'ПП Ноември'!W2)</f>
        <v>0</v>
      </c>
      <c r="X40" s="74">
        <f>SUMIFS(разходи!$L:$L,разходи!$E:$E,'ПП Ноември'!$C$40,разходи!$M:$M,'ПП Ноември'!X2)</f>
        <v>0</v>
      </c>
      <c r="Y40" s="74">
        <f>SUMIFS(разходи!$L:$L,разходи!$E:$E,'ПП Ноември'!$C$40,разходи!$M:$M,'ПП Ноември'!Y2)</f>
        <v>0</v>
      </c>
      <c r="Z40" s="74">
        <f>SUMIFS(разходи!$L:$L,разходи!$E:$E,'ПП Ноември'!$C$40,разходи!$M:$M,'ПП Ноември'!Z2)</f>
        <v>0</v>
      </c>
      <c r="AA40" s="76">
        <f>SUMIFS(разходи!$L:$L,разходи!$E:$E,'ПП Ноември'!$C$40,разходи!$M:$M,'ПП Ноември'!AA2)</f>
        <v>0</v>
      </c>
      <c r="AB40" s="76">
        <f>SUMIFS(разходи!$L:$L,разходи!$E:$E,'ПП Ноември'!$C$40,разходи!$M:$M,'ПП Ноември'!AB2)</f>
        <v>0</v>
      </c>
      <c r="AC40" s="74">
        <f>SUMIFS(разходи!$L:$L,разходи!$E:$E,'ПП Ноември'!$C$40,разходи!$M:$M,'ПП Ноември'!AC2)</f>
        <v>0</v>
      </c>
      <c r="AD40" s="74">
        <f>SUMIFS(разходи!$L:$L,разходи!$E:$E,'ПП Ноември'!$C$40,разходи!$M:$M,'ПП Ноември'!AD2)</f>
        <v>0</v>
      </c>
      <c r="AE40" s="74">
        <f>SUMIFS(разходи!$L:$L,разходи!$E:$E,'ПП Ноември'!$C$40,разходи!$M:$M,'ПП Ноември'!AE2)</f>
        <v>0</v>
      </c>
      <c r="AF40" s="74">
        <f>SUMIFS(разходи!$L:$L,разходи!$E:$E,'ПП Ноември'!$C$40,разходи!$M:$M,'ПП Ноември'!AF2)</f>
        <v>0</v>
      </c>
      <c r="AG40" s="74">
        <f>SUMIFS(разходи!$L:$L,разходи!$E:$E,'ПП Ноември'!$C$40,разходи!$M:$M,'ПП Ноември'!AG2)</f>
        <v>0</v>
      </c>
      <c r="AH40" s="76">
        <f>SUMIFS(разходи!$L:$L,разходи!$E:$E,'ПП Ноември'!$C$40,разходи!$M:$M,'ПП Ноември'!AH2)</f>
        <v>0</v>
      </c>
      <c r="AI40" s="61">
        <f t="shared" si="16"/>
        <v>0</v>
      </c>
      <c r="AJ40" s="69">
        <f t="shared" si="17"/>
        <v>0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/>
      <c r="E41" s="74">
        <f>SUMIFS(разходи!$L:$L,разходи!$E:$E,'ПП Ноември'!$C$41,разходи!$M:$M,'ПП Ноември'!E2)</f>
        <v>0</v>
      </c>
      <c r="F41" s="76">
        <f>SUMIFS(разходи!$L:$L,разходи!$E:$E,'ПП Ноември'!$C$41,разходи!$M:$M,'ПП Ноември'!F2)</f>
        <v>0</v>
      </c>
      <c r="G41" s="76">
        <f>SUMIFS(разходи!$L:$L,разходи!$E:$E,'ПП Ноември'!$C$41,разходи!$M:$M,'ПП Ноември'!G2)</f>
        <v>0</v>
      </c>
      <c r="H41" s="74">
        <f>SUMIFS(разходи!$L:$L,разходи!$E:$E,'ПП Ноември'!$C$41,разходи!$M:$M,'ПП Ноември'!H2)</f>
        <v>0</v>
      </c>
      <c r="I41" s="74">
        <f>SUMIFS(разходи!$L:$L,разходи!$E:$E,'ПП Ноември'!$C$41,разходи!$M:$M,'ПП Ноември'!I2)</f>
        <v>0</v>
      </c>
      <c r="J41" s="74">
        <f>SUMIFS(разходи!$L:$L,разходи!$E:$E,'ПП Ноември'!$C$41,разходи!$M:$M,'ПП Ноември'!J2)</f>
        <v>0</v>
      </c>
      <c r="K41" s="74">
        <f>SUMIFS(разходи!$L:$L,разходи!$E:$E,'ПП Ноември'!$C$41,разходи!$M:$M,'ПП Ноември'!K2)</f>
        <v>0</v>
      </c>
      <c r="L41" s="74">
        <f>SUMIFS(разходи!$L:$L,разходи!$E:$E,'ПП Ноември'!$C$41,разходи!$M:$M,'ПП Ноември'!L2)</f>
        <v>0</v>
      </c>
      <c r="M41" s="76">
        <f>SUMIFS(разходи!$L:$L,разходи!$E:$E,'ПП Ноември'!$C$41,разходи!$M:$M,'ПП Ноември'!M2)</f>
        <v>0</v>
      </c>
      <c r="N41" s="76">
        <f>SUMIFS(разходи!$L:$L,разходи!$E:$E,'ПП Ноември'!$C$41,разходи!$M:$M,'ПП Ноември'!N2)</f>
        <v>0</v>
      </c>
      <c r="O41" s="74">
        <f>SUMIFS(разходи!$L:$L,разходи!$E:$E,'ПП Ноември'!$C$41,разходи!$M:$M,'ПП Ноември'!O2)</f>
        <v>0</v>
      </c>
      <c r="P41" s="74">
        <f>SUMIFS(разходи!$L:$L,разходи!$E:$E,'ПП Ноември'!$C$41,разходи!$M:$M,'ПП Ноември'!P2)</f>
        <v>0</v>
      </c>
      <c r="Q41" s="74">
        <f>SUMIFS(разходи!$L:$L,разходи!$E:$E,'ПП Ноември'!$C$41,разходи!$M:$M,'ПП Ноември'!Q2)</f>
        <v>0</v>
      </c>
      <c r="R41" s="74">
        <f>SUMIFS(разходи!$L:$L,разходи!$E:$E,'ПП Ноември'!$C$41,разходи!$M:$M,'ПП Ноември'!R2)</f>
        <v>0</v>
      </c>
      <c r="S41" s="74">
        <f>SUMIFS(разходи!$L:$L,разходи!$E:$E,'ПП Ноември'!$C$41,разходи!$M:$M,'ПП Ноември'!S2)</f>
        <v>0</v>
      </c>
      <c r="T41" s="76">
        <f>SUMIFS(разходи!$L:$L,разходи!$E:$E,'ПП Ноември'!$C$41,разходи!$M:$M,'ПП Ноември'!T2)</f>
        <v>0</v>
      </c>
      <c r="U41" s="76">
        <f>SUMIFS(разходи!$L:$L,разходи!$E:$E,'ПП Ноември'!$C$41,разходи!$M:$M,'ПП Ноември'!U2)</f>
        <v>0</v>
      </c>
      <c r="V41" s="74">
        <f>SUMIFS(разходи!$L:$L,разходи!$E:$E,'ПП Ноември'!$C$41,разходи!$M:$M,'ПП Ноември'!V2)</f>
        <v>0</v>
      </c>
      <c r="W41" s="74">
        <f>SUMIFS(разходи!$L:$L,разходи!$E:$E,'ПП Ноември'!$C$41,разходи!$M:$M,'ПП Ноември'!W2)</f>
        <v>0</v>
      </c>
      <c r="X41" s="74">
        <f>SUMIFS(разходи!$L:$L,разходи!$E:$E,'ПП Ноември'!$C$41,разходи!$M:$M,'ПП Ноември'!X2)</f>
        <v>0</v>
      </c>
      <c r="Y41" s="74">
        <f>SUMIFS(разходи!$L:$L,разходи!$E:$E,'ПП Ноември'!$C$41,разходи!$M:$M,'ПП Ноември'!Y2)</f>
        <v>0</v>
      </c>
      <c r="Z41" s="74">
        <f>SUMIFS(разходи!$L:$L,разходи!$E:$E,'ПП Ноември'!$C$41,разходи!$M:$M,'ПП Ноември'!Z2)</f>
        <v>0</v>
      </c>
      <c r="AA41" s="76">
        <f>SUMIFS(разходи!$L:$L,разходи!$E:$E,'ПП Ноември'!$C$41,разходи!$M:$M,'ПП Ноември'!AA2)</f>
        <v>0</v>
      </c>
      <c r="AB41" s="76">
        <f>SUMIFS(разходи!$L:$L,разходи!$E:$E,'ПП Ноември'!$C$41,разходи!$M:$M,'ПП Ноември'!AB2)</f>
        <v>0</v>
      </c>
      <c r="AC41" s="74">
        <f>SUMIFS(разходи!$L:$L,разходи!$E:$E,'ПП Ноември'!$C$41,разходи!$M:$M,'ПП Ноември'!AC2)</f>
        <v>0</v>
      </c>
      <c r="AD41" s="74">
        <f>SUMIFS(разходи!$L:$L,разходи!$E:$E,'ПП Ноември'!$C$41,разходи!$M:$M,'ПП Ноември'!AD2)</f>
        <v>0</v>
      </c>
      <c r="AE41" s="74">
        <f>SUMIFS(разходи!$L:$L,разходи!$E:$E,'ПП Ноември'!$C$41,разходи!$M:$M,'ПП Ноември'!AE2)</f>
        <v>0</v>
      </c>
      <c r="AF41" s="74">
        <f>SUMIFS(разходи!$L:$L,разходи!$E:$E,'ПП Ноември'!$C$41,разходи!$M:$M,'ПП Ноември'!AF2)</f>
        <v>0</v>
      </c>
      <c r="AG41" s="74">
        <f>SUMIFS(разходи!$L:$L,разходи!$E:$E,'ПП Ноември'!$C$41,разходи!$M:$M,'ПП Ноември'!AG2)</f>
        <v>0</v>
      </c>
      <c r="AH41" s="76">
        <f>SUMIFS(разходи!$L:$L,разходи!$E:$E,'ПП Ноември'!$C$41,разходи!$M:$M,'ПП Ноември'!AH2)</f>
        <v>0</v>
      </c>
      <c r="AI41" s="61">
        <f t="shared" si="16"/>
        <v>0</v>
      </c>
      <c r="AJ41" s="69">
        <f t="shared" si="17"/>
        <v>0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0</v>
      </c>
      <c r="E42" s="74">
        <f t="shared" ref="E42:AH42" si="19">+E43+E48+E53+E56+E62</f>
        <v>0</v>
      </c>
      <c r="F42" s="76">
        <f t="shared" si="19"/>
        <v>0</v>
      </c>
      <c r="G42" s="76">
        <f t="shared" si="19"/>
        <v>0</v>
      </c>
      <c r="H42" s="74">
        <f t="shared" si="19"/>
        <v>0</v>
      </c>
      <c r="I42" s="74">
        <f t="shared" si="19"/>
        <v>0</v>
      </c>
      <c r="J42" s="74">
        <f t="shared" si="19"/>
        <v>0</v>
      </c>
      <c r="K42" s="74">
        <f t="shared" si="19"/>
        <v>0</v>
      </c>
      <c r="L42" s="74">
        <f t="shared" si="19"/>
        <v>0</v>
      </c>
      <c r="M42" s="76">
        <f t="shared" si="19"/>
        <v>0</v>
      </c>
      <c r="N42" s="76">
        <f t="shared" si="19"/>
        <v>0</v>
      </c>
      <c r="O42" s="74">
        <f t="shared" si="19"/>
        <v>0</v>
      </c>
      <c r="P42" s="74">
        <f t="shared" si="19"/>
        <v>0</v>
      </c>
      <c r="Q42" s="74">
        <f t="shared" si="19"/>
        <v>0</v>
      </c>
      <c r="R42" s="74">
        <f t="shared" si="19"/>
        <v>0</v>
      </c>
      <c r="S42" s="74">
        <f t="shared" si="19"/>
        <v>0</v>
      </c>
      <c r="T42" s="76">
        <f t="shared" si="19"/>
        <v>0</v>
      </c>
      <c r="U42" s="76">
        <f t="shared" si="19"/>
        <v>0</v>
      </c>
      <c r="V42" s="74">
        <f t="shared" si="19"/>
        <v>0</v>
      </c>
      <c r="W42" s="74">
        <f t="shared" si="19"/>
        <v>0</v>
      </c>
      <c r="X42" s="74">
        <f t="shared" si="19"/>
        <v>0</v>
      </c>
      <c r="Y42" s="74">
        <f t="shared" si="19"/>
        <v>0</v>
      </c>
      <c r="Z42" s="74">
        <f t="shared" si="19"/>
        <v>0</v>
      </c>
      <c r="AA42" s="76">
        <f t="shared" si="19"/>
        <v>0</v>
      </c>
      <c r="AB42" s="76">
        <f t="shared" si="19"/>
        <v>0</v>
      </c>
      <c r="AC42" s="74">
        <f t="shared" si="19"/>
        <v>0</v>
      </c>
      <c r="AD42" s="74">
        <f t="shared" si="19"/>
        <v>0</v>
      </c>
      <c r="AE42" s="74">
        <f t="shared" si="19"/>
        <v>0</v>
      </c>
      <c r="AF42" s="74">
        <f t="shared" si="19"/>
        <v>0</v>
      </c>
      <c r="AG42" s="74">
        <f t="shared" si="19"/>
        <v>0</v>
      </c>
      <c r="AH42" s="76">
        <f t="shared" si="19"/>
        <v>0</v>
      </c>
      <c r="AI42" s="61">
        <f t="shared" si="16"/>
        <v>0</v>
      </c>
      <c r="AJ42" s="62">
        <f t="shared" si="17"/>
        <v>0</v>
      </c>
    </row>
    <row r="43" spans="1:36" s="21" customFormat="1" ht="20.100000000000001" customHeight="1" outlineLevel="1" x14ac:dyDescent="0.3">
      <c r="A43" s="27"/>
      <c r="B43" s="22"/>
      <c r="C43" s="8" t="s">
        <v>863</v>
      </c>
      <c r="D43" s="80"/>
      <c r="E43" s="74">
        <f t="shared" ref="E43:AH43" si="20">SUM(E44:E47)</f>
        <v>0</v>
      </c>
      <c r="F43" s="76">
        <f t="shared" si="20"/>
        <v>0</v>
      </c>
      <c r="G43" s="76">
        <f t="shared" si="20"/>
        <v>0</v>
      </c>
      <c r="H43" s="74">
        <f t="shared" si="20"/>
        <v>0</v>
      </c>
      <c r="I43" s="74">
        <f t="shared" si="20"/>
        <v>0</v>
      </c>
      <c r="J43" s="74">
        <f t="shared" si="20"/>
        <v>0</v>
      </c>
      <c r="K43" s="74">
        <f t="shared" si="20"/>
        <v>0</v>
      </c>
      <c r="L43" s="74">
        <f t="shared" si="20"/>
        <v>0</v>
      </c>
      <c r="M43" s="76">
        <f t="shared" si="20"/>
        <v>0</v>
      </c>
      <c r="N43" s="76">
        <f t="shared" si="20"/>
        <v>0</v>
      </c>
      <c r="O43" s="74">
        <f t="shared" si="20"/>
        <v>0</v>
      </c>
      <c r="P43" s="74">
        <f t="shared" si="20"/>
        <v>0</v>
      </c>
      <c r="Q43" s="74">
        <f t="shared" si="20"/>
        <v>0</v>
      </c>
      <c r="R43" s="74">
        <f t="shared" si="20"/>
        <v>0</v>
      </c>
      <c r="S43" s="74">
        <f t="shared" si="20"/>
        <v>0</v>
      </c>
      <c r="T43" s="76">
        <f t="shared" si="20"/>
        <v>0</v>
      </c>
      <c r="U43" s="76">
        <f t="shared" si="20"/>
        <v>0</v>
      </c>
      <c r="V43" s="74">
        <f t="shared" si="20"/>
        <v>0</v>
      </c>
      <c r="W43" s="74">
        <f t="shared" si="20"/>
        <v>0</v>
      </c>
      <c r="X43" s="74">
        <f t="shared" si="20"/>
        <v>0</v>
      </c>
      <c r="Y43" s="74">
        <f t="shared" si="20"/>
        <v>0</v>
      </c>
      <c r="Z43" s="74">
        <f t="shared" si="20"/>
        <v>0</v>
      </c>
      <c r="AA43" s="76">
        <f t="shared" si="20"/>
        <v>0</v>
      </c>
      <c r="AB43" s="76">
        <f t="shared" si="20"/>
        <v>0</v>
      </c>
      <c r="AC43" s="74">
        <f t="shared" si="20"/>
        <v>0</v>
      </c>
      <c r="AD43" s="74">
        <f t="shared" si="20"/>
        <v>0</v>
      </c>
      <c r="AE43" s="74">
        <f t="shared" si="20"/>
        <v>0</v>
      </c>
      <c r="AF43" s="74">
        <f t="shared" si="20"/>
        <v>0</v>
      </c>
      <c r="AG43" s="74">
        <f t="shared" si="20"/>
        <v>0</v>
      </c>
      <c r="AH43" s="76">
        <f t="shared" si="20"/>
        <v>0</v>
      </c>
      <c r="AI43" s="61">
        <f t="shared" si="16"/>
        <v>0</v>
      </c>
      <c r="AJ43" s="69">
        <f t="shared" si="17"/>
        <v>0</v>
      </c>
    </row>
    <row r="44" spans="1:36" s="21" customFormat="1" ht="20.100000000000001" customHeight="1" outlineLevel="2" x14ac:dyDescent="0.3">
      <c r="A44" s="27"/>
      <c r="B44" s="22"/>
      <c r="C44" s="49" t="s">
        <v>422</v>
      </c>
      <c r="D44" s="80"/>
      <c r="E44" s="74">
        <f>SUMIFS(разходи!$L:$L,разходи!$E:$E,'ПП Ноември'!$C$44,разходи!$M:$M,'ПП Ноември'!E2)</f>
        <v>0</v>
      </c>
      <c r="F44" s="76">
        <f>SUMIFS(разходи!$L:$L,разходи!$E:$E,'ПП Ноември'!$C$44,разходи!$M:$M,'ПП Ноември'!F2)</f>
        <v>0</v>
      </c>
      <c r="G44" s="76">
        <f>SUMIFS(разходи!$L:$L,разходи!$E:$E,'ПП Ноември'!$C$44,разходи!$M:$M,'ПП Ноември'!G2)</f>
        <v>0</v>
      </c>
      <c r="H44" s="74">
        <f>SUMIFS(разходи!$L:$L,разходи!$E:$E,'ПП Ноември'!$C$44,разходи!$M:$M,'ПП Ноември'!H2)</f>
        <v>0</v>
      </c>
      <c r="I44" s="74">
        <f>SUMIFS(разходи!$L:$L,разходи!$E:$E,'ПП Ноември'!$C$44,разходи!$M:$M,'ПП Ноември'!I2)</f>
        <v>0</v>
      </c>
      <c r="J44" s="74">
        <f>SUMIFS(разходи!$L:$L,разходи!$E:$E,'ПП Ноември'!$C$44,разходи!$M:$M,'ПП Ноември'!J2)</f>
        <v>0</v>
      </c>
      <c r="K44" s="74">
        <f>SUMIFS(разходи!$L:$L,разходи!$E:$E,'ПП Ноември'!$C$44,разходи!$M:$M,'ПП Ноември'!K2)</f>
        <v>0</v>
      </c>
      <c r="L44" s="74">
        <f>SUMIFS(разходи!$L:$L,разходи!$E:$E,'ПП Ноември'!$C$44,разходи!$M:$M,'ПП Ноември'!L2)</f>
        <v>0</v>
      </c>
      <c r="M44" s="76">
        <f>SUMIFS(разходи!$L:$L,разходи!$E:$E,'ПП Ноември'!$C$44,разходи!$M:$M,'ПП Ноември'!M2)</f>
        <v>0</v>
      </c>
      <c r="N44" s="76">
        <f>SUMIFS(разходи!$L:$L,разходи!$E:$E,'ПП Ноември'!$C$44,разходи!$M:$M,'ПП Ноември'!N2)</f>
        <v>0</v>
      </c>
      <c r="O44" s="74">
        <f>SUMIFS(разходи!$L:$L,разходи!$E:$E,'ПП Ноември'!$C$44,разходи!$M:$M,'ПП Ноември'!O2)</f>
        <v>0</v>
      </c>
      <c r="P44" s="74">
        <f>SUMIFS(разходи!$L:$L,разходи!$E:$E,'ПП Ноември'!$C$44,разходи!$M:$M,'ПП Ноември'!P2)</f>
        <v>0</v>
      </c>
      <c r="Q44" s="74">
        <f>SUMIFS(разходи!$L:$L,разходи!$E:$E,'ПП Ноември'!$C$44,разходи!$M:$M,'ПП Ноември'!Q2)</f>
        <v>0</v>
      </c>
      <c r="R44" s="74">
        <f>SUMIFS(разходи!$L:$L,разходи!$E:$E,'ПП Ноември'!$C$44,разходи!$M:$M,'ПП Ноември'!R2)</f>
        <v>0</v>
      </c>
      <c r="S44" s="74">
        <f>SUMIFS(разходи!$L:$L,разходи!$E:$E,'ПП Ноември'!$C$44,разходи!$M:$M,'ПП Ноември'!S2)</f>
        <v>0</v>
      </c>
      <c r="T44" s="76">
        <f>SUMIFS(разходи!$L:$L,разходи!$E:$E,'ПП Ноември'!$C$44,разходи!$M:$M,'ПП Ноември'!T2)</f>
        <v>0</v>
      </c>
      <c r="U44" s="76">
        <f>SUMIFS(разходи!$L:$L,разходи!$E:$E,'ПП Ноември'!$C$44,разходи!$M:$M,'ПП Ноември'!U2)</f>
        <v>0</v>
      </c>
      <c r="V44" s="74">
        <f>SUMIFS(разходи!$L:$L,разходи!$E:$E,'ПП Ноември'!$C$44,разходи!$M:$M,'ПП Ноември'!V2)</f>
        <v>0</v>
      </c>
      <c r="W44" s="74">
        <f>SUMIFS(разходи!$L:$L,разходи!$E:$E,'ПП Ноември'!$C$44,разходи!$M:$M,'ПП Ноември'!W2)</f>
        <v>0</v>
      </c>
      <c r="X44" s="74">
        <f>SUMIFS(разходи!$L:$L,разходи!$E:$E,'ПП Ноември'!$C$44,разходи!$M:$M,'ПП Ноември'!X2)</f>
        <v>0</v>
      </c>
      <c r="Y44" s="74">
        <f>SUMIFS(разходи!$L:$L,разходи!$E:$E,'ПП Ноември'!$C$44,разходи!$M:$M,'ПП Ноември'!Y2)</f>
        <v>0</v>
      </c>
      <c r="Z44" s="74">
        <f>SUMIFS(разходи!$L:$L,разходи!$E:$E,'ПП Ноември'!$C$44,разходи!$M:$M,'ПП Ноември'!Z2)</f>
        <v>0</v>
      </c>
      <c r="AA44" s="76">
        <f>SUMIFS(разходи!$L:$L,разходи!$E:$E,'ПП Ноември'!$C$44,разходи!$M:$M,'ПП Ноември'!AA2)</f>
        <v>0</v>
      </c>
      <c r="AB44" s="76">
        <f>SUMIFS(разходи!$L:$L,разходи!$E:$E,'ПП Ноември'!$C$44,разходи!$M:$M,'ПП Ноември'!AB2)</f>
        <v>0</v>
      </c>
      <c r="AC44" s="74">
        <f>SUMIFS(разходи!$L:$L,разходи!$E:$E,'ПП Ноември'!$C$44,разходи!$M:$M,'ПП Ноември'!AC2)</f>
        <v>0</v>
      </c>
      <c r="AD44" s="74">
        <f>SUMIFS(разходи!$L:$L,разходи!$E:$E,'ПП Ноември'!$C$44,разходи!$M:$M,'ПП Ноември'!AD2)</f>
        <v>0</v>
      </c>
      <c r="AE44" s="74">
        <f>SUMIFS(разходи!$L:$L,разходи!$E:$E,'ПП Ноември'!$C$44,разходи!$M:$M,'ПП Ноември'!AE2)</f>
        <v>0</v>
      </c>
      <c r="AF44" s="74">
        <f>SUMIFS(разходи!$L:$L,разходи!$E:$E,'ПП Ноември'!$C$44,разходи!$M:$M,'ПП Ноември'!AF2)</f>
        <v>0</v>
      </c>
      <c r="AG44" s="74">
        <f>SUMIFS(разходи!$L:$L,разходи!$E:$E,'ПП Ноември'!$C$44,разходи!$M:$M,'ПП Ноември'!AG2)</f>
        <v>0</v>
      </c>
      <c r="AH44" s="76">
        <f>SUMIFS(разходи!$L:$L,разходи!$E:$E,'ПП Ноември'!$C$44,разходи!$M:$M,'ПП Ноември'!AH2)</f>
        <v>0</v>
      </c>
      <c r="AI44" s="61">
        <f t="shared" si="16"/>
        <v>0</v>
      </c>
      <c r="AJ44" s="69">
        <f t="shared" si="17"/>
        <v>0</v>
      </c>
    </row>
    <row r="45" spans="1:36" s="21" customFormat="1" ht="20.10000000000000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Ноември'!$C$45,разходи!$M:$M,'ПП Ноември'!E2)</f>
        <v>0</v>
      </c>
      <c r="F45" s="76">
        <f>SUMIFS(разходи!$L:$L,разходи!$E:$E,'ПП Ноември'!$C$45,разходи!$M:$M,'ПП Ноември'!F2)</f>
        <v>0</v>
      </c>
      <c r="G45" s="76">
        <f>SUMIFS(разходи!$L:$L,разходи!$E:$E,'ПП Ноември'!$C$45,разходи!$M:$M,'ПП Ноември'!G2)</f>
        <v>0</v>
      </c>
      <c r="H45" s="74">
        <f>SUMIFS(разходи!$L:$L,разходи!$E:$E,'ПП Ноември'!$C$45,разходи!$M:$M,'ПП Ноември'!H2)</f>
        <v>0</v>
      </c>
      <c r="I45" s="74">
        <f>SUMIFS(разходи!$L:$L,разходи!$E:$E,'ПП Ноември'!$C$45,разходи!$M:$M,'ПП Ноември'!I2)</f>
        <v>0</v>
      </c>
      <c r="J45" s="74">
        <f>SUMIFS(разходи!$L:$L,разходи!$E:$E,'ПП Ноември'!$C$45,разходи!$M:$M,'ПП Ноември'!J2)</f>
        <v>0</v>
      </c>
      <c r="K45" s="74">
        <f>SUMIFS(разходи!$L:$L,разходи!$E:$E,'ПП Ноември'!$C$45,разходи!$M:$M,'ПП Ноември'!K2)</f>
        <v>0</v>
      </c>
      <c r="L45" s="74">
        <f>SUMIFS(разходи!$L:$L,разходи!$E:$E,'ПП Ноември'!$C$45,разходи!$M:$M,'ПП Ноември'!L2)</f>
        <v>0</v>
      </c>
      <c r="M45" s="76">
        <f>SUMIFS(разходи!$L:$L,разходи!$E:$E,'ПП Ноември'!$C$45,разходи!$M:$M,'ПП Ноември'!M2)</f>
        <v>0</v>
      </c>
      <c r="N45" s="76">
        <f>SUMIFS(разходи!$L:$L,разходи!$E:$E,'ПП Ноември'!$C$45,разходи!$M:$M,'ПП Ноември'!N2)</f>
        <v>0</v>
      </c>
      <c r="O45" s="74">
        <f>SUMIFS(разходи!$L:$L,разходи!$E:$E,'ПП Ноември'!$C$45,разходи!$M:$M,'ПП Ноември'!O2)</f>
        <v>0</v>
      </c>
      <c r="P45" s="74">
        <f>SUMIFS(разходи!$L:$L,разходи!$E:$E,'ПП Ноември'!$C$45,разходи!$M:$M,'ПП Ноември'!P2)</f>
        <v>0</v>
      </c>
      <c r="Q45" s="74">
        <f>SUMIFS(разходи!$L:$L,разходи!$E:$E,'ПП Ноември'!$C$45,разходи!$M:$M,'ПП Ноември'!Q2)</f>
        <v>0</v>
      </c>
      <c r="R45" s="74">
        <f>SUMIFS(разходи!$L:$L,разходи!$E:$E,'ПП Ноември'!$C$45,разходи!$M:$M,'ПП Ноември'!R2)</f>
        <v>0</v>
      </c>
      <c r="S45" s="74">
        <f>SUMIFS(разходи!$L:$L,разходи!$E:$E,'ПП Ноември'!$C$45,разходи!$M:$M,'ПП Ноември'!S2)</f>
        <v>0</v>
      </c>
      <c r="T45" s="76">
        <f>SUMIFS(разходи!$L:$L,разходи!$E:$E,'ПП Ноември'!$C$45,разходи!$M:$M,'ПП Ноември'!T2)</f>
        <v>0</v>
      </c>
      <c r="U45" s="76">
        <f>SUMIFS(разходи!$L:$L,разходи!$E:$E,'ПП Ноември'!$C$45,разходи!$M:$M,'ПП Ноември'!U2)</f>
        <v>0</v>
      </c>
      <c r="V45" s="74">
        <f>SUMIFS(разходи!$L:$L,разходи!$E:$E,'ПП Ноември'!$C$45,разходи!$M:$M,'ПП Ноември'!V2)</f>
        <v>0</v>
      </c>
      <c r="W45" s="74">
        <f>SUMIFS(разходи!$L:$L,разходи!$E:$E,'ПП Ноември'!$C$45,разходи!$M:$M,'ПП Ноември'!W2)</f>
        <v>0</v>
      </c>
      <c r="X45" s="74">
        <f>SUMIFS(разходи!$L:$L,разходи!$E:$E,'ПП Ноември'!$C$45,разходи!$M:$M,'ПП Ноември'!X2)</f>
        <v>0</v>
      </c>
      <c r="Y45" s="74">
        <f>SUMIFS(разходи!$L:$L,разходи!$E:$E,'ПП Ноември'!$C$45,разходи!$M:$M,'ПП Ноември'!Y2)</f>
        <v>0</v>
      </c>
      <c r="Z45" s="74">
        <f>SUMIFS(разходи!$L:$L,разходи!$E:$E,'ПП Ноември'!$C$45,разходи!$M:$M,'ПП Ноември'!Z2)</f>
        <v>0</v>
      </c>
      <c r="AA45" s="76">
        <f>SUMIFS(разходи!$L:$L,разходи!$E:$E,'ПП Ноември'!$C$45,разходи!$M:$M,'ПП Ноември'!AA2)</f>
        <v>0</v>
      </c>
      <c r="AB45" s="76">
        <f>SUMIFS(разходи!$L:$L,разходи!$E:$E,'ПП Ноември'!$C$45,разходи!$M:$M,'ПП Ноември'!AB2)</f>
        <v>0</v>
      </c>
      <c r="AC45" s="74">
        <f>SUMIFS(разходи!$L:$L,разходи!$E:$E,'ПП Ноември'!$C$45,разходи!$M:$M,'ПП Ноември'!AC2)</f>
        <v>0</v>
      </c>
      <c r="AD45" s="74">
        <f>SUMIFS(разходи!$L:$L,разходи!$E:$E,'ПП Ноември'!$C$45,разходи!$M:$M,'ПП Ноември'!AD2)</f>
        <v>0</v>
      </c>
      <c r="AE45" s="74">
        <f>SUMIFS(разходи!$L:$L,разходи!$E:$E,'ПП Ноември'!$C$45,разходи!$M:$M,'ПП Ноември'!AE2)</f>
        <v>0</v>
      </c>
      <c r="AF45" s="74">
        <f>SUMIFS(разходи!$L:$L,разходи!$E:$E,'ПП Ноември'!$C$45,разходи!$M:$M,'ПП Ноември'!AF2)</f>
        <v>0</v>
      </c>
      <c r="AG45" s="74">
        <f>SUMIFS(разходи!$L:$L,разходи!$E:$E,'ПП Ноември'!$C$45,разходи!$M:$M,'ПП Ноември'!AG2)</f>
        <v>0</v>
      </c>
      <c r="AH45" s="76">
        <f>SUMIFS(разходи!$L:$L,разходи!$E:$E,'ПП Ноември'!$C$45,разходи!$M:$M,'ПП Ноември'!AH2)</f>
        <v>0</v>
      </c>
      <c r="AI45" s="61">
        <f t="shared" si="16"/>
        <v>0</v>
      </c>
      <c r="AJ45" s="69">
        <f t="shared" si="17"/>
        <v>0</v>
      </c>
    </row>
    <row r="46" spans="1:36" s="21" customFormat="1" ht="20.10000000000000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Ноември'!$C$46,разходи!$M:$M,'ПП Ноември'!E2)</f>
        <v>0</v>
      </c>
      <c r="F46" s="76">
        <f>SUMIFS(разходи!$L:$L,разходи!$E:$E,'ПП Ноември'!$C$46,разходи!$M:$M,'ПП Ноември'!F2)</f>
        <v>0</v>
      </c>
      <c r="G46" s="76">
        <f>SUMIFS(разходи!$L:$L,разходи!$E:$E,'ПП Ноември'!$C$46,разходи!$M:$M,'ПП Ноември'!G2)</f>
        <v>0</v>
      </c>
      <c r="H46" s="74">
        <f>SUMIFS(разходи!$L:$L,разходи!$E:$E,'ПП Ноември'!$C$46,разходи!$M:$M,'ПП Ноември'!H2)</f>
        <v>0</v>
      </c>
      <c r="I46" s="74">
        <f>SUMIFS(разходи!$L:$L,разходи!$E:$E,'ПП Ноември'!$C$46,разходи!$M:$M,'ПП Ноември'!I2)</f>
        <v>0</v>
      </c>
      <c r="J46" s="74">
        <f>SUMIFS(разходи!$L:$L,разходи!$E:$E,'ПП Ноември'!$C$46,разходи!$M:$M,'ПП Ноември'!J2)</f>
        <v>0</v>
      </c>
      <c r="K46" s="74">
        <f>SUMIFS(разходи!$L:$L,разходи!$E:$E,'ПП Ноември'!$C$46,разходи!$M:$M,'ПП Ноември'!K2)</f>
        <v>0</v>
      </c>
      <c r="L46" s="74">
        <f>SUMIFS(разходи!$L:$L,разходи!$E:$E,'ПП Ноември'!$C$46,разходи!$M:$M,'ПП Ноември'!L2)</f>
        <v>0</v>
      </c>
      <c r="M46" s="76">
        <f>SUMIFS(разходи!$L:$L,разходи!$E:$E,'ПП Ноември'!$C$46,разходи!$M:$M,'ПП Ноември'!M2)</f>
        <v>0</v>
      </c>
      <c r="N46" s="76">
        <f>SUMIFS(разходи!$L:$L,разходи!$E:$E,'ПП Ноември'!$C$46,разходи!$M:$M,'ПП Ноември'!N2)</f>
        <v>0</v>
      </c>
      <c r="O46" s="74">
        <f>SUMIFS(разходи!$L:$L,разходи!$E:$E,'ПП Ноември'!$C$46,разходи!$M:$M,'ПП Ноември'!O2)</f>
        <v>0</v>
      </c>
      <c r="P46" s="74">
        <f>SUMIFS(разходи!$L:$L,разходи!$E:$E,'ПП Ноември'!$C$46,разходи!$M:$M,'ПП Ноември'!P2)</f>
        <v>0</v>
      </c>
      <c r="Q46" s="74">
        <f>SUMIFS(разходи!$L:$L,разходи!$E:$E,'ПП Ноември'!$C$46,разходи!$M:$M,'ПП Ноември'!Q2)</f>
        <v>0</v>
      </c>
      <c r="R46" s="74">
        <f>SUMIFS(разходи!$L:$L,разходи!$E:$E,'ПП Ноември'!$C$46,разходи!$M:$M,'ПП Ноември'!R2)</f>
        <v>0</v>
      </c>
      <c r="S46" s="74">
        <f>SUMIFS(разходи!$L:$L,разходи!$E:$E,'ПП Ноември'!$C$46,разходи!$M:$M,'ПП Ноември'!S2)</f>
        <v>0</v>
      </c>
      <c r="T46" s="76">
        <f>SUMIFS(разходи!$L:$L,разходи!$E:$E,'ПП Ноември'!$C$46,разходи!$M:$M,'ПП Ноември'!T2)</f>
        <v>0</v>
      </c>
      <c r="U46" s="76">
        <f>SUMIFS(разходи!$L:$L,разходи!$E:$E,'ПП Ноември'!$C$46,разходи!$M:$M,'ПП Ноември'!U2)</f>
        <v>0</v>
      </c>
      <c r="V46" s="74">
        <f>SUMIFS(разходи!$L:$L,разходи!$E:$E,'ПП Ноември'!$C$46,разходи!$M:$M,'ПП Ноември'!V2)</f>
        <v>0</v>
      </c>
      <c r="W46" s="74">
        <f>SUMIFS(разходи!$L:$L,разходи!$E:$E,'ПП Ноември'!$C$46,разходи!$M:$M,'ПП Ноември'!W2)</f>
        <v>0</v>
      </c>
      <c r="X46" s="74">
        <f>SUMIFS(разходи!$L:$L,разходи!$E:$E,'ПП Ноември'!$C$46,разходи!$M:$M,'ПП Ноември'!X2)</f>
        <v>0</v>
      </c>
      <c r="Y46" s="74">
        <f>SUMIFS(разходи!$L:$L,разходи!$E:$E,'ПП Ноември'!$C$46,разходи!$M:$M,'ПП Ноември'!Y2)</f>
        <v>0</v>
      </c>
      <c r="Z46" s="74">
        <f>SUMIFS(разходи!$L:$L,разходи!$E:$E,'ПП Ноември'!$C$46,разходи!$M:$M,'ПП Ноември'!Z2)</f>
        <v>0</v>
      </c>
      <c r="AA46" s="76">
        <f>SUMIFS(разходи!$L:$L,разходи!$E:$E,'ПП Ноември'!$C$46,разходи!$M:$M,'ПП Ноември'!AA2)</f>
        <v>0</v>
      </c>
      <c r="AB46" s="76">
        <f>SUMIFS(разходи!$L:$L,разходи!$E:$E,'ПП Ноември'!$C$46,разходи!$M:$M,'ПП Ноември'!AB2)</f>
        <v>0</v>
      </c>
      <c r="AC46" s="74">
        <f>SUMIFS(разходи!$L:$L,разходи!$E:$E,'ПП Ноември'!$C$46,разходи!$M:$M,'ПП Ноември'!AC2)</f>
        <v>0</v>
      </c>
      <c r="AD46" s="74">
        <f>SUMIFS(разходи!$L:$L,разходи!$E:$E,'ПП Ноември'!$C$46,разходи!$M:$M,'ПП Ноември'!AD2)</f>
        <v>0</v>
      </c>
      <c r="AE46" s="74">
        <f>SUMIFS(разходи!$L:$L,разходи!$E:$E,'ПП Ноември'!$C$46,разходи!$M:$M,'ПП Ноември'!AE2)</f>
        <v>0</v>
      </c>
      <c r="AF46" s="74">
        <f>SUMIFS(разходи!$L:$L,разходи!$E:$E,'ПП Ноември'!$C$46,разходи!$M:$M,'ПП Ноември'!AF2)</f>
        <v>0</v>
      </c>
      <c r="AG46" s="74">
        <f>SUMIFS(разходи!$L:$L,разходи!$E:$E,'ПП Ноември'!$C$46,разходи!$M:$M,'ПП Ноември'!AG2)</f>
        <v>0</v>
      </c>
      <c r="AH46" s="76">
        <f>SUMIFS(разходи!$L:$L,разходи!$E:$E,'ПП Ноември'!$C$46,разходи!$M:$M,'ПП Ноември'!AH2)</f>
        <v>0</v>
      </c>
      <c r="AI46" s="61">
        <f t="shared" si="16"/>
        <v>0</v>
      </c>
      <c r="AJ46" s="69">
        <f t="shared" si="17"/>
        <v>0</v>
      </c>
    </row>
    <row r="47" spans="1:36" s="21" customFormat="1" ht="20.10000000000000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Ноември'!$C$47,разходи!$M:$M,'ПП Ноември'!E2)</f>
        <v>0</v>
      </c>
      <c r="F47" s="76">
        <f>SUMIFS(разходи!$L:$L,разходи!$E:$E,'ПП Ноември'!$C$47,разходи!$M:$M,'ПП Ноември'!F2)</f>
        <v>0</v>
      </c>
      <c r="G47" s="76">
        <f>SUMIFS(разходи!$L:$L,разходи!$E:$E,'ПП Ноември'!$C$47,разходи!$M:$M,'ПП Ноември'!G2)</f>
        <v>0</v>
      </c>
      <c r="H47" s="74">
        <f>SUMIFS(разходи!$L:$L,разходи!$E:$E,'ПП Ноември'!$C$47,разходи!$M:$M,'ПП Ноември'!H2)</f>
        <v>0</v>
      </c>
      <c r="I47" s="74">
        <f>SUMIFS(разходи!$L:$L,разходи!$E:$E,'ПП Ноември'!$C$47,разходи!$M:$M,'ПП Ноември'!I2)</f>
        <v>0</v>
      </c>
      <c r="J47" s="74">
        <f>SUMIFS(разходи!$L:$L,разходи!$E:$E,'ПП Ноември'!$C$47,разходи!$M:$M,'ПП Ноември'!J2)</f>
        <v>0</v>
      </c>
      <c r="K47" s="74">
        <f>SUMIFS(разходи!$L:$L,разходи!$E:$E,'ПП Ноември'!$C$47,разходи!$M:$M,'ПП Ноември'!K2)</f>
        <v>0</v>
      </c>
      <c r="L47" s="74">
        <f>SUMIFS(разходи!$L:$L,разходи!$E:$E,'ПП Ноември'!$C$47,разходи!$M:$M,'ПП Ноември'!L2)</f>
        <v>0</v>
      </c>
      <c r="M47" s="76">
        <f>SUMIFS(разходи!$L:$L,разходи!$E:$E,'ПП Ноември'!$C$47,разходи!$M:$M,'ПП Ноември'!M2)</f>
        <v>0</v>
      </c>
      <c r="N47" s="76">
        <f>SUMIFS(разходи!$L:$L,разходи!$E:$E,'ПП Ноември'!$C$47,разходи!$M:$M,'ПП Ноември'!N2)</f>
        <v>0</v>
      </c>
      <c r="O47" s="74">
        <f>SUMIFS(разходи!$L:$L,разходи!$E:$E,'ПП Ноември'!$C$47,разходи!$M:$M,'ПП Ноември'!O2)</f>
        <v>0</v>
      </c>
      <c r="P47" s="74">
        <f>SUMIFS(разходи!$L:$L,разходи!$E:$E,'ПП Ноември'!$C$47,разходи!$M:$M,'ПП Ноември'!P2)</f>
        <v>0</v>
      </c>
      <c r="Q47" s="74">
        <f>SUMIFS(разходи!$L:$L,разходи!$E:$E,'ПП Ноември'!$C$47,разходи!$M:$M,'ПП Ноември'!Q2)</f>
        <v>0</v>
      </c>
      <c r="R47" s="74">
        <f>SUMIFS(разходи!$L:$L,разходи!$E:$E,'ПП Ноември'!$C$47,разходи!$M:$M,'ПП Ноември'!R2)</f>
        <v>0</v>
      </c>
      <c r="S47" s="74">
        <f>SUMIFS(разходи!$L:$L,разходи!$E:$E,'ПП Ноември'!$C$47,разходи!$M:$M,'ПП Ноември'!S2)</f>
        <v>0</v>
      </c>
      <c r="T47" s="76">
        <f>SUMIFS(разходи!$L:$L,разходи!$E:$E,'ПП Ноември'!$C$47,разходи!$M:$M,'ПП Ноември'!T2)</f>
        <v>0</v>
      </c>
      <c r="U47" s="76">
        <f>SUMIFS(разходи!$L:$L,разходи!$E:$E,'ПП Ноември'!$C$47,разходи!$M:$M,'ПП Ноември'!U2)</f>
        <v>0</v>
      </c>
      <c r="V47" s="74">
        <f>SUMIFS(разходи!$L:$L,разходи!$E:$E,'ПП Ноември'!$C$47,разходи!$M:$M,'ПП Ноември'!V2)</f>
        <v>0</v>
      </c>
      <c r="W47" s="74">
        <f>SUMIFS(разходи!$L:$L,разходи!$E:$E,'ПП Ноември'!$C$47,разходи!$M:$M,'ПП Ноември'!W2)</f>
        <v>0</v>
      </c>
      <c r="X47" s="74">
        <f>SUMIFS(разходи!$L:$L,разходи!$E:$E,'ПП Ноември'!$C$47,разходи!$M:$M,'ПП Ноември'!X2)</f>
        <v>0</v>
      </c>
      <c r="Y47" s="74">
        <f>SUMIFS(разходи!$L:$L,разходи!$E:$E,'ПП Ноември'!$C$47,разходи!$M:$M,'ПП Ноември'!Y2)</f>
        <v>0</v>
      </c>
      <c r="Z47" s="74">
        <f>SUMIFS(разходи!$L:$L,разходи!$E:$E,'ПП Ноември'!$C$47,разходи!$M:$M,'ПП Ноември'!Z2)</f>
        <v>0</v>
      </c>
      <c r="AA47" s="76">
        <f>SUMIFS(разходи!$L:$L,разходи!$E:$E,'ПП Ноември'!$C$47,разходи!$M:$M,'ПП Ноември'!AA2)</f>
        <v>0</v>
      </c>
      <c r="AB47" s="76">
        <f>SUMIFS(разходи!$L:$L,разходи!$E:$E,'ПП Ноември'!$C$47,разходи!$M:$M,'ПП Ноември'!AB2)</f>
        <v>0</v>
      </c>
      <c r="AC47" s="74">
        <f>SUMIFS(разходи!$L:$L,разходи!$E:$E,'ПП Ноември'!$C$47,разходи!$M:$M,'ПП Ноември'!AC2)</f>
        <v>0</v>
      </c>
      <c r="AD47" s="74">
        <f>SUMIFS(разходи!$L:$L,разходи!$E:$E,'ПП Ноември'!$C$47,разходи!$M:$M,'ПП Ноември'!AD2)</f>
        <v>0</v>
      </c>
      <c r="AE47" s="74">
        <f>SUMIFS(разходи!$L:$L,разходи!$E:$E,'ПП Ноември'!$C$47,разходи!$M:$M,'ПП Ноември'!AE2)</f>
        <v>0</v>
      </c>
      <c r="AF47" s="74">
        <f>SUMIFS(разходи!$L:$L,разходи!$E:$E,'ПП Ноември'!$C$47,разходи!$M:$M,'ПП Ноември'!AF2)</f>
        <v>0</v>
      </c>
      <c r="AG47" s="74">
        <f>SUMIFS(разходи!$L:$L,разходи!$E:$E,'ПП Ноември'!$C$47,разходи!$M:$M,'ПП Ноември'!AG2)</f>
        <v>0</v>
      </c>
      <c r="AH47" s="76">
        <f>SUMIFS(разходи!$L:$L,разходи!$E:$E,'ПП Ноември'!$C$47,разходи!$M:$M,'ПП Ноември'!AH2)</f>
        <v>0</v>
      </c>
      <c r="AI47" s="61">
        <f t="shared" si="16"/>
        <v>0</v>
      </c>
      <c r="AJ47" s="69">
        <f t="shared" si="17"/>
        <v>0</v>
      </c>
    </row>
    <row r="48" spans="1:36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4">
        <f t="shared" ref="E48:AH48" si="21">SUM(E49:E52)</f>
        <v>0</v>
      </c>
      <c r="F48" s="76">
        <f t="shared" si="21"/>
        <v>0</v>
      </c>
      <c r="G48" s="76">
        <f t="shared" si="21"/>
        <v>0</v>
      </c>
      <c r="H48" s="74">
        <f t="shared" si="21"/>
        <v>0</v>
      </c>
      <c r="I48" s="74">
        <f t="shared" si="21"/>
        <v>0</v>
      </c>
      <c r="J48" s="74">
        <f t="shared" si="21"/>
        <v>0</v>
      </c>
      <c r="K48" s="74">
        <f t="shared" si="21"/>
        <v>0</v>
      </c>
      <c r="L48" s="74">
        <f t="shared" si="21"/>
        <v>0</v>
      </c>
      <c r="M48" s="76">
        <f t="shared" si="21"/>
        <v>0</v>
      </c>
      <c r="N48" s="76">
        <f t="shared" si="21"/>
        <v>0</v>
      </c>
      <c r="O48" s="74">
        <f t="shared" si="21"/>
        <v>0</v>
      </c>
      <c r="P48" s="74">
        <f t="shared" si="21"/>
        <v>0</v>
      </c>
      <c r="Q48" s="74">
        <f t="shared" si="21"/>
        <v>0</v>
      </c>
      <c r="R48" s="74">
        <f t="shared" si="21"/>
        <v>0</v>
      </c>
      <c r="S48" s="74">
        <f t="shared" si="21"/>
        <v>0</v>
      </c>
      <c r="T48" s="76">
        <f t="shared" si="21"/>
        <v>0</v>
      </c>
      <c r="U48" s="76">
        <f t="shared" si="21"/>
        <v>0</v>
      </c>
      <c r="V48" s="74">
        <f t="shared" si="21"/>
        <v>0</v>
      </c>
      <c r="W48" s="74">
        <f t="shared" si="21"/>
        <v>0</v>
      </c>
      <c r="X48" s="74">
        <f t="shared" si="21"/>
        <v>0</v>
      </c>
      <c r="Y48" s="74">
        <f t="shared" si="21"/>
        <v>0</v>
      </c>
      <c r="Z48" s="74">
        <f t="shared" si="21"/>
        <v>0</v>
      </c>
      <c r="AA48" s="76">
        <f t="shared" si="21"/>
        <v>0</v>
      </c>
      <c r="AB48" s="76">
        <f t="shared" si="21"/>
        <v>0</v>
      </c>
      <c r="AC48" s="74">
        <f t="shared" si="21"/>
        <v>0</v>
      </c>
      <c r="AD48" s="74">
        <f t="shared" si="21"/>
        <v>0</v>
      </c>
      <c r="AE48" s="74">
        <f t="shared" si="21"/>
        <v>0</v>
      </c>
      <c r="AF48" s="74">
        <f t="shared" si="21"/>
        <v>0</v>
      </c>
      <c r="AG48" s="74">
        <f t="shared" si="21"/>
        <v>0</v>
      </c>
      <c r="AH48" s="76">
        <f t="shared" si="21"/>
        <v>0</v>
      </c>
      <c r="AI48" s="61">
        <f t="shared" si="16"/>
        <v>0</v>
      </c>
      <c r="AJ48" s="69">
        <f t="shared" si="17"/>
        <v>0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Ноември'!$C$49,разходи!$M:$M,'ПП Ноември'!E2)</f>
        <v>0</v>
      </c>
      <c r="F49" s="76">
        <f>SUMIFS(разходи!$L:$L,разходи!$E:$E,'ПП Ноември'!$C$49,разходи!$M:$M,'ПП Ноември'!F2)</f>
        <v>0</v>
      </c>
      <c r="G49" s="76">
        <f>SUMIFS(разходи!$L:$L,разходи!$E:$E,'ПП Ноември'!$C$49,разходи!$M:$M,'ПП Ноември'!G2)</f>
        <v>0</v>
      </c>
      <c r="H49" s="74">
        <f>SUMIFS(разходи!$L:$L,разходи!$E:$E,'ПП Ноември'!$C$49,разходи!$M:$M,'ПП Ноември'!H2)</f>
        <v>0</v>
      </c>
      <c r="I49" s="74">
        <f>SUMIFS(разходи!$L:$L,разходи!$E:$E,'ПП Ноември'!$C$49,разходи!$M:$M,'ПП Ноември'!I2)</f>
        <v>0</v>
      </c>
      <c r="J49" s="74">
        <f>SUMIFS(разходи!$L:$L,разходи!$E:$E,'ПП Ноември'!$C$49,разходи!$M:$M,'ПП Ноември'!J2)</f>
        <v>0</v>
      </c>
      <c r="K49" s="74">
        <f>SUMIFS(разходи!$L:$L,разходи!$E:$E,'ПП Ноември'!$C$49,разходи!$M:$M,'ПП Ноември'!K2)</f>
        <v>0</v>
      </c>
      <c r="L49" s="74">
        <f>SUMIFS(разходи!$L:$L,разходи!$E:$E,'ПП Ноември'!$C$49,разходи!$M:$M,'ПП Ноември'!L2)</f>
        <v>0</v>
      </c>
      <c r="M49" s="76">
        <f>SUMIFS(разходи!$L:$L,разходи!$E:$E,'ПП Ноември'!$C$49,разходи!$M:$M,'ПП Ноември'!M2)</f>
        <v>0</v>
      </c>
      <c r="N49" s="76">
        <f>SUMIFS(разходи!$L:$L,разходи!$E:$E,'ПП Ноември'!$C$49,разходи!$M:$M,'ПП Ноември'!N2)</f>
        <v>0</v>
      </c>
      <c r="O49" s="74">
        <f>SUMIFS(разходи!$L:$L,разходи!$E:$E,'ПП Ноември'!$C$49,разходи!$M:$M,'ПП Ноември'!O2)</f>
        <v>0</v>
      </c>
      <c r="P49" s="74">
        <f>SUMIFS(разходи!$L:$L,разходи!$E:$E,'ПП Ноември'!$C$49,разходи!$M:$M,'ПП Ноември'!P2)</f>
        <v>0</v>
      </c>
      <c r="Q49" s="74">
        <f>SUMIFS(разходи!$L:$L,разходи!$E:$E,'ПП Ноември'!$C$49,разходи!$M:$M,'ПП Ноември'!Q2)</f>
        <v>0</v>
      </c>
      <c r="R49" s="74">
        <f>SUMIFS(разходи!$L:$L,разходи!$E:$E,'ПП Ноември'!$C$49,разходи!$M:$M,'ПП Ноември'!R2)</f>
        <v>0</v>
      </c>
      <c r="S49" s="74">
        <f>SUMIFS(разходи!$L:$L,разходи!$E:$E,'ПП Ноември'!$C$49,разходи!$M:$M,'ПП Ноември'!S2)</f>
        <v>0</v>
      </c>
      <c r="T49" s="76">
        <f>SUMIFS(разходи!$L:$L,разходи!$E:$E,'ПП Ноември'!$C$49,разходи!$M:$M,'ПП Ноември'!T2)</f>
        <v>0</v>
      </c>
      <c r="U49" s="76">
        <f>SUMIFS(разходи!$L:$L,разходи!$E:$E,'ПП Ноември'!$C$49,разходи!$M:$M,'ПП Ноември'!U2)</f>
        <v>0</v>
      </c>
      <c r="V49" s="74">
        <f>SUMIFS(разходи!$L:$L,разходи!$E:$E,'ПП Ноември'!$C$49,разходи!$M:$M,'ПП Ноември'!V2)</f>
        <v>0</v>
      </c>
      <c r="W49" s="74">
        <f>SUMIFS(разходи!$L:$L,разходи!$E:$E,'ПП Ноември'!$C$49,разходи!$M:$M,'ПП Ноември'!W2)</f>
        <v>0</v>
      </c>
      <c r="X49" s="74">
        <f>SUMIFS(разходи!$L:$L,разходи!$E:$E,'ПП Ноември'!$C$49,разходи!$M:$M,'ПП Ноември'!X2)</f>
        <v>0</v>
      </c>
      <c r="Y49" s="74">
        <f>SUMIFS(разходи!$L:$L,разходи!$E:$E,'ПП Ноември'!$C$49,разходи!$M:$M,'ПП Ноември'!Y2)</f>
        <v>0</v>
      </c>
      <c r="Z49" s="74">
        <f>SUMIFS(разходи!$L:$L,разходи!$E:$E,'ПП Ноември'!$C$49,разходи!$M:$M,'ПП Ноември'!Z2)</f>
        <v>0</v>
      </c>
      <c r="AA49" s="76">
        <f>SUMIFS(разходи!$L:$L,разходи!$E:$E,'ПП Ноември'!$C$49,разходи!$M:$M,'ПП Ноември'!AA2)</f>
        <v>0</v>
      </c>
      <c r="AB49" s="76">
        <f>SUMIFS(разходи!$L:$L,разходи!$E:$E,'ПП Ноември'!$C$49,разходи!$M:$M,'ПП Ноември'!AB2)</f>
        <v>0</v>
      </c>
      <c r="AC49" s="74">
        <f>SUMIFS(разходи!$L:$L,разходи!$E:$E,'ПП Ноември'!$C$49,разходи!$M:$M,'ПП Ноември'!AC2)</f>
        <v>0</v>
      </c>
      <c r="AD49" s="74">
        <f>SUMIFS(разходи!$L:$L,разходи!$E:$E,'ПП Ноември'!$C$49,разходи!$M:$M,'ПП Ноември'!AD2)</f>
        <v>0</v>
      </c>
      <c r="AE49" s="74">
        <f>SUMIFS(разходи!$L:$L,разходи!$E:$E,'ПП Ноември'!$C$49,разходи!$M:$M,'ПП Ноември'!AE2)</f>
        <v>0</v>
      </c>
      <c r="AF49" s="74">
        <f>SUMIFS(разходи!$L:$L,разходи!$E:$E,'ПП Ноември'!$C$49,разходи!$M:$M,'ПП Ноември'!AF2)</f>
        <v>0</v>
      </c>
      <c r="AG49" s="74">
        <f>SUMIFS(разходи!$L:$L,разходи!$E:$E,'ПП Ноември'!$C$49,разходи!$M:$M,'ПП Ноември'!AG2)</f>
        <v>0</v>
      </c>
      <c r="AH49" s="76">
        <f>SUMIFS(разходи!$L:$L,разходи!$E:$E,'ПП Ноември'!$C$49,разходи!$M:$M,'ПП Ноември'!AH2)</f>
        <v>0</v>
      </c>
      <c r="AI49" s="61">
        <f t="shared" si="16"/>
        <v>0</v>
      </c>
      <c r="AJ49" s="69">
        <f t="shared" si="17"/>
        <v>0</v>
      </c>
    </row>
    <row r="50" spans="1:36" s="21" customFormat="1" ht="20.10000000000000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Ноември'!$C$50,разходи!$M:$M,'ПП Ноември'!E2)</f>
        <v>0</v>
      </c>
      <c r="F50" s="76">
        <f>SUMIFS(разходи!$L:$L,разходи!$E:$E,'ПП Ноември'!$C$50,разходи!$M:$M,'ПП Ноември'!F2)</f>
        <v>0</v>
      </c>
      <c r="G50" s="76">
        <f>SUMIFS(разходи!$L:$L,разходи!$E:$E,'ПП Ноември'!$C$50,разходи!$M:$M,'ПП Ноември'!G2)</f>
        <v>0</v>
      </c>
      <c r="H50" s="74">
        <f>SUMIFS(разходи!$L:$L,разходи!$E:$E,'ПП Ноември'!$C$50,разходи!$M:$M,'ПП Ноември'!H2)</f>
        <v>0</v>
      </c>
      <c r="I50" s="74">
        <f>SUMIFS(разходи!$L:$L,разходи!$E:$E,'ПП Ноември'!$C$50,разходи!$M:$M,'ПП Ноември'!I2)</f>
        <v>0</v>
      </c>
      <c r="J50" s="74">
        <f>SUMIFS(разходи!$L:$L,разходи!$E:$E,'ПП Ноември'!$C$50,разходи!$M:$M,'ПП Ноември'!J2)</f>
        <v>0</v>
      </c>
      <c r="K50" s="74">
        <f>SUMIFS(разходи!$L:$L,разходи!$E:$E,'ПП Ноември'!$C$50,разходи!$M:$M,'ПП Ноември'!K2)</f>
        <v>0</v>
      </c>
      <c r="L50" s="74">
        <f>SUMIFS(разходи!$L:$L,разходи!$E:$E,'ПП Ноември'!$C$50,разходи!$M:$M,'ПП Ноември'!L2)</f>
        <v>0</v>
      </c>
      <c r="M50" s="76">
        <f>SUMIFS(разходи!$L:$L,разходи!$E:$E,'ПП Ноември'!$C$50,разходи!$M:$M,'ПП Ноември'!M2)</f>
        <v>0</v>
      </c>
      <c r="N50" s="76">
        <f>SUMIFS(разходи!$L:$L,разходи!$E:$E,'ПП Ноември'!$C$50,разходи!$M:$M,'ПП Ноември'!N2)</f>
        <v>0</v>
      </c>
      <c r="O50" s="74">
        <f>SUMIFS(разходи!$L:$L,разходи!$E:$E,'ПП Ноември'!$C$50,разходи!$M:$M,'ПП Ноември'!O2)</f>
        <v>0</v>
      </c>
      <c r="P50" s="74">
        <f>SUMIFS(разходи!$L:$L,разходи!$E:$E,'ПП Ноември'!$C$50,разходи!$M:$M,'ПП Ноември'!P2)</f>
        <v>0</v>
      </c>
      <c r="Q50" s="74">
        <f>SUMIFS(разходи!$L:$L,разходи!$E:$E,'ПП Ноември'!$C$50,разходи!$M:$M,'ПП Ноември'!Q2)</f>
        <v>0</v>
      </c>
      <c r="R50" s="74">
        <f>SUMIFS(разходи!$L:$L,разходи!$E:$E,'ПП Ноември'!$C$50,разходи!$M:$M,'ПП Ноември'!R2)</f>
        <v>0</v>
      </c>
      <c r="S50" s="74">
        <f>SUMIFS(разходи!$L:$L,разходи!$E:$E,'ПП Ноември'!$C$50,разходи!$M:$M,'ПП Ноември'!S2)</f>
        <v>0</v>
      </c>
      <c r="T50" s="76">
        <f>SUMIFS(разходи!$L:$L,разходи!$E:$E,'ПП Ноември'!$C$50,разходи!$M:$M,'ПП Ноември'!T2)</f>
        <v>0</v>
      </c>
      <c r="U50" s="76">
        <f>SUMIFS(разходи!$L:$L,разходи!$E:$E,'ПП Ноември'!$C$50,разходи!$M:$M,'ПП Ноември'!U2)</f>
        <v>0</v>
      </c>
      <c r="V50" s="74">
        <f>SUMIFS(разходи!$L:$L,разходи!$E:$E,'ПП Ноември'!$C$50,разходи!$M:$M,'ПП Ноември'!V2)</f>
        <v>0</v>
      </c>
      <c r="W50" s="74">
        <f>SUMIFS(разходи!$L:$L,разходи!$E:$E,'ПП Ноември'!$C$50,разходи!$M:$M,'ПП Ноември'!W2)</f>
        <v>0</v>
      </c>
      <c r="X50" s="74">
        <f>SUMIFS(разходи!$L:$L,разходи!$E:$E,'ПП Ноември'!$C$50,разходи!$M:$M,'ПП Ноември'!X2)</f>
        <v>0</v>
      </c>
      <c r="Y50" s="74">
        <f>SUMIFS(разходи!$L:$L,разходи!$E:$E,'ПП Ноември'!$C$50,разходи!$M:$M,'ПП Ноември'!Y2)</f>
        <v>0</v>
      </c>
      <c r="Z50" s="74">
        <f>SUMIFS(разходи!$L:$L,разходи!$E:$E,'ПП Ноември'!$C$50,разходи!$M:$M,'ПП Ноември'!Z2)</f>
        <v>0</v>
      </c>
      <c r="AA50" s="76">
        <f>SUMIFS(разходи!$L:$L,разходи!$E:$E,'ПП Ноември'!$C$50,разходи!$M:$M,'ПП Ноември'!AA2)</f>
        <v>0</v>
      </c>
      <c r="AB50" s="76">
        <f>SUMIFS(разходи!$L:$L,разходи!$E:$E,'ПП Ноември'!$C$50,разходи!$M:$M,'ПП Ноември'!AB2)</f>
        <v>0</v>
      </c>
      <c r="AC50" s="74">
        <f>SUMIFS(разходи!$L:$L,разходи!$E:$E,'ПП Ноември'!$C$50,разходи!$M:$M,'ПП Ноември'!AC2)</f>
        <v>0</v>
      </c>
      <c r="AD50" s="74">
        <f>SUMIFS(разходи!$L:$L,разходи!$E:$E,'ПП Ноември'!$C$50,разходи!$M:$M,'ПП Ноември'!AD2)</f>
        <v>0</v>
      </c>
      <c r="AE50" s="74">
        <f>SUMIFS(разходи!$L:$L,разходи!$E:$E,'ПП Ноември'!$C$50,разходи!$M:$M,'ПП Ноември'!AE2)</f>
        <v>0</v>
      </c>
      <c r="AF50" s="74">
        <f>SUMIFS(разходи!$L:$L,разходи!$E:$E,'ПП Ноември'!$C$50,разходи!$M:$M,'ПП Ноември'!AF2)</f>
        <v>0</v>
      </c>
      <c r="AG50" s="74">
        <f>SUMIFS(разходи!$L:$L,разходи!$E:$E,'ПП Ноември'!$C$50,разходи!$M:$M,'ПП Ноември'!AG2)</f>
        <v>0</v>
      </c>
      <c r="AH50" s="76">
        <f>SUMIFS(разходи!$L:$L,разходи!$E:$E,'ПП Ноември'!$C$50,разходи!$M:$M,'ПП Ноември'!AH2)</f>
        <v>0</v>
      </c>
      <c r="AI50" s="61">
        <f t="shared" si="16"/>
        <v>0</v>
      </c>
      <c r="AJ50" s="69">
        <f t="shared" si="17"/>
        <v>0</v>
      </c>
    </row>
    <row r="51" spans="1:36" s="21" customFormat="1" ht="20.10000000000000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Ноември'!$C$51,разходи!$M:$M,'ПП Ноември'!E2)</f>
        <v>0</v>
      </c>
      <c r="F51" s="76">
        <f>SUMIFS(разходи!$L:$L,разходи!$E:$E,'ПП Ноември'!$C$51,разходи!$M:$M,'ПП Ноември'!F2)</f>
        <v>0</v>
      </c>
      <c r="G51" s="76">
        <f>SUMIFS(разходи!$L:$L,разходи!$E:$E,'ПП Ноември'!$C$51,разходи!$M:$M,'ПП Ноември'!G2)</f>
        <v>0</v>
      </c>
      <c r="H51" s="74">
        <f>SUMIFS(разходи!$L:$L,разходи!$E:$E,'ПП Ноември'!$C$51,разходи!$M:$M,'ПП Ноември'!H2)</f>
        <v>0</v>
      </c>
      <c r="I51" s="74">
        <f>SUMIFS(разходи!$L:$L,разходи!$E:$E,'ПП Ноември'!$C$51,разходи!$M:$M,'ПП Ноември'!I2)</f>
        <v>0</v>
      </c>
      <c r="J51" s="74">
        <f>SUMIFS(разходи!$L:$L,разходи!$E:$E,'ПП Ноември'!$C$51,разходи!$M:$M,'ПП Ноември'!J2)</f>
        <v>0</v>
      </c>
      <c r="K51" s="74">
        <f>SUMIFS(разходи!$L:$L,разходи!$E:$E,'ПП Ноември'!$C$51,разходи!$M:$M,'ПП Ноември'!K2)</f>
        <v>0</v>
      </c>
      <c r="L51" s="74">
        <f>SUMIFS(разходи!$L:$L,разходи!$E:$E,'ПП Ноември'!$C$51,разходи!$M:$M,'ПП Ноември'!L2)</f>
        <v>0</v>
      </c>
      <c r="M51" s="76">
        <f>SUMIFS(разходи!$L:$L,разходи!$E:$E,'ПП Ноември'!$C$51,разходи!$M:$M,'ПП Ноември'!M2)</f>
        <v>0</v>
      </c>
      <c r="N51" s="76">
        <f>SUMIFS(разходи!$L:$L,разходи!$E:$E,'ПП Ноември'!$C$51,разходи!$M:$M,'ПП Ноември'!N2)</f>
        <v>0</v>
      </c>
      <c r="O51" s="74">
        <f>SUMIFS(разходи!$L:$L,разходи!$E:$E,'ПП Ноември'!$C$51,разходи!$M:$M,'ПП Ноември'!O2)</f>
        <v>0</v>
      </c>
      <c r="P51" s="74">
        <f>SUMIFS(разходи!$L:$L,разходи!$E:$E,'ПП Ноември'!$C$51,разходи!$M:$M,'ПП Ноември'!P2)</f>
        <v>0</v>
      </c>
      <c r="Q51" s="74">
        <f>SUMIFS(разходи!$L:$L,разходи!$E:$E,'ПП Ноември'!$C$51,разходи!$M:$M,'ПП Ноември'!Q2)</f>
        <v>0</v>
      </c>
      <c r="R51" s="74">
        <f>SUMIFS(разходи!$L:$L,разходи!$E:$E,'ПП Ноември'!$C$51,разходи!$M:$M,'ПП Ноември'!R2)</f>
        <v>0</v>
      </c>
      <c r="S51" s="74">
        <f>SUMIFS(разходи!$L:$L,разходи!$E:$E,'ПП Ноември'!$C$51,разходи!$M:$M,'ПП Ноември'!S2)</f>
        <v>0</v>
      </c>
      <c r="T51" s="76">
        <f>SUMIFS(разходи!$L:$L,разходи!$E:$E,'ПП Ноември'!$C$51,разходи!$M:$M,'ПП Ноември'!T2)</f>
        <v>0</v>
      </c>
      <c r="U51" s="76">
        <f>SUMIFS(разходи!$L:$L,разходи!$E:$E,'ПП Ноември'!$C$51,разходи!$M:$M,'ПП Ноември'!U2)</f>
        <v>0</v>
      </c>
      <c r="V51" s="74">
        <f>SUMIFS(разходи!$L:$L,разходи!$E:$E,'ПП Ноември'!$C$51,разходи!$M:$M,'ПП Ноември'!V2)</f>
        <v>0</v>
      </c>
      <c r="W51" s="74">
        <f>SUMIFS(разходи!$L:$L,разходи!$E:$E,'ПП Ноември'!$C$51,разходи!$M:$M,'ПП Ноември'!W2)</f>
        <v>0</v>
      </c>
      <c r="X51" s="74">
        <f>SUMIFS(разходи!$L:$L,разходи!$E:$E,'ПП Ноември'!$C$51,разходи!$M:$M,'ПП Ноември'!X2)</f>
        <v>0</v>
      </c>
      <c r="Y51" s="74">
        <f>SUMIFS(разходи!$L:$L,разходи!$E:$E,'ПП Ноември'!$C$51,разходи!$M:$M,'ПП Ноември'!Y2)</f>
        <v>0</v>
      </c>
      <c r="Z51" s="74">
        <f>SUMIFS(разходи!$L:$L,разходи!$E:$E,'ПП Ноември'!$C$51,разходи!$M:$M,'ПП Ноември'!Z2)</f>
        <v>0</v>
      </c>
      <c r="AA51" s="76">
        <f>SUMIFS(разходи!$L:$L,разходи!$E:$E,'ПП Ноември'!$C$51,разходи!$M:$M,'ПП Ноември'!AA2)</f>
        <v>0</v>
      </c>
      <c r="AB51" s="76">
        <f>SUMIFS(разходи!$L:$L,разходи!$E:$E,'ПП Ноември'!$C$51,разходи!$M:$M,'ПП Ноември'!AB2)</f>
        <v>0</v>
      </c>
      <c r="AC51" s="74">
        <f>SUMIFS(разходи!$L:$L,разходи!$E:$E,'ПП Ноември'!$C$51,разходи!$M:$M,'ПП Ноември'!AC2)</f>
        <v>0</v>
      </c>
      <c r="AD51" s="74">
        <f>SUMIFS(разходи!$L:$L,разходи!$E:$E,'ПП Ноември'!$C$51,разходи!$M:$M,'ПП Ноември'!AD2)</f>
        <v>0</v>
      </c>
      <c r="AE51" s="74">
        <f>SUMIFS(разходи!$L:$L,разходи!$E:$E,'ПП Ноември'!$C$51,разходи!$M:$M,'ПП Ноември'!AE2)</f>
        <v>0</v>
      </c>
      <c r="AF51" s="74">
        <f>SUMIFS(разходи!$L:$L,разходи!$E:$E,'ПП Ноември'!$C$51,разходи!$M:$M,'ПП Ноември'!AF2)</f>
        <v>0</v>
      </c>
      <c r="AG51" s="74">
        <f>SUMIFS(разходи!$L:$L,разходи!$E:$E,'ПП Ноември'!$C$51,разходи!$M:$M,'ПП Ноември'!AG2)</f>
        <v>0</v>
      </c>
      <c r="AH51" s="76">
        <f>SUMIFS(разходи!$L:$L,разходи!$E:$E,'ПП Ноември'!$C$51,разходи!$M:$M,'ПП Ноември'!AH2)</f>
        <v>0</v>
      </c>
      <c r="AI51" s="61">
        <f t="shared" si="16"/>
        <v>0</v>
      </c>
      <c r="AJ51" s="69">
        <f t="shared" si="17"/>
        <v>0</v>
      </c>
    </row>
    <row r="52" spans="1:36" s="21" customFormat="1" ht="20.100000000000001" customHeight="1" outlineLevel="2" x14ac:dyDescent="0.3">
      <c r="A52" s="27"/>
      <c r="B52" s="22"/>
      <c r="C52" s="49" t="s">
        <v>867</v>
      </c>
      <c r="D52" s="80"/>
      <c r="E52" s="74">
        <f>SUMIFS(разходи!$L:$L,разходи!$E:$E,'ПП Ноември'!$C$52,разходи!$M:$M,'ПП Ноември'!E2)</f>
        <v>0</v>
      </c>
      <c r="F52" s="76">
        <f>SUMIFS(разходи!$L:$L,разходи!$E:$E,'ПП Ноември'!$C$52,разходи!$M:$M,'ПП Ноември'!F2)</f>
        <v>0</v>
      </c>
      <c r="G52" s="76">
        <f>SUMIFS(разходи!$L:$L,разходи!$E:$E,'ПП Ноември'!$C$52,разходи!$M:$M,'ПП Ноември'!G2)</f>
        <v>0</v>
      </c>
      <c r="H52" s="74">
        <f>SUMIFS(разходи!$L:$L,разходи!$E:$E,'ПП Ноември'!$C$52,разходи!$M:$M,'ПП Ноември'!H2)</f>
        <v>0</v>
      </c>
      <c r="I52" s="74">
        <f>SUMIFS(разходи!$L:$L,разходи!$E:$E,'ПП Ноември'!$C$52,разходи!$M:$M,'ПП Ноември'!I2)</f>
        <v>0</v>
      </c>
      <c r="J52" s="74">
        <f>SUMIFS(разходи!$L:$L,разходи!$E:$E,'ПП Ноември'!$C$52,разходи!$M:$M,'ПП Ноември'!J2)</f>
        <v>0</v>
      </c>
      <c r="K52" s="74">
        <f>SUMIFS(разходи!$L:$L,разходи!$E:$E,'ПП Ноември'!$C$52,разходи!$M:$M,'ПП Ноември'!K2)</f>
        <v>0</v>
      </c>
      <c r="L52" s="74">
        <f>SUMIFS(разходи!$L:$L,разходи!$E:$E,'ПП Ноември'!$C$52,разходи!$M:$M,'ПП Ноември'!L2)</f>
        <v>0</v>
      </c>
      <c r="M52" s="76">
        <f>SUMIFS(разходи!$L:$L,разходи!$E:$E,'ПП Ноември'!$C$52,разходи!$M:$M,'ПП Ноември'!M2)</f>
        <v>0</v>
      </c>
      <c r="N52" s="76">
        <f>SUMIFS(разходи!$L:$L,разходи!$E:$E,'ПП Ноември'!$C$52,разходи!$M:$M,'ПП Ноември'!N2)</f>
        <v>0</v>
      </c>
      <c r="O52" s="74">
        <f>SUMIFS(разходи!$L:$L,разходи!$E:$E,'ПП Ноември'!$C$52,разходи!$M:$M,'ПП Ноември'!O2)</f>
        <v>0</v>
      </c>
      <c r="P52" s="74">
        <f>SUMIFS(разходи!$L:$L,разходи!$E:$E,'ПП Ноември'!$C$52,разходи!$M:$M,'ПП Ноември'!P2)</f>
        <v>0</v>
      </c>
      <c r="Q52" s="74">
        <f>SUMIFS(разходи!$L:$L,разходи!$E:$E,'ПП Ноември'!$C$52,разходи!$M:$M,'ПП Ноември'!Q2)</f>
        <v>0</v>
      </c>
      <c r="R52" s="74">
        <f>SUMIFS(разходи!$L:$L,разходи!$E:$E,'ПП Ноември'!$C$52,разходи!$M:$M,'ПП Ноември'!R2)</f>
        <v>0</v>
      </c>
      <c r="S52" s="74">
        <f>SUMIFS(разходи!$L:$L,разходи!$E:$E,'ПП Ноември'!$C$52,разходи!$M:$M,'ПП Ноември'!S2)</f>
        <v>0</v>
      </c>
      <c r="T52" s="76">
        <f>SUMIFS(разходи!$L:$L,разходи!$E:$E,'ПП Ноември'!$C$52,разходи!$M:$M,'ПП Ноември'!T2)</f>
        <v>0</v>
      </c>
      <c r="U52" s="76">
        <f>SUMIFS(разходи!$L:$L,разходи!$E:$E,'ПП Ноември'!$C$52,разходи!$M:$M,'ПП Ноември'!U2)</f>
        <v>0</v>
      </c>
      <c r="V52" s="74">
        <f>SUMIFS(разходи!$L:$L,разходи!$E:$E,'ПП Ноември'!$C$52,разходи!$M:$M,'ПП Ноември'!V2)</f>
        <v>0</v>
      </c>
      <c r="W52" s="74">
        <f>SUMIFS(разходи!$L:$L,разходи!$E:$E,'ПП Ноември'!$C$52,разходи!$M:$M,'ПП Ноември'!W2)</f>
        <v>0</v>
      </c>
      <c r="X52" s="74">
        <f>SUMIFS(разходи!$L:$L,разходи!$E:$E,'ПП Ноември'!$C$52,разходи!$M:$M,'ПП Ноември'!X2)</f>
        <v>0</v>
      </c>
      <c r="Y52" s="74">
        <f>SUMIFS(разходи!$L:$L,разходи!$E:$E,'ПП Ноември'!$C$52,разходи!$M:$M,'ПП Ноември'!Y2)</f>
        <v>0</v>
      </c>
      <c r="Z52" s="74">
        <f>SUMIFS(разходи!$L:$L,разходи!$E:$E,'ПП Ноември'!$C$52,разходи!$M:$M,'ПП Ноември'!Z2)</f>
        <v>0</v>
      </c>
      <c r="AA52" s="76">
        <f>SUMIFS(разходи!$L:$L,разходи!$E:$E,'ПП Ноември'!$C$52,разходи!$M:$M,'ПП Ноември'!AA2)</f>
        <v>0</v>
      </c>
      <c r="AB52" s="76">
        <f>SUMIFS(разходи!$L:$L,разходи!$E:$E,'ПП Ноември'!$C$52,разходи!$M:$M,'ПП Ноември'!AB2)</f>
        <v>0</v>
      </c>
      <c r="AC52" s="74">
        <f>SUMIFS(разходи!$L:$L,разходи!$E:$E,'ПП Ноември'!$C$52,разходи!$M:$M,'ПП Ноември'!AC2)</f>
        <v>0</v>
      </c>
      <c r="AD52" s="74">
        <f>SUMIFS(разходи!$L:$L,разходи!$E:$E,'ПП Ноември'!$C$52,разходи!$M:$M,'ПП Ноември'!AD2)</f>
        <v>0</v>
      </c>
      <c r="AE52" s="74">
        <f>SUMIFS(разходи!$L:$L,разходи!$E:$E,'ПП Ноември'!$C$52,разходи!$M:$M,'ПП Ноември'!AE2)</f>
        <v>0</v>
      </c>
      <c r="AF52" s="74">
        <f>SUMIFS(разходи!$L:$L,разходи!$E:$E,'ПП Ноември'!$C$52,разходи!$M:$M,'ПП Ноември'!AF2)</f>
        <v>0</v>
      </c>
      <c r="AG52" s="74">
        <f>SUMIFS(разходи!$L:$L,разходи!$E:$E,'ПП Ноември'!$C$52,разходи!$M:$M,'ПП Ноември'!AG2)</f>
        <v>0</v>
      </c>
      <c r="AH52" s="76">
        <f>SUMIFS(разходи!$L:$L,разходи!$E:$E,'ПП Ноември'!$C$52,разходи!$M:$M,'ПП Ноември'!AH2)</f>
        <v>0</v>
      </c>
      <c r="AI52" s="61">
        <f t="shared" si="16"/>
        <v>0</v>
      </c>
      <c r="AJ52" s="69">
        <f t="shared" si="17"/>
        <v>0</v>
      </c>
    </row>
    <row r="53" spans="1:36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0</v>
      </c>
      <c r="E53" s="74">
        <f>SUMIFS(разходи!$L:$L,разходи!$E:$E,'ПП Ноември'!$C$57,разходи!$M:$M,'ПП Ноември'!E2)</f>
        <v>0</v>
      </c>
      <c r="F53" s="76">
        <f>SUMIFS(разходи!$L:$L,разходи!$E:$E,'ПП Ноември'!$C$57,разходи!$M:$M,'ПП Ноември'!F2)</f>
        <v>0</v>
      </c>
      <c r="G53" s="76">
        <f>SUMIFS(разходи!$L:$L,разходи!$E:$E,'ПП Ноември'!$C$57,разходи!$M:$M,'ПП Ноември'!G2)</f>
        <v>0</v>
      </c>
      <c r="H53" s="74">
        <f>SUMIFS(разходи!$L:$L,разходи!$E:$E,'ПП Ноември'!$C$57,разходи!$M:$M,'ПП Ноември'!H2)</f>
        <v>0</v>
      </c>
      <c r="I53" s="74">
        <f>SUMIFS(разходи!$L:$L,разходи!$E:$E,'ПП Ноември'!$C$57,разходи!$M:$M,'ПП Ноември'!I2)</f>
        <v>0</v>
      </c>
      <c r="J53" s="74">
        <f>SUMIFS(разходи!$L:$L,разходи!$E:$E,'ПП Ноември'!$C$57,разходи!$M:$M,'ПП Ноември'!J2)</f>
        <v>0</v>
      </c>
      <c r="K53" s="74">
        <f>SUMIFS(разходи!$L:$L,разходи!$E:$E,'ПП Ноември'!$C$57,разходи!$M:$M,'ПП Ноември'!K2)</f>
        <v>0</v>
      </c>
      <c r="L53" s="74">
        <f>SUMIFS(разходи!$L:$L,разходи!$E:$E,'ПП Ноември'!$C$57,разходи!$M:$M,'ПП Ноември'!L2)</f>
        <v>0</v>
      </c>
      <c r="M53" s="76">
        <f>SUMIFS(разходи!$L:$L,разходи!$E:$E,'ПП Ноември'!$C$57,разходи!$M:$M,'ПП Ноември'!M2)</f>
        <v>0</v>
      </c>
      <c r="N53" s="76">
        <f>SUMIFS(разходи!$L:$L,разходи!$E:$E,'ПП Ноември'!$C$57,разходи!$M:$M,'ПП Ноември'!N2)</f>
        <v>0</v>
      </c>
      <c r="O53" s="74">
        <f>SUMIFS(разходи!$L:$L,разходи!$E:$E,'ПП Ноември'!$C$57,разходи!$M:$M,'ПП Ноември'!O2)</f>
        <v>0</v>
      </c>
      <c r="P53" s="74">
        <f>SUMIFS(разходи!$L:$L,разходи!$E:$E,'ПП Ноември'!$C$57,разходи!$M:$M,'ПП Ноември'!P2)</f>
        <v>0</v>
      </c>
      <c r="Q53" s="74">
        <f>SUMIFS(разходи!$L:$L,разходи!$E:$E,'ПП Ноември'!$C$57,разходи!$M:$M,'ПП Ноември'!Q2)</f>
        <v>0</v>
      </c>
      <c r="R53" s="74">
        <f>SUMIFS(разходи!$L:$L,разходи!$E:$E,'ПП Ноември'!$C$57,разходи!$M:$M,'ПП Ноември'!R2)</f>
        <v>0</v>
      </c>
      <c r="S53" s="74">
        <f>SUMIFS(разходи!$L:$L,разходи!$E:$E,'ПП Ноември'!$C$57,разходи!$M:$M,'ПП Ноември'!S2)</f>
        <v>0</v>
      </c>
      <c r="T53" s="76">
        <f>SUMIFS(разходи!$L:$L,разходи!$E:$E,'ПП Ноември'!$C$57,разходи!$M:$M,'ПП Ноември'!T2)</f>
        <v>0</v>
      </c>
      <c r="U53" s="76">
        <f>SUMIFS(разходи!$L:$L,разходи!$E:$E,'ПП Ноември'!$C$57,разходи!$M:$M,'ПП Ноември'!U2)</f>
        <v>0</v>
      </c>
      <c r="V53" s="74">
        <f>SUMIFS(разходи!$L:$L,разходи!$E:$E,'ПП Ноември'!$C$57,разходи!$M:$M,'ПП Ноември'!V2)</f>
        <v>0</v>
      </c>
      <c r="W53" s="74">
        <f>SUMIFS(разходи!$L:$L,разходи!$E:$E,'ПП Ноември'!$C$57,разходи!$M:$M,'ПП Ноември'!W2)</f>
        <v>0</v>
      </c>
      <c r="X53" s="74">
        <f>SUMIFS(разходи!$L:$L,разходи!$E:$E,'ПП Ноември'!$C$57,разходи!$M:$M,'ПП Ноември'!X2)</f>
        <v>0</v>
      </c>
      <c r="Y53" s="74">
        <f>SUMIFS(разходи!$L:$L,разходи!$E:$E,'ПП Ноември'!$C$57,разходи!$M:$M,'ПП Ноември'!Y2)</f>
        <v>0</v>
      </c>
      <c r="Z53" s="74">
        <f>SUMIFS(разходи!$L:$L,разходи!$E:$E,'ПП Ноември'!$C$57,разходи!$M:$M,'ПП Ноември'!Z2)</f>
        <v>0</v>
      </c>
      <c r="AA53" s="76">
        <f>SUMIFS(разходи!$L:$L,разходи!$E:$E,'ПП Ноември'!$C$57,разходи!$M:$M,'ПП Ноември'!AA2)</f>
        <v>0</v>
      </c>
      <c r="AB53" s="76">
        <f>SUMIFS(разходи!$L:$L,разходи!$E:$E,'ПП Ноември'!$C$57,разходи!$M:$M,'ПП Ноември'!AB2)</f>
        <v>0</v>
      </c>
      <c r="AC53" s="74">
        <f>SUMIFS(разходи!$L:$L,разходи!$E:$E,'ПП Ноември'!$C$57,разходи!$M:$M,'ПП Ноември'!AC2)</f>
        <v>0</v>
      </c>
      <c r="AD53" s="74">
        <f>SUMIFS(разходи!$L:$L,разходи!$E:$E,'ПП Ноември'!$C$57,разходи!$M:$M,'ПП Ноември'!AD2)</f>
        <v>0</v>
      </c>
      <c r="AE53" s="74">
        <f>SUMIFS(разходи!$L:$L,разходи!$E:$E,'ПП Ноември'!$C$57,разходи!$M:$M,'ПП Ноември'!AE2)</f>
        <v>0</v>
      </c>
      <c r="AF53" s="74">
        <f>SUMIFS(разходи!$L:$L,разходи!$E:$E,'ПП Ноември'!$C$57,разходи!$M:$M,'ПП Ноември'!AF2)</f>
        <v>0</v>
      </c>
      <c r="AG53" s="74">
        <f>SUMIFS(разходи!$L:$L,разходи!$E:$E,'ПП Ноември'!$C$57,разходи!$M:$M,'ПП Ноември'!AG2)</f>
        <v>0</v>
      </c>
      <c r="AH53" s="76">
        <f>SUMIFS(разходи!$L:$L,разходи!$E:$E,'ПП Ноември'!$C$57,разходи!$M:$M,'ПП Ноември'!AH2)</f>
        <v>0</v>
      </c>
      <c r="AI53" s="61">
        <f t="shared" si="16"/>
        <v>0</v>
      </c>
      <c r="AJ53" s="69">
        <f t="shared" si="17"/>
        <v>0</v>
      </c>
    </row>
    <row r="54" spans="1:36" s="53" customFormat="1" ht="20.10000000000000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Ноември'!$C$54,разходи!$M:$M,'ПП Ноември'!E2)</f>
        <v>0</v>
      </c>
      <c r="F54" s="76">
        <f>SUMIFS(разходи!$L:$L,разходи!$E:$E,'ПП Ноември'!$C$54,разходи!$M:$M,'ПП Ноември'!F2)</f>
        <v>0</v>
      </c>
      <c r="G54" s="76">
        <f>SUMIFS(разходи!$L:$L,разходи!$E:$E,'ПП Ноември'!$C$54,разходи!$M:$M,'ПП Ноември'!G2)</f>
        <v>0</v>
      </c>
      <c r="H54" s="74">
        <f>SUMIFS(разходи!$L:$L,разходи!$E:$E,'ПП Ноември'!$C$54,разходи!$M:$M,'ПП Ноември'!H2)</f>
        <v>0</v>
      </c>
      <c r="I54" s="74">
        <f>SUMIFS(разходи!$L:$L,разходи!$E:$E,'ПП Ноември'!$C$54,разходи!$M:$M,'ПП Ноември'!I2)</f>
        <v>0</v>
      </c>
      <c r="J54" s="74">
        <f>SUMIFS(разходи!$L:$L,разходи!$E:$E,'ПП Ноември'!$C$54,разходи!$M:$M,'ПП Ноември'!J2)</f>
        <v>0</v>
      </c>
      <c r="K54" s="74">
        <f>SUMIFS(разходи!$L:$L,разходи!$E:$E,'ПП Ноември'!$C$54,разходи!$M:$M,'ПП Ноември'!K2)</f>
        <v>0</v>
      </c>
      <c r="L54" s="74">
        <f>SUMIFS(разходи!$L:$L,разходи!$E:$E,'ПП Ноември'!$C$54,разходи!$M:$M,'ПП Ноември'!L2)</f>
        <v>0</v>
      </c>
      <c r="M54" s="76">
        <f>SUMIFS(разходи!$L:$L,разходи!$E:$E,'ПП Ноември'!$C$54,разходи!$M:$M,'ПП Ноември'!M2)</f>
        <v>0</v>
      </c>
      <c r="N54" s="76">
        <f>SUMIFS(разходи!$L:$L,разходи!$E:$E,'ПП Ноември'!$C$54,разходи!$M:$M,'ПП Ноември'!N2)</f>
        <v>0</v>
      </c>
      <c r="O54" s="74">
        <f>SUMIFS(разходи!$L:$L,разходи!$E:$E,'ПП Ноември'!$C$54,разходи!$M:$M,'ПП Ноември'!O2)</f>
        <v>0</v>
      </c>
      <c r="P54" s="74">
        <f>SUMIFS(разходи!$L:$L,разходи!$E:$E,'ПП Ноември'!$C$54,разходи!$M:$M,'ПП Ноември'!P2)</f>
        <v>0</v>
      </c>
      <c r="Q54" s="74">
        <f>SUMIFS(разходи!$L:$L,разходи!$E:$E,'ПП Ноември'!$C$54,разходи!$M:$M,'ПП Ноември'!Q2)</f>
        <v>0</v>
      </c>
      <c r="R54" s="74">
        <f>SUMIFS(разходи!$L:$L,разходи!$E:$E,'ПП Ноември'!$C$54,разходи!$M:$M,'ПП Ноември'!R2)</f>
        <v>0</v>
      </c>
      <c r="S54" s="74">
        <f>SUMIFS(разходи!$L:$L,разходи!$E:$E,'ПП Ноември'!$C$54,разходи!$M:$M,'ПП Ноември'!S2)</f>
        <v>0</v>
      </c>
      <c r="T54" s="76">
        <f>SUMIFS(разходи!$L:$L,разходи!$E:$E,'ПП Ноември'!$C$54,разходи!$M:$M,'ПП Ноември'!T2)</f>
        <v>0</v>
      </c>
      <c r="U54" s="76">
        <f>SUMIFS(разходи!$L:$L,разходи!$E:$E,'ПП Ноември'!$C$54,разходи!$M:$M,'ПП Ноември'!U2)</f>
        <v>0</v>
      </c>
      <c r="V54" s="74">
        <f>SUMIFS(разходи!$L:$L,разходи!$E:$E,'ПП Ноември'!$C$54,разходи!$M:$M,'ПП Ноември'!V2)</f>
        <v>0</v>
      </c>
      <c r="W54" s="74">
        <f>SUMIFS(разходи!$L:$L,разходи!$E:$E,'ПП Ноември'!$C$54,разходи!$M:$M,'ПП Ноември'!W2)</f>
        <v>0</v>
      </c>
      <c r="X54" s="74">
        <f>SUMIFS(разходи!$L:$L,разходи!$E:$E,'ПП Ноември'!$C$54,разходи!$M:$M,'ПП Ноември'!X2)</f>
        <v>0</v>
      </c>
      <c r="Y54" s="74">
        <f>SUMIFS(разходи!$L:$L,разходи!$E:$E,'ПП Ноември'!$C$54,разходи!$M:$M,'ПП Ноември'!Y2)</f>
        <v>0</v>
      </c>
      <c r="Z54" s="74">
        <f>SUMIFS(разходи!$L:$L,разходи!$E:$E,'ПП Ноември'!$C$54,разходи!$M:$M,'ПП Ноември'!Z2)</f>
        <v>0</v>
      </c>
      <c r="AA54" s="76">
        <f>SUMIFS(разходи!$L:$L,разходи!$E:$E,'ПП Ноември'!$C$54,разходи!$M:$M,'ПП Ноември'!AA2)</f>
        <v>0</v>
      </c>
      <c r="AB54" s="76">
        <f>SUMIFS(разходи!$L:$L,разходи!$E:$E,'ПП Ноември'!$C$54,разходи!$M:$M,'ПП Ноември'!AB2)</f>
        <v>0</v>
      </c>
      <c r="AC54" s="74">
        <f>SUMIFS(разходи!$L:$L,разходи!$E:$E,'ПП Ноември'!$C$54,разходи!$M:$M,'ПП Ноември'!AC2)</f>
        <v>0</v>
      </c>
      <c r="AD54" s="74">
        <f>SUMIFS(разходи!$L:$L,разходи!$E:$E,'ПП Ноември'!$C$54,разходи!$M:$M,'ПП Ноември'!AD2)</f>
        <v>0</v>
      </c>
      <c r="AE54" s="74">
        <f>SUMIFS(разходи!$L:$L,разходи!$E:$E,'ПП Ноември'!$C$54,разходи!$M:$M,'ПП Ноември'!AE2)</f>
        <v>0</v>
      </c>
      <c r="AF54" s="74">
        <f>SUMIFS(разходи!$L:$L,разходи!$E:$E,'ПП Ноември'!$C$54,разходи!$M:$M,'ПП Ноември'!AF2)</f>
        <v>0</v>
      </c>
      <c r="AG54" s="74">
        <f>SUMIFS(разходи!$L:$L,разходи!$E:$E,'ПП Ноември'!$C$54,разходи!$M:$M,'ПП Ноември'!AG2)</f>
        <v>0</v>
      </c>
      <c r="AH54" s="76">
        <f>SUMIFS(разходи!$L:$L,разходи!$E:$E,'ПП Ноември'!$C$54,разходи!$M:$M,'ПП Ноември'!AH2)</f>
        <v>0</v>
      </c>
      <c r="AI54" s="61">
        <f t="shared" si="16"/>
        <v>0</v>
      </c>
      <c r="AJ54" s="69">
        <f t="shared" si="17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/>
      <c r="E55" s="74">
        <f>SUMIFS(разходи!$L:$L,разходи!$E:$E,'ПП Ноември'!$C$55,разходи!$M:$M,'ПП Ноември'!E2)</f>
        <v>0</v>
      </c>
      <c r="F55" s="76">
        <f>SUMIFS(разходи!$L:$L,разходи!$E:$E,'ПП Ноември'!$C$55,разходи!$M:$M,'ПП Ноември'!F2)</f>
        <v>0</v>
      </c>
      <c r="G55" s="76">
        <f>SUMIFS(разходи!$L:$L,разходи!$E:$E,'ПП Ноември'!$C$55,разходи!$M:$M,'ПП Ноември'!G2)</f>
        <v>0</v>
      </c>
      <c r="H55" s="74">
        <f>SUMIFS(разходи!$L:$L,разходи!$E:$E,'ПП Ноември'!$C$55,разходи!$M:$M,'ПП Ноември'!H2)</f>
        <v>0</v>
      </c>
      <c r="I55" s="74">
        <f>SUMIFS(разходи!$L:$L,разходи!$E:$E,'ПП Ноември'!$C$55,разходи!$M:$M,'ПП Ноември'!I2)</f>
        <v>0</v>
      </c>
      <c r="J55" s="74">
        <f>SUMIFS(разходи!$L:$L,разходи!$E:$E,'ПП Ноември'!$C$55,разходи!$M:$M,'ПП Ноември'!J2)</f>
        <v>0</v>
      </c>
      <c r="K55" s="74">
        <f>SUMIFS(разходи!$L:$L,разходи!$E:$E,'ПП Ноември'!$C$55,разходи!$M:$M,'ПП Ноември'!K2)</f>
        <v>0</v>
      </c>
      <c r="L55" s="74">
        <f>SUMIFS(разходи!$L:$L,разходи!$E:$E,'ПП Ноември'!$C$55,разходи!$M:$M,'ПП Ноември'!L2)</f>
        <v>0</v>
      </c>
      <c r="M55" s="76">
        <f>SUMIFS(разходи!$L:$L,разходи!$E:$E,'ПП Ноември'!$C$55,разходи!$M:$M,'ПП Ноември'!M2)</f>
        <v>0</v>
      </c>
      <c r="N55" s="76">
        <f>SUMIFS(разходи!$L:$L,разходи!$E:$E,'ПП Ноември'!$C$55,разходи!$M:$M,'ПП Ноември'!N2)</f>
        <v>0</v>
      </c>
      <c r="O55" s="74">
        <f>SUMIFS(разходи!$L:$L,разходи!$E:$E,'ПП Ноември'!$C$55,разходи!$M:$M,'ПП Ноември'!O2)</f>
        <v>0</v>
      </c>
      <c r="P55" s="74">
        <f>SUMIFS(разходи!$L:$L,разходи!$E:$E,'ПП Ноември'!$C$55,разходи!$M:$M,'ПП Ноември'!P2)</f>
        <v>0</v>
      </c>
      <c r="Q55" s="74">
        <f>SUMIFS(разходи!$L:$L,разходи!$E:$E,'ПП Ноември'!$C$55,разходи!$M:$M,'ПП Ноември'!Q2)</f>
        <v>0</v>
      </c>
      <c r="R55" s="74">
        <f>SUMIFS(разходи!$L:$L,разходи!$E:$E,'ПП Ноември'!$C$55,разходи!$M:$M,'ПП Ноември'!R2)</f>
        <v>0</v>
      </c>
      <c r="S55" s="74">
        <f>SUMIFS(разходи!$L:$L,разходи!$E:$E,'ПП Ноември'!$C$55,разходи!$M:$M,'ПП Ноември'!S2)</f>
        <v>0</v>
      </c>
      <c r="T55" s="76">
        <f>SUMIFS(разходи!$L:$L,разходи!$E:$E,'ПП Ноември'!$C$55,разходи!$M:$M,'ПП Ноември'!T2)</f>
        <v>0</v>
      </c>
      <c r="U55" s="76">
        <f>SUMIFS(разходи!$L:$L,разходи!$E:$E,'ПП Ноември'!$C$55,разходи!$M:$M,'ПП Ноември'!U2)</f>
        <v>0</v>
      </c>
      <c r="V55" s="74">
        <f>SUMIFS(разходи!$L:$L,разходи!$E:$E,'ПП Ноември'!$C$55,разходи!$M:$M,'ПП Ноември'!V2)</f>
        <v>0</v>
      </c>
      <c r="W55" s="74">
        <f>SUMIFS(разходи!$L:$L,разходи!$E:$E,'ПП Ноември'!$C$55,разходи!$M:$M,'ПП Ноември'!W2)</f>
        <v>0</v>
      </c>
      <c r="X55" s="74">
        <f>SUMIFS(разходи!$L:$L,разходи!$E:$E,'ПП Ноември'!$C$55,разходи!$M:$M,'ПП Ноември'!X2)</f>
        <v>0</v>
      </c>
      <c r="Y55" s="74">
        <f>SUMIFS(разходи!$L:$L,разходи!$E:$E,'ПП Ноември'!$C$55,разходи!$M:$M,'ПП Ноември'!Y2)</f>
        <v>0</v>
      </c>
      <c r="Z55" s="74">
        <f>SUMIFS(разходи!$L:$L,разходи!$E:$E,'ПП Ноември'!$C$55,разходи!$M:$M,'ПП Ноември'!Z2)</f>
        <v>0</v>
      </c>
      <c r="AA55" s="76">
        <f>SUMIFS(разходи!$L:$L,разходи!$E:$E,'ПП Ноември'!$C$55,разходи!$M:$M,'ПП Ноември'!AA2)</f>
        <v>0</v>
      </c>
      <c r="AB55" s="76">
        <f>SUMIFS(разходи!$L:$L,разходи!$E:$E,'ПП Ноември'!$C$55,разходи!$M:$M,'ПП Ноември'!AB2)</f>
        <v>0</v>
      </c>
      <c r="AC55" s="74">
        <f>SUMIFS(разходи!$L:$L,разходи!$E:$E,'ПП Ноември'!$C$55,разходи!$M:$M,'ПП Ноември'!AC2)</f>
        <v>0</v>
      </c>
      <c r="AD55" s="74">
        <f>SUMIFS(разходи!$L:$L,разходи!$E:$E,'ПП Ноември'!$C$55,разходи!$M:$M,'ПП Ноември'!AD2)</f>
        <v>0</v>
      </c>
      <c r="AE55" s="74">
        <f>SUMIFS(разходи!$L:$L,разходи!$E:$E,'ПП Ноември'!$C$55,разходи!$M:$M,'ПП Ноември'!AE2)</f>
        <v>0</v>
      </c>
      <c r="AF55" s="74">
        <f>SUMIFS(разходи!$L:$L,разходи!$E:$E,'ПП Ноември'!$C$55,разходи!$M:$M,'ПП Ноември'!AF2)</f>
        <v>0</v>
      </c>
      <c r="AG55" s="74">
        <f>SUMIFS(разходи!$L:$L,разходи!$E:$E,'ПП Ноември'!$C$55,разходи!$M:$M,'ПП Ноември'!AG2)</f>
        <v>0</v>
      </c>
      <c r="AH55" s="76">
        <f>SUMIFS(разходи!$L:$L,разходи!$E:$E,'ПП Ноември'!$C$55,разходи!$M:$M,'ПП Ноември'!AH2)</f>
        <v>0</v>
      </c>
      <c r="AI55" s="61">
        <f t="shared" si="16"/>
        <v>0</v>
      </c>
      <c r="AJ55" s="69">
        <f t="shared" si="17"/>
        <v>0</v>
      </c>
    </row>
    <row r="56" spans="1:36" s="39" customFormat="1" ht="20.100000000000001" customHeight="1" outlineLevel="1" x14ac:dyDescent="0.3">
      <c r="A56" s="37"/>
      <c r="B56" s="38"/>
      <c r="C56" s="48" t="s">
        <v>870</v>
      </c>
      <c r="D56" s="80"/>
      <c r="E56" s="74">
        <f t="shared" ref="E56:AH56" si="22">SUM(E57:E61)</f>
        <v>0</v>
      </c>
      <c r="F56" s="76">
        <f t="shared" si="22"/>
        <v>0</v>
      </c>
      <c r="G56" s="76">
        <f t="shared" si="22"/>
        <v>0</v>
      </c>
      <c r="H56" s="74">
        <f t="shared" si="22"/>
        <v>0</v>
      </c>
      <c r="I56" s="74">
        <f t="shared" si="22"/>
        <v>0</v>
      </c>
      <c r="J56" s="74">
        <f t="shared" si="22"/>
        <v>0</v>
      </c>
      <c r="K56" s="74">
        <f t="shared" si="22"/>
        <v>0</v>
      </c>
      <c r="L56" s="74">
        <f t="shared" si="22"/>
        <v>0</v>
      </c>
      <c r="M56" s="76">
        <f t="shared" si="22"/>
        <v>0</v>
      </c>
      <c r="N56" s="76">
        <f t="shared" si="22"/>
        <v>0</v>
      </c>
      <c r="O56" s="74">
        <f t="shared" si="22"/>
        <v>0</v>
      </c>
      <c r="P56" s="74">
        <f t="shared" si="22"/>
        <v>0</v>
      </c>
      <c r="Q56" s="74">
        <f t="shared" si="22"/>
        <v>0</v>
      </c>
      <c r="R56" s="74">
        <f t="shared" si="22"/>
        <v>0</v>
      </c>
      <c r="S56" s="74">
        <f t="shared" si="22"/>
        <v>0</v>
      </c>
      <c r="T56" s="76">
        <f t="shared" si="22"/>
        <v>0</v>
      </c>
      <c r="U56" s="76">
        <f t="shared" si="22"/>
        <v>0</v>
      </c>
      <c r="V56" s="74">
        <f t="shared" si="22"/>
        <v>0</v>
      </c>
      <c r="W56" s="74">
        <f t="shared" si="22"/>
        <v>0</v>
      </c>
      <c r="X56" s="74">
        <f t="shared" si="22"/>
        <v>0</v>
      </c>
      <c r="Y56" s="74">
        <f t="shared" si="22"/>
        <v>0</v>
      </c>
      <c r="Z56" s="74">
        <f t="shared" si="22"/>
        <v>0</v>
      </c>
      <c r="AA56" s="76">
        <f t="shared" si="22"/>
        <v>0</v>
      </c>
      <c r="AB56" s="76">
        <f t="shared" si="22"/>
        <v>0</v>
      </c>
      <c r="AC56" s="74">
        <f t="shared" si="22"/>
        <v>0</v>
      </c>
      <c r="AD56" s="74">
        <f t="shared" si="22"/>
        <v>0</v>
      </c>
      <c r="AE56" s="74">
        <f t="shared" si="22"/>
        <v>0</v>
      </c>
      <c r="AF56" s="74">
        <f t="shared" si="22"/>
        <v>0</v>
      </c>
      <c r="AG56" s="74">
        <f t="shared" si="22"/>
        <v>0</v>
      </c>
      <c r="AH56" s="76">
        <f t="shared" si="22"/>
        <v>0</v>
      </c>
      <c r="AI56" s="61">
        <f t="shared" si="16"/>
        <v>0</v>
      </c>
      <c r="AJ56" s="69">
        <f t="shared" si="17"/>
        <v>0</v>
      </c>
    </row>
    <row r="57" spans="1:36" s="39" customFormat="1" ht="20.10000000000000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Ноември'!$C$57,разходи!$M:$M,'ПП Ноември'!E2)</f>
        <v>0</v>
      </c>
      <c r="F57" s="76">
        <f>SUMIFS(разходи!$L:$L,разходи!$E:$E,'ПП Ноември'!$C$57,разходи!$M:$M,'ПП Ноември'!F2)</f>
        <v>0</v>
      </c>
      <c r="G57" s="76">
        <f>SUMIFS(разходи!$L:$L,разходи!$E:$E,'ПП Ноември'!$C$57,разходи!$M:$M,'ПП Ноември'!G2)</f>
        <v>0</v>
      </c>
      <c r="H57" s="74">
        <f>SUMIFS(разходи!$L:$L,разходи!$E:$E,'ПП Ноември'!$C$57,разходи!$M:$M,'ПП Ноември'!H2)</f>
        <v>0</v>
      </c>
      <c r="I57" s="74">
        <f>SUMIFS(разходи!$L:$L,разходи!$E:$E,'ПП Ноември'!$C$57,разходи!$M:$M,'ПП Ноември'!I2)</f>
        <v>0</v>
      </c>
      <c r="J57" s="74">
        <f>SUMIFS(разходи!$L:$L,разходи!$E:$E,'ПП Ноември'!$C$57,разходи!$M:$M,'ПП Ноември'!J2)</f>
        <v>0</v>
      </c>
      <c r="K57" s="74">
        <f>SUMIFS(разходи!$L:$L,разходи!$E:$E,'ПП Ноември'!$C$57,разходи!$M:$M,'ПП Ноември'!K2)</f>
        <v>0</v>
      </c>
      <c r="L57" s="74">
        <f>SUMIFS(разходи!$L:$L,разходи!$E:$E,'ПП Ноември'!$C$57,разходи!$M:$M,'ПП Ноември'!L2)</f>
        <v>0</v>
      </c>
      <c r="M57" s="76">
        <f>SUMIFS(разходи!$L:$L,разходи!$E:$E,'ПП Ноември'!$C$57,разходи!$M:$M,'ПП Ноември'!M2)</f>
        <v>0</v>
      </c>
      <c r="N57" s="76">
        <f>SUMIFS(разходи!$L:$L,разходи!$E:$E,'ПП Ноември'!$C$57,разходи!$M:$M,'ПП Ноември'!N2)</f>
        <v>0</v>
      </c>
      <c r="O57" s="74">
        <f>SUMIFS(разходи!$L:$L,разходи!$E:$E,'ПП Ноември'!$C$57,разходи!$M:$M,'ПП Ноември'!O2)</f>
        <v>0</v>
      </c>
      <c r="P57" s="74">
        <f>SUMIFS(разходи!$L:$L,разходи!$E:$E,'ПП Ноември'!$C$57,разходи!$M:$M,'ПП Ноември'!P2)</f>
        <v>0</v>
      </c>
      <c r="Q57" s="74">
        <f>SUMIFS(разходи!$L:$L,разходи!$E:$E,'ПП Ноември'!$C$57,разходи!$M:$M,'ПП Ноември'!Q2)</f>
        <v>0</v>
      </c>
      <c r="R57" s="74">
        <f>SUMIFS(разходи!$L:$L,разходи!$E:$E,'ПП Ноември'!$C$57,разходи!$M:$M,'ПП Ноември'!R2)</f>
        <v>0</v>
      </c>
      <c r="S57" s="74">
        <f>SUMIFS(разходи!$L:$L,разходи!$E:$E,'ПП Ноември'!$C$57,разходи!$M:$M,'ПП Ноември'!S2)</f>
        <v>0</v>
      </c>
      <c r="T57" s="76">
        <f>SUMIFS(разходи!$L:$L,разходи!$E:$E,'ПП Ноември'!$C$57,разходи!$M:$M,'ПП Ноември'!T2)</f>
        <v>0</v>
      </c>
      <c r="U57" s="76">
        <f>SUMIFS(разходи!$L:$L,разходи!$E:$E,'ПП Ноември'!$C$57,разходи!$M:$M,'ПП Ноември'!U2)</f>
        <v>0</v>
      </c>
      <c r="V57" s="74">
        <f>SUMIFS(разходи!$L:$L,разходи!$E:$E,'ПП Ноември'!$C$57,разходи!$M:$M,'ПП Ноември'!V2)</f>
        <v>0</v>
      </c>
      <c r="W57" s="74">
        <f>SUMIFS(разходи!$L:$L,разходи!$E:$E,'ПП Ноември'!$C$57,разходи!$M:$M,'ПП Ноември'!W2)</f>
        <v>0</v>
      </c>
      <c r="X57" s="74">
        <f>SUMIFS(разходи!$L:$L,разходи!$E:$E,'ПП Ноември'!$C$57,разходи!$M:$M,'ПП Ноември'!X2)</f>
        <v>0</v>
      </c>
      <c r="Y57" s="74">
        <f>SUMIFS(разходи!$L:$L,разходи!$E:$E,'ПП Ноември'!$C$57,разходи!$M:$M,'ПП Ноември'!Y2)</f>
        <v>0</v>
      </c>
      <c r="Z57" s="74">
        <f>SUMIFS(разходи!$L:$L,разходи!$E:$E,'ПП Ноември'!$C$57,разходи!$M:$M,'ПП Ноември'!Z2)</f>
        <v>0</v>
      </c>
      <c r="AA57" s="76">
        <f>SUMIFS(разходи!$L:$L,разходи!$E:$E,'ПП Ноември'!$C$57,разходи!$M:$M,'ПП Ноември'!AA2)</f>
        <v>0</v>
      </c>
      <c r="AB57" s="76">
        <f>SUMIFS(разходи!$L:$L,разходи!$E:$E,'ПП Ноември'!$C$57,разходи!$M:$M,'ПП Ноември'!AB2)</f>
        <v>0</v>
      </c>
      <c r="AC57" s="74">
        <f>SUMIFS(разходи!$L:$L,разходи!$E:$E,'ПП Ноември'!$C$57,разходи!$M:$M,'ПП Ноември'!AC2)</f>
        <v>0</v>
      </c>
      <c r="AD57" s="74">
        <f>SUMIFS(разходи!$L:$L,разходи!$E:$E,'ПП Ноември'!$C$57,разходи!$M:$M,'ПП Ноември'!AD2)</f>
        <v>0</v>
      </c>
      <c r="AE57" s="74">
        <f>SUMIFS(разходи!$L:$L,разходи!$E:$E,'ПП Ноември'!$C$57,разходи!$M:$M,'ПП Ноември'!AE2)</f>
        <v>0</v>
      </c>
      <c r="AF57" s="74">
        <f>SUMIFS(разходи!$L:$L,разходи!$E:$E,'ПП Ноември'!$C$57,разходи!$M:$M,'ПП Ноември'!AF2)</f>
        <v>0</v>
      </c>
      <c r="AG57" s="74">
        <f>SUMIFS(разходи!$L:$L,разходи!$E:$E,'ПП Ноември'!$C$57,разходи!$M:$M,'ПП Ноември'!AG2)</f>
        <v>0</v>
      </c>
      <c r="AH57" s="76">
        <f>SUMIFS(разходи!$L:$L,разходи!$E:$E,'ПП Ноември'!$C$57,разходи!$M:$M,'ПП Ноември'!AH2)</f>
        <v>0</v>
      </c>
      <c r="AI57" s="61">
        <f t="shared" si="16"/>
        <v>0</v>
      </c>
      <c r="AJ57" s="69">
        <f t="shared" si="17"/>
        <v>0</v>
      </c>
    </row>
    <row r="58" spans="1:36" s="39" customFormat="1" ht="20.100000000000001" customHeight="1" outlineLevel="2" x14ac:dyDescent="0.3">
      <c r="A58" s="37"/>
      <c r="B58" s="38"/>
      <c r="C58" s="49" t="s">
        <v>872</v>
      </c>
      <c r="D58" s="80"/>
      <c r="E58" s="74">
        <f>SUMIFS(разходи!$L:$L,разходи!$E:$E,'ПП Ноември'!$C$58,разходи!$M:$M,'ПП Ноември'!E2)</f>
        <v>0</v>
      </c>
      <c r="F58" s="76">
        <f>SUMIFS(разходи!$L:$L,разходи!$E:$E,'ПП Ноември'!$C$58,разходи!$M:$M,'ПП Ноември'!F2)</f>
        <v>0</v>
      </c>
      <c r="G58" s="76">
        <f>SUMIFS(разходи!$L:$L,разходи!$E:$E,'ПП Ноември'!$C$58,разходи!$M:$M,'ПП Ноември'!G2)</f>
        <v>0</v>
      </c>
      <c r="H58" s="74">
        <f>SUMIFS(разходи!$L:$L,разходи!$E:$E,'ПП Ноември'!$C$58,разходи!$M:$M,'ПП Ноември'!H2)</f>
        <v>0</v>
      </c>
      <c r="I58" s="74">
        <f>SUMIFS(разходи!$L:$L,разходи!$E:$E,'ПП Ноември'!$C$58,разходи!$M:$M,'ПП Ноември'!I2)</f>
        <v>0</v>
      </c>
      <c r="J58" s="74">
        <f>SUMIFS(разходи!$L:$L,разходи!$E:$E,'ПП Ноември'!$C$58,разходи!$M:$M,'ПП Ноември'!J2)</f>
        <v>0</v>
      </c>
      <c r="K58" s="74">
        <f>SUMIFS(разходи!$L:$L,разходи!$E:$E,'ПП Ноември'!$C$58,разходи!$M:$M,'ПП Ноември'!K2)</f>
        <v>0</v>
      </c>
      <c r="L58" s="74">
        <f>SUMIFS(разходи!$L:$L,разходи!$E:$E,'ПП Ноември'!$C$58,разходи!$M:$M,'ПП Ноември'!L2)</f>
        <v>0</v>
      </c>
      <c r="M58" s="76">
        <f>SUMIFS(разходи!$L:$L,разходи!$E:$E,'ПП Ноември'!$C$58,разходи!$M:$M,'ПП Ноември'!M2)</f>
        <v>0</v>
      </c>
      <c r="N58" s="76">
        <f>SUMIFS(разходи!$L:$L,разходи!$E:$E,'ПП Ноември'!$C$58,разходи!$M:$M,'ПП Ноември'!N2)</f>
        <v>0</v>
      </c>
      <c r="O58" s="74">
        <f>SUMIFS(разходи!$L:$L,разходи!$E:$E,'ПП Ноември'!$C$58,разходи!$M:$M,'ПП Ноември'!O2)</f>
        <v>0</v>
      </c>
      <c r="P58" s="74">
        <f>SUMIFS(разходи!$L:$L,разходи!$E:$E,'ПП Ноември'!$C$58,разходи!$M:$M,'ПП Ноември'!P2)</f>
        <v>0</v>
      </c>
      <c r="Q58" s="74">
        <f>SUMIFS(разходи!$L:$L,разходи!$E:$E,'ПП Ноември'!$C$58,разходи!$M:$M,'ПП Ноември'!Q2)</f>
        <v>0</v>
      </c>
      <c r="R58" s="74">
        <f>SUMIFS(разходи!$L:$L,разходи!$E:$E,'ПП Ноември'!$C$58,разходи!$M:$M,'ПП Ноември'!R2)</f>
        <v>0</v>
      </c>
      <c r="S58" s="74">
        <f>SUMIFS(разходи!$L:$L,разходи!$E:$E,'ПП Ноември'!$C$58,разходи!$M:$M,'ПП Ноември'!S2)</f>
        <v>0</v>
      </c>
      <c r="T58" s="76">
        <f>SUMIFS(разходи!$L:$L,разходи!$E:$E,'ПП Ноември'!$C$58,разходи!$M:$M,'ПП Ноември'!T2)</f>
        <v>0</v>
      </c>
      <c r="U58" s="76">
        <f>SUMIFS(разходи!$L:$L,разходи!$E:$E,'ПП Ноември'!$C$58,разходи!$M:$M,'ПП Ноември'!U2)</f>
        <v>0</v>
      </c>
      <c r="V58" s="74">
        <f>SUMIFS(разходи!$L:$L,разходи!$E:$E,'ПП Ноември'!$C$58,разходи!$M:$M,'ПП Ноември'!V2)</f>
        <v>0</v>
      </c>
      <c r="W58" s="74">
        <f>SUMIFS(разходи!$L:$L,разходи!$E:$E,'ПП Ноември'!$C$58,разходи!$M:$M,'ПП Ноември'!W2)</f>
        <v>0</v>
      </c>
      <c r="X58" s="74">
        <f>SUMIFS(разходи!$L:$L,разходи!$E:$E,'ПП Ноември'!$C$58,разходи!$M:$M,'ПП Ноември'!X2)</f>
        <v>0</v>
      </c>
      <c r="Y58" s="74">
        <f>SUMIFS(разходи!$L:$L,разходи!$E:$E,'ПП Ноември'!$C$58,разходи!$M:$M,'ПП Ноември'!Y2)</f>
        <v>0</v>
      </c>
      <c r="Z58" s="74">
        <f>SUMIFS(разходи!$L:$L,разходи!$E:$E,'ПП Ноември'!$C$58,разходи!$M:$M,'ПП Ноември'!Z2)</f>
        <v>0</v>
      </c>
      <c r="AA58" s="76">
        <f>SUMIFS(разходи!$L:$L,разходи!$E:$E,'ПП Ноември'!$C$58,разходи!$M:$M,'ПП Ноември'!AA2)</f>
        <v>0</v>
      </c>
      <c r="AB58" s="76">
        <f>SUMIFS(разходи!$L:$L,разходи!$E:$E,'ПП Ноември'!$C$58,разходи!$M:$M,'ПП Ноември'!AB2)</f>
        <v>0</v>
      </c>
      <c r="AC58" s="74">
        <f>SUMIFS(разходи!$L:$L,разходи!$E:$E,'ПП Ноември'!$C$58,разходи!$M:$M,'ПП Ноември'!AC2)</f>
        <v>0</v>
      </c>
      <c r="AD58" s="74">
        <f>SUMIFS(разходи!$L:$L,разходи!$E:$E,'ПП Ноември'!$C$58,разходи!$M:$M,'ПП Ноември'!AD2)</f>
        <v>0</v>
      </c>
      <c r="AE58" s="74">
        <f>SUMIFS(разходи!$L:$L,разходи!$E:$E,'ПП Ноември'!$C$58,разходи!$M:$M,'ПП Ноември'!AE2)</f>
        <v>0</v>
      </c>
      <c r="AF58" s="74">
        <f>SUMIFS(разходи!$L:$L,разходи!$E:$E,'ПП Ноември'!$C$58,разходи!$M:$M,'ПП Ноември'!AF2)</f>
        <v>0</v>
      </c>
      <c r="AG58" s="74">
        <f>SUMIFS(разходи!$L:$L,разходи!$E:$E,'ПП Ноември'!$C$58,разходи!$M:$M,'ПП Ноември'!AG2)</f>
        <v>0</v>
      </c>
      <c r="AH58" s="76">
        <f>SUMIFS(разходи!$L:$L,разходи!$E:$E,'ПП Ноември'!$C$58,разходи!$M:$M,'ПП Ноември'!AH2)</f>
        <v>0</v>
      </c>
      <c r="AI58" s="61">
        <f t="shared" si="16"/>
        <v>0</v>
      </c>
      <c r="AJ58" s="69">
        <f t="shared" si="17"/>
        <v>0</v>
      </c>
    </row>
    <row r="59" spans="1:36" s="39" customFormat="1" ht="20.100000000000001" customHeight="1" outlineLevel="2" x14ac:dyDescent="0.3">
      <c r="A59" s="37"/>
      <c r="B59" s="38"/>
      <c r="C59" s="49" t="s">
        <v>786</v>
      </c>
      <c r="D59" s="80"/>
      <c r="E59" s="74">
        <f>SUMIFS(разходи!$L:$L,разходи!$E:$E,'ПП Ноември'!$C$59,разходи!$M:$M,'ПП Ноември'!E2)</f>
        <v>0</v>
      </c>
      <c r="F59" s="76">
        <f>SUMIFS(разходи!$L:$L,разходи!$E:$E,'ПП Ноември'!$C$59,разходи!$M:$M,'ПП Ноември'!F2)</f>
        <v>0</v>
      </c>
      <c r="G59" s="76">
        <f>SUMIFS(разходи!$L:$L,разходи!$E:$E,'ПП Ноември'!$C$59,разходи!$M:$M,'ПП Ноември'!G2)</f>
        <v>0</v>
      </c>
      <c r="H59" s="74">
        <f>SUMIFS(разходи!$L:$L,разходи!$E:$E,'ПП Ноември'!$C$59,разходи!$M:$M,'ПП Ноември'!H2)</f>
        <v>0</v>
      </c>
      <c r="I59" s="74">
        <f>SUMIFS(разходи!$L:$L,разходи!$E:$E,'ПП Ноември'!$C$59,разходи!$M:$M,'ПП Ноември'!I2)</f>
        <v>0</v>
      </c>
      <c r="J59" s="74">
        <f>SUMIFS(разходи!$L:$L,разходи!$E:$E,'ПП Ноември'!$C$59,разходи!$M:$M,'ПП Ноември'!J2)</f>
        <v>0</v>
      </c>
      <c r="K59" s="74">
        <f>SUMIFS(разходи!$L:$L,разходи!$E:$E,'ПП Ноември'!$C$59,разходи!$M:$M,'ПП Ноември'!K2)</f>
        <v>0</v>
      </c>
      <c r="L59" s="74">
        <f>SUMIFS(разходи!$L:$L,разходи!$E:$E,'ПП Ноември'!$C$59,разходи!$M:$M,'ПП Ноември'!L2)</f>
        <v>0</v>
      </c>
      <c r="M59" s="76">
        <f>SUMIFS(разходи!$L:$L,разходи!$E:$E,'ПП Ноември'!$C$59,разходи!$M:$M,'ПП Ноември'!M2)</f>
        <v>0</v>
      </c>
      <c r="N59" s="76">
        <f>SUMIFS(разходи!$L:$L,разходи!$E:$E,'ПП Ноември'!$C$59,разходи!$M:$M,'ПП Ноември'!N2)</f>
        <v>0</v>
      </c>
      <c r="O59" s="74">
        <f>SUMIFS(разходи!$L:$L,разходи!$E:$E,'ПП Ноември'!$C$59,разходи!$M:$M,'ПП Ноември'!O2)</f>
        <v>0</v>
      </c>
      <c r="P59" s="74">
        <f>SUMIFS(разходи!$L:$L,разходи!$E:$E,'ПП Ноември'!$C$59,разходи!$M:$M,'ПП Ноември'!P2)</f>
        <v>0</v>
      </c>
      <c r="Q59" s="74">
        <f>SUMIFS(разходи!$L:$L,разходи!$E:$E,'ПП Ноември'!$C$59,разходи!$M:$M,'ПП Ноември'!Q2)</f>
        <v>0</v>
      </c>
      <c r="R59" s="74">
        <f>SUMIFS(разходи!$L:$L,разходи!$E:$E,'ПП Ноември'!$C$59,разходи!$M:$M,'ПП Ноември'!R2)</f>
        <v>0</v>
      </c>
      <c r="S59" s="74">
        <f>SUMIFS(разходи!$L:$L,разходи!$E:$E,'ПП Ноември'!$C$59,разходи!$M:$M,'ПП Ноември'!S2)</f>
        <v>0</v>
      </c>
      <c r="T59" s="76">
        <f>SUMIFS(разходи!$L:$L,разходи!$E:$E,'ПП Ноември'!$C$59,разходи!$M:$M,'ПП Ноември'!T2)</f>
        <v>0</v>
      </c>
      <c r="U59" s="76">
        <f>SUMIFS(разходи!$L:$L,разходи!$E:$E,'ПП Ноември'!$C$59,разходи!$M:$M,'ПП Ноември'!U2)</f>
        <v>0</v>
      </c>
      <c r="V59" s="74">
        <f>SUMIFS(разходи!$L:$L,разходи!$E:$E,'ПП Ноември'!$C$59,разходи!$M:$M,'ПП Ноември'!V2)</f>
        <v>0</v>
      </c>
      <c r="W59" s="74">
        <f>SUMIFS(разходи!$L:$L,разходи!$E:$E,'ПП Ноември'!$C$59,разходи!$M:$M,'ПП Ноември'!W2)</f>
        <v>0</v>
      </c>
      <c r="X59" s="74">
        <f>SUMIFS(разходи!$L:$L,разходи!$E:$E,'ПП Ноември'!$C$59,разходи!$M:$M,'ПП Ноември'!X2)</f>
        <v>0</v>
      </c>
      <c r="Y59" s="74">
        <f>SUMIFS(разходи!$L:$L,разходи!$E:$E,'ПП Ноември'!$C$59,разходи!$M:$M,'ПП Ноември'!Y2)</f>
        <v>0</v>
      </c>
      <c r="Z59" s="74">
        <f>SUMIFS(разходи!$L:$L,разходи!$E:$E,'ПП Ноември'!$C$59,разходи!$M:$M,'ПП Ноември'!Z2)</f>
        <v>0</v>
      </c>
      <c r="AA59" s="76">
        <f>SUMIFS(разходи!$L:$L,разходи!$E:$E,'ПП Ноември'!$C$59,разходи!$M:$M,'ПП Ноември'!AA2)</f>
        <v>0</v>
      </c>
      <c r="AB59" s="76">
        <f>SUMIFS(разходи!$L:$L,разходи!$E:$E,'ПП Ноември'!$C$59,разходи!$M:$M,'ПП Ноември'!AB2)</f>
        <v>0</v>
      </c>
      <c r="AC59" s="74">
        <f>SUMIFS(разходи!$L:$L,разходи!$E:$E,'ПП Ноември'!$C$59,разходи!$M:$M,'ПП Ноември'!AC2)</f>
        <v>0</v>
      </c>
      <c r="AD59" s="74">
        <f>SUMIFS(разходи!$L:$L,разходи!$E:$E,'ПП Ноември'!$C$59,разходи!$M:$M,'ПП Ноември'!AD2)</f>
        <v>0</v>
      </c>
      <c r="AE59" s="74">
        <f>SUMIFS(разходи!$L:$L,разходи!$E:$E,'ПП Ноември'!$C$59,разходи!$M:$M,'ПП Ноември'!AE2)</f>
        <v>0</v>
      </c>
      <c r="AF59" s="74">
        <f>SUMIFS(разходи!$L:$L,разходи!$E:$E,'ПП Ноември'!$C$59,разходи!$M:$M,'ПП Ноември'!AF2)</f>
        <v>0</v>
      </c>
      <c r="AG59" s="74">
        <f>SUMIFS(разходи!$L:$L,разходи!$E:$E,'ПП Ноември'!$C$59,разходи!$M:$M,'ПП Ноември'!AG2)</f>
        <v>0</v>
      </c>
      <c r="AH59" s="76">
        <f>SUMIFS(разходи!$L:$L,разходи!$E:$E,'ПП Ноември'!$C$59,разходи!$M:$M,'ПП Ноември'!AH2)</f>
        <v>0</v>
      </c>
      <c r="AI59" s="61">
        <f t="shared" si="16"/>
        <v>0</v>
      </c>
      <c r="AJ59" s="69">
        <f t="shared" si="17"/>
        <v>0</v>
      </c>
    </row>
    <row r="60" spans="1:36" s="39" customFormat="1" ht="20.10000000000000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Ноември'!$C$60,разходи!$M:$M,'ПП Ноември'!E2)</f>
        <v>0</v>
      </c>
      <c r="F60" s="76">
        <f>SUMIFS(разходи!$L:$L,разходи!$E:$E,'ПП Ноември'!$C$60,разходи!$M:$M,'ПП Ноември'!F2)</f>
        <v>0</v>
      </c>
      <c r="G60" s="76">
        <f>SUMIFS(разходи!$L:$L,разходи!$E:$E,'ПП Ноември'!$C$60,разходи!$M:$M,'ПП Ноември'!G2)</f>
        <v>0</v>
      </c>
      <c r="H60" s="74">
        <f>SUMIFS(разходи!$L:$L,разходи!$E:$E,'ПП Ноември'!$C$60,разходи!$M:$M,'ПП Ноември'!H2)</f>
        <v>0</v>
      </c>
      <c r="I60" s="74">
        <f>SUMIFS(разходи!$L:$L,разходи!$E:$E,'ПП Ноември'!$C$60,разходи!$M:$M,'ПП Ноември'!I2)</f>
        <v>0</v>
      </c>
      <c r="J60" s="74">
        <f>SUMIFS(разходи!$L:$L,разходи!$E:$E,'ПП Ноември'!$C$60,разходи!$M:$M,'ПП Ноември'!J2)</f>
        <v>0</v>
      </c>
      <c r="K60" s="74">
        <f>SUMIFS(разходи!$L:$L,разходи!$E:$E,'ПП Ноември'!$C$60,разходи!$M:$M,'ПП Ноември'!K2)</f>
        <v>0</v>
      </c>
      <c r="L60" s="74">
        <f>SUMIFS(разходи!$L:$L,разходи!$E:$E,'ПП Ноември'!$C$60,разходи!$M:$M,'ПП Ноември'!L2)</f>
        <v>0</v>
      </c>
      <c r="M60" s="76">
        <f>SUMIFS(разходи!$L:$L,разходи!$E:$E,'ПП Ноември'!$C$60,разходи!$M:$M,'ПП Ноември'!M2)</f>
        <v>0</v>
      </c>
      <c r="N60" s="76">
        <f>SUMIFS(разходи!$L:$L,разходи!$E:$E,'ПП Ноември'!$C$60,разходи!$M:$M,'ПП Ноември'!N2)</f>
        <v>0</v>
      </c>
      <c r="O60" s="74">
        <f>SUMIFS(разходи!$L:$L,разходи!$E:$E,'ПП Ноември'!$C$60,разходи!$M:$M,'ПП Ноември'!O2)</f>
        <v>0</v>
      </c>
      <c r="P60" s="74">
        <f>SUMIFS(разходи!$L:$L,разходи!$E:$E,'ПП Ноември'!$C$60,разходи!$M:$M,'ПП Ноември'!P2)</f>
        <v>0</v>
      </c>
      <c r="Q60" s="74">
        <f>SUMIFS(разходи!$L:$L,разходи!$E:$E,'ПП Ноември'!$C$60,разходи!$M:$M,'ПП Ноември'!Q2)</f>
        <v>0</v>
      </c>
      <c r="R60" s="74">
        <f>SUMIFS(разходи!$L:$L,разходи!$E:$E,'ПП Ноември'!$C$60,разходи!$M:$M,'ПП Ноември'!R2)</f>
        <v>0</v>
      </c>
      <c r="S60" s="74">
        <f>SUMIFS(разходи!$L:$L,разходи!$E:$E,'ПП Ноември'!$C$60,разходи!$M:$M,'ПП Ноември'!S2)</f>
        <v>0</v>
      </c>
      <c r="T60" s="76">
        <f>SUMIFS(разходи!$L:$L,разходи!$E:$E,'ПП Ноември'!$C$60,разходи!$M:$M,'ПП Ноември'!T2)</f>
        <v>0</v>
      </c>
      <c r="U60" s="76">
        <f>SUMIFS(разходи!$L:$L,разходи!$E:$E,'ПП Ноември'!$C$60,разходи!$M:$M,'ПП Ноември'!U2)</f>
        <v>0</v>
      </c>
      <c r="V60" s="74">
        <f>SUMIFS(разходи!$L:$L,разходи!$E:$E,'ПП Ноември'!$C$60,разходи!$M:$M,'ПП Ноември'!V2)</f>
        <v>0</v>
      </c>
      <c r="W60" s="74">
        <f>SUMIFS(разходи!$L:$L,разходи!$E:$E,'ПП Ноември'!$C$60,разходи!$M:$M,'ПП Ноември'!W2)</f>
        <v>0</v>
      </c>
      <c r="X60" s="74">
        <f>SUMIFS(разходи!$L:$L,разходи!$E:$E,'ПП Ноември'!$C$60,разходи!$M:$M,'ПП Ноември'!X2)</f>
        <v>0</v>
      </c>
      <c r="Y60" s="74">
        <f>SUMIFS(разходи!$L:$L,разходи!$E:$E,'ПП Ноември'!$C$60,разходи!$M:$M,'ПП Ноември'!Y2)</f>
        <v>0</v>
      </c>
      <c r="Z60" s="74">
        <f>SUMIFS(разходи!$L:$L,разходи!$E:$E,'ПП Ноември'!$C$60,разходи!$M:$M,'ПП Ноември'!Z2)</f>
        <v>0</v>
      </c>
      <c r="AA60" s="76">
        <f>SUMIFS(разходи!$L:$L,разходи!$E:$E,'ПП Ноември'!$C$60,разходи!$M:$M,'ПП Ноември'!AA2)</f>
        <v>0</v>
      </c>
      <c r="AB60" s="76">
        <f>SUMIFS(разходи!$L:$L,разходи!$E:$E,'ПП Ноември'!$C$60,разходи!$M:$M,'ПП Ноември'!AB2)</f>
        <v>0</v>
      </c>
      <c r="AC60" s="74">
        <f>SUMIFS(разходи!$L:$L,разходи!$E:$E,'ПП Ноември'!$C$60,разходи!$M:$M,'ПП Ноември'!AC2)</f>
        <v>0</v>
      </c>
      <c r="AD60" s="74">
        <f>SUMIFS(разходи!$L:$L,разходи!$E:$E,'ПП Ноември'!$C$60,разходи!$M:$M,'ПП Ноември'!AD2)</f>
        <v>0</v>
      </c>
      <c r="AE60" s="74">
        <f>SUMIFS(разходи!$L:$L,разходи!$E:$E,'ПП Ноември'!$C$60,разходи!$M:$M,'ПП Ноември'!AE2)</f>
        <v>0</v>
      </c>
      <c r="AF60" s="74">
        <f>SUMIFS(разходи!$L:$L,разходи!$E:$E,'ПП Ноември'!$C$60,разходи!$M:$M,'ПП Ноември'!AF2)</f>
        <v>0</v>
      </c>
      <c r="AG60" s="74">
        <f>SUMIFS(разходи!$L:$L,разходи!$E:$E,'ПП Ноември'!$C$60,разходи!$M:$M,'ПП Ноември'!AG2)</f>
        <v>0</v>
      </c>
      <c r="AH60" s="76">
        <f>SUMIFS(разходи!$L:$L,разходи!$E:$E,'ПП Ноември'!$C$60,разходи!$M:$M,'ПП Ноември'!AH2)</f>
        <v>0</v>
      </c>
      <c r="AI60" s="61">
        <f t="shared" si="16"/>
        <v>0</v>
      </c>
      <c r="AJ60" s="69">
        <f t="shared" si="17"/>
        <v>0</v>
      </c>
    </row>
    <row r="61" spans="1:36" s="39" customFormat="1" ht="20.10000000000000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Ноември'!$C$61,разходи!$M:$M,'ПП Ноември'!E2)</f>
        <v>0</v>
      </c>
      <c r="F61" s="76">
        <f>SUMIFS(разходи!$L:$L,разходи!$E:$E,'ПП Ноември'!$C$61,разходи!$M:$M,'ПП Ноември'!F2)</f>
        <v>0</v>
      </c>
      <c r="G61" s="76">
        <f>SUMIFS(разходи!$L:$L,разходи!$E:$E,'ПП Ноември'!$C$61,разходи!$M:$M,'ПП Ноември'!G2)</f>
        <v>0</v>
      </c>
      <c r="H61" s="74">
        <f>SUMIFS(разходи!$L:$L,разходи!$E:$E,'ПП Ноември'!$C$61,разходи!$M:$M,'ПП Ноември'!H2)</f>
        <v>0</v>
      </c>
      <c r="I61" s="74">
        <f>SUMIFS(разходи!$L:$L,разходи!$E:$E,'ПП Ноември'!$C$61,разходи!$M:$M,'ПП Ноември'!I2)</f>
        <v>0</v>
      </c>
      <c r="J61" s="74">
        <f>SUMIFS(разходи!$L:$L,разходи!$E:$E,'ПП Ноември'!$C$61,разходи!$M:$M,'ПП Ноември'!J2)</f>
        <v>0</v>
      </c>
      <c r="K61" s="74">
        <f>SUMIFS(разходи!$L:$L,разходи!$E:$E,'ПП Ноември'!$C$61,разходи!$M:$M,'ПП Ноември'!K2)</f>
        <v>0</v>
      </c>
      <c r="L61" s="74">
        <f>SUMIFS(разходи!$L:$L,разходи!$E:$E,'ПП Ноември'!$C$61,разходи!$M:$M,'ПП Ноември'!L2)</f>
        <v>0</v>
      </c>
      <c r="M61" s="76">
        <f>SUMIFS(разходи!$L:$L,разходи!$E:$E,'ПП Ноември'!$C$61,разходи!$M:$M,'ПП Ноември'!M2)</f>
        <v>0</v>
      </c>
      <c r="N61" s="76">
        <f>SUMIFS(разходи!$L:$L,разходи!$E:$E,'ПП Ноември'!$C$61,разходи!$M:$M,'ПП Ноември'!N2)</f>
        <v>0</v>
      </c>
      <c r="O61" s="74">
        <f>SUMIFS(разходи!$L:$L,разходи!$E:$E,'ПП Ноември'!$C$61,разходи!$M:$M,'ПП Ноември'!O2)</f>
        <v>0</v>
      </c>
      <c r="P61" s="74">
        <f>SUMIFS(разходи!$L:$L,разходи!$E:$E,'ПП Ноември'!$C$61,разходи!$M:$M,'ПП Ноември'!P2)</f>
        <v>0</v>
      </c>
      <c r="Q61" s="74">
        <f>SUMIFS(разходи!$L:$L,разходи!$E:$E,'ПП Ноември'!$C$61,разходи!$M:$M,'ПП Ноември'!Q2)</f>
        <v>0</v>
      </c>
      <c r="R61" s="74">
        <f>SUMIFS(разходи!$L:$L,разходи!$E:$E,'ПП Ноември'!$C$61,разходи!$M:$M,'ПП Ноември'!R2)</f>
        <v>0</v>
      </c>
      <c r="S61" s="74">
        <f>SUMIFS(разходи!$L:$L,разходи!$E:$E,'ПП Ноември'!$C$61,разходи!$M:$M,'ПП Ноември'!S2)</f>
        <v>0</v>
      </c>
      <c r="T61" s="76">
        <f>SUMIFS(разходи!$L:$L,разходи!$E:$E,'ПП Ноември'!$C$61,разходи!$M:$M,'ПП Ноември'!T2)</f>
        <v>0</v>
      </c>
      <c r="U61" s="76">
        <f>SUMIFS(разходи!$L:$L,разходи!$E:$E,'ПП Ноември'!$C$61,разходи!$M:$M,'ПП Ноември'!U2)</f>
        <v>0</v>
      </c>
      <c r="V61" s="74">
        <f>SUMIFS(разходи!$L:$L,разходи!$E:$E,'ПП Ноември'!$C$61,разходи!$M:$M,'ПП Ноември'!V2)</f>
        <v>0</v>
      </c>
      <c r="W61" s="74">
        <f>SUMIFS(разходи!$L:$L,разходи!$E:$E,'ПП Ноември'!$C$61,разходи!$M:$M,'ПП Ноември'!W2)</f>
        <v>0</v>
      </c>
      <c r="X61" s="74">
        <f>SUMIFS(разходи!$L:$L,разходи!$E:$E,'ПП Ноември'!$C$61,разходи!$M:$M,'ПП Ноември'!X2)</f>
        <v>0</v>
      </c>
      <c r="Y61" s="74">
        <f>SUMIFS(разходи!$L:$L,разходи!$E:$E,'ПП Ноември'!$C$61,разходи!$M:$M,'ПП Ноември'!Y2)</f>
        <v>0</v>
      </c>
      <c r="Z61" s="74">
        <f>SUMIFS(разходи!$L:$L,разходи!$E:$E,'ПП Ноември'!$C$61,разходи!$M:$M,'ПП Ноември'!Z2)</f>
        <v>0</v>
      </c>
      <c r="AA61" s="76">
        <f>SUMIFS(разходи!$L:$L,разходи!$E:$E,'ПП Ноември'!$C$61,разходи!$M:$M,'ПП Ноември'!AA2)</f>
        <v>0</v>
      </c>
      <c r="AB61" s="76">
        <f>SUMIFS(разходи!$L:$L,разходи!$E:$E,'ПП Ноември'!$C$61,разходи!$M:$M,'ПП Ноември'!AB2)</f>
        <v>0</v>
      </c>
      <c r="AC61" s="74">
        <f>SUMIFS(разходи!$L:$L,разходи!$E:$E,'ПП Ноември'!$C$61,разходи!$M:$M,'ПП Ноември'!AC2)</f>
        <v>0</v>
      </c>
      <c r="AD61" s="74">
        <f>SUMIFS(разходи!$L:$L,разходи!$E:$E,'ПП Ноември'!$C$61,разходи!$M:$M,'ПП Ноември'!AD2)</f>
        <v>0</v>
      </c>
      <c r="AE61" s="74">
        <f>SUMIFS(разходи!$L:$L,разходи!$E:$E,'ПП Ноември'!$C$61,разходи!$M:$M,'ПП Ноември'!AE2)</f>
        <v>0</v>
      </c>
      <c r="AF61" s="74">
        <f>SUMIFS(разходи!$L:$L,разходи!$E:$E,'ПП Ноември'!$C$61,разходи!$M:$M,'ПП Ноември'!AF2)</f>
        <v>0</v>
      </c>
      <c r="AG61" s="74">
        <f>SUMIFS(разходи!$L:$L,разходи!$E:$E,'ПП Ноември'!$C$61,разходи!$M:$M,'ПП Ноември'!AG2)</f>
        <v>0</v>
      </c>
      <c r="AH61" s="76">
        <f>SUMIFS(разходи!$L:$L,разходи!$E:$E,'ПП Ноември'!$C$61,разходи!$M:$M,'ПП Ноември'!AH2)</f>
        <v>0</v>
      </c>
      <c r="AI61" s="61">
        <f t="shared" si="16"/>
        <v>0</v>
      </c>
      <c r="AJ61" s="69">
        <f t="shared" si="17"/>
        <v>0</v>
      </c>
    </row>
    <row r="62" spans="1:36" s="39" customFormat="1" ht="20.100000000000001" customHeight="1" outlineLevel="1" x14ac:dyDescent="0.3">
      <c r="A62" s="37"/>
      <c r="B62" s="38"/>
      <c r="C62" s="32" t="s">
        <v>875</v>
      </c>
      <c r="D62" s="80"/>
      <c r="E62" s="74">
        <f t="shared" ref="E62:AH62" si="23">SUM(E63:E65)</f>
        <v>0</v>
      </c>
      <c r="F62" s="76">
        <f t="shared" si="23"/>
        <v>0</v>
      </c>
      <c r="G62" s="76">
        <f t="shared" si="23"/>
        <v>0</v>
      </c>
      <c r="H62" s="74">
        <f t="shared" si="23"/>
        <v>0</v>
      </c>
      <c r="I62" s="74">
        <f t="shared" si="23"/>
        <v>0</v>
      </c>
      <c r="J62" s="74">
        <f t="shared" si="23"/>
        <v>0</v>
      </c>
      <c r="K62" s="74">
        <f t="shared" si="23"/>
        <v>0</v>
      </c>
      <c r="L62" s="74">
        <f t="shared" si="23"/>
        <v>0</v>
      </c>
      <c r="M62" s="76">
        <f t="shared" si="23"/>
        <v>0</v>
      </c>
      <c r="N62" s="76">
        <f t="shared" si="23"/>
        <v>0</v>
      </c>
      <c r="O62" s="74">
        <f t="shared" si="23"/>
        <v>0</v>
      </c>
      <c r="P62" s="74">
        <f t="shared" si="23"/>
        <v>0</v>
      </c>
      <c r="Q62" s="74">
        <f t="shared" si="23"/>
        <v>0</v>
      </c>
      <c r="R62" s="74">
        <f t="shared" si="23"/>
        <v>0</v>
      </c>
      <c r="S62" s="74">
        <f t="shared" si="23"/>
        <v>0</v>
      </c>
      <c r="T62" s="76">
        <f t="shared" si="23"/>
        <v>0</v>
      </c>
      <c r="U62" s="76">
        <f t="shared" si="23"/>
        <v>0</v>
      </c>
      <c r="V62" s="74">
        <f t="shared" si="23"/>
        <v>0</v>
      </c>
      <c r="W62" s="74">
        <f t="shared" si="23"/>
        <v>0</v>
      </c>
      <c r="X62" s="74">
        <f t="shared" si="23"/>
        <v>0</v>
      </c>
      <c r="Y62" s="74">
        <f t="shared" si="23"/>
        <v>0</v>
      </c>
      <c r="Z62" s="74">
        <f t="shared" si="23"/>
        <v>0</v>
      </c>
      <c r="AA62" s="76">
        <f t="shared" si="23"/>
        <v>0</v>
      </c>
      <c r="AB62" s="76">
        <f t="shared" si="23"/>
        <v>0</v>
      </c>
      <c r="AC62" s="74">
        <f t="shared" si="23"/>
        <v>0</v>
      </c>
      <c r="AD62" s="74">
        <f t="shared" si="23"/>
        <v>0</v>
      </c>
      <c r="AE62" s="74">
        <f t="shared" si="23"/>
        <v>0</v>
      </c>
      <c r="AF62" s="74">
        <f t="shared" si="23"/>
        <v>0</v>
      </c>
      <c r="AG62" s="74">
        <f t="shared" si="23"/>
        <v>0</v>
      </c>
      <c r="AH62" s="76">
        <f t="shared" si="23"/>
        <v>0</v>
      </c>
      <c r="AI62" s="61">
        <f t="shared" si="16"/>
        <v>0</v>
      </c>
      <c r="AJ62" s="69">
        <f t="shared" si="17"/>
        <v>0</v>
      </c>
    </row>
    <row r="63" spans="1:36" s="39" customFormat="1" ht="20.100000000000001" customHeight="1" outlineLevel="2" x14ac:dyDescent="0.3">
      <c r="A63" s="37"/>
      <c r="B63" s="38"/>
      <c r="C63" s="50" t="s">
        <v>876</v>
      </c>
      <c r="D63" s="80"/>
      <c r="E63" s="74">
        <f>SUMIFS(разходи!$L:$L,разходи!$E:$E,'ПП Ноември'!$C$63,разходи!$M:$M,'ПП Ноември'!E2)</f>
        <v>0</v>
      </c>
      <c r="F63" s="76">
        <f>SUMIFS(разходи!$L:$L,разходи!$E:$E,'ПП Ноември'!$C$63,разходи!$M:$M,'ПП Ноември'!F2)</f>
        <v>0</v>
      </c>
      <c r="G63" s="76">
        <f>SUMIFS(разходи!$L:$L,разходи!$E:$E,'ПП Ноември'!$C$63,разходи!$M:$M,'ПП Ноември'!G2)</f>
        <v>0</v>
      </c>
      <c r="H63" s="74">
        <f>SUMIFS(разходи!$L:$L,разходи!$E:$E,'ПП Ноември'!$C$63,разходи!$M:$M,'ПП Ноември'!H2)</f>
        <v>0</v>
      </c>
      <c r="I63" s="74">
        <f>SUMIFS(разходи!$L:$L,разходи!$E:$E,'ПП Ноември'!$C$63,разходи!$M:$M,'ПП Ноември'!I2)</f>
        <v>0</v>
      </c>
      <c r="J63" s="74">
        <f>SUMIFS(разходи!$L:$L,разходи!$E:$E,'ПП Ноември'!$C$63,разходи!$M:$M,'ПП Ноември'!J2)</f>
        <v>0</v>
      </c>
      <c r="K63" s="74">
        <f>SUMIFS(разходи!$L:$L,разходи!$E:$E,'ПП Ноември'!$C$63,разходи!$M:$M,'ПП Ноември'!K2)</f>
        <v>0</v>
      </c>
      <c r="L63" s="74">
        <f>SUMIFS(разходи!$L:$L,разходи!$E:$E,'ПП Ноември'!$C$63,разходи!$M:$M,'ПП Ноември'!L2)</f>
        <v>0</v>
      </c>
      <c r="M63" s="76">
        <f>SUMIFS(разходи!$L:$L,разходи!$E:$E,'ПП Ноември'!$C$63,разходи!$M:$M,'ПП Ноември'!M2)</f>
        <v>0</v>
      </c>
      <c r="N63" s="76">
        <f>SUMIFS(разходи!$L:$L,разходи!$E:$E,'ПП Ноември'!$C$63,разходи!$M:$M,'ПП Ноември'!N2)</f>
        <v>0</v>
      </c>
      <c r="O63" s="74">
        <f>SUMIFS(разходи!$L:$L,разходи!$E:$E,'ПП Ноември'!$C$63,разходи!$M:$M,'ПП Ноември'!O2)</f>
        <v>0</v>
      </c>
      <c r="P63" s="74">
        <f>SUMIFS(разходи!$L:$L,разходи!$E:$E,'ПП Ноември'!$C$63,разходи!$M:$M,'ПП Ноември'!P2)</f>
        <v>0</v>
      </c>
      <c r="Q63" s="74">
        <f>SUMIFS(разходи!$L:$L,разходи!$E:$E,'ПП Ноември'!$C$63,разходи!$M:$M,'ПП Ноември'!Q2)</f>
        <v>0</v>
      </c>
      <c r="R63" s="74">
        <f>SUMIFS(разходи!$L:$L,разходи!$E:$E,'ПП Ноември'!$C$63,разходи!$M:$M,'ПП Ноември'!R2)</f>
        <v>0</v>
      </c>
      <c r="S63" s="74">
        <f>SUMIFS(разходи!$L:$L,разходи!$E:$E,'ПП Ноември'!$C$63,разходи!$M:$M,'ПП Ноември'!S2)</f>
        <v>0</v>
      </c>
      <c r="T63" s="76">
        <f>SUMIFS(разходи!$L:$L,разходи!$E:$E,'ПП Ноември'!$C$63,разходи!$M:$M,'ПП Ноември'!T2)</f>
        <v>0</v>
      </c>
      <c r="U63" s="76">
        <f>SUMIFS(разходи!$L:$L,разходи!$E:$E,'ПП Ноември'!$C$63,разходи!$M:$M,'ПП Ноември'!U2)</f>
        <v>0</v>
      </c>
      <c r="V63" s="74">
        <f>SUMIFS(разходи!$L:$L,разходи!$E:$E,'ПП Ноември'!$C$63,разходи!$M:$M,'ПП Ноември'!V2)</f>
        <v>0</v>
      </c>
      <c r="W63" s="74">
        <f>SUMIFS(разходи!$L:$L,разходи!$E:$E,'ПП Ноември'!$C$63,разходи!$M:$M,'ПП Ноември'!W2)</f>
        <v>0</v>
      </c>
      <c r="X63" s="74">
        <f>SUMIFS(разходи!$L:$L,разходи!$E:$E,'ПП Ноември'!$C$63,разходи!$M:$M,'ПП Ноември'!X2)</f>
        <v>0</v>
      </c>
      <c r="Y63" s="74">
        <f>SUMIFS(разходи!$L:$L,разходи!$E:$E,'ПП Ноември'!$C$63,разходи!$M:$M,'ПП Ноември'!Y2)</f>
        <v>0</v>
      </c>
      <c r="Z63" s="74">
        <f>SUMIFS(разходи!$L:$L,разходи!$E:$E,'ПП Ноември'!$C$63,разходи!$M:$M,'ПП Ноември'!Z2)</f>
        <v>0</v>
      </c>
      <c r="AA63" s="76">
        <f>SUMIFS(разходи!$L:$L,разходи!$E:$E,'ПП Ноември'!$C$63,разходи!$M:$M,'ПП Ноември'!AA2)</f>
        <v>0</v>
      </c>
      <c r="AB63" s="76">
        <f>SUMIFS(разходи!$L:$L,разходи!$E:$E,'ПП Ноември'!$C$63,разходи!$M:$M,'ПП Ноември'!AB2)</f>
        <v>0</v>
      </c>
      <c r="AC63" s="74">
        <f>SUMIFS(разходи!$L:$L,разходи!$E:$E,'ПП Ноември'!$C$63,разходи!$M:$M,'ПП Ноември'!AC2)</f>
        <v>0</v>
      </c>
      <c r="AD63" s="74">
        <f>SUMIFS(разходи!$L:$L,разходи!$E:$E,'ПП Ноември'!$C$63,разходи!$M:$M,'ПП Ноември'!AD2)</f>
        <v>0</v>
      </c>
      <c r="AE63" s="74">
        <f>SUMIFS(разходи!$L:$L,разходи!$E:$E,'ПП Ноември'!$C$63,разходи!$M:$M,'ПП Ноември'!AE2)</f>
        <v>0</v>
      </c>
      <c r="AF63" s="74">
        <f>SUMIFS(разходи!$L:$L,разходи!$E:$E,'ПП Ноември'!$C$63,разходи!$M:$M,'ПП Ноември'!AF2)</f>
        <v>0</v>
      </c>
      <c r="AG63" s="74">
        <f>SUMIFS(разходи!$L:$L,разходи!$E:$E,'ПП Ноември'!$C$63,разходи!$M:$M,'ПП Ноември'!AG2)</f>
        <v>0</v>
      </c>
      <c r="AH63" s="76">
        <f>SUMIFS(разходи!$L:$L,разходи!$E:$E,'ПП Ноември'!$C$63,разходи!$M:$M,'ПП Ноември'!AH2)</f>
        <v>0</v>
      </c>
      <c r="AI63" s="61">
        <f t="shared" si="16"/>
        <v>0</v>
      </c>
      <c r="AJ63" s="69">
        <f t="shared" si="17"/>
        <v>0</v>
      </c>
    </row>
    <row r="64" spans="1:36" s="39" customFormat="1" ht="20.100000000000001" customHeight="1" outlineLevel="2" x14ac:dyDescent="0.3">
      <c r="A64" s="37"/>
      <c r="B64" s="38"/>
      <c r="C64" s="50" t="s">
        <v>623</v>
      </c>
      <c r="D64" s="80"/>
      <c r="E64" s="74">
        <f>SUMIFS(разходи!$L:$L,разходи!$E:$E,'ПП Ноември'!$C$64,разходи!$M:$M,'ПП Ноември'!E2)</f>
        <v>0</v>
      </c>
      <c r="F64" s="76">
        <f>SUMIFS(разходи!$L:$L,разходи!$E:$E,'ПП Ноември'!$C$64,разходи!$M:$M,'ПП Ноември'!F2)</f>
        <v>0</v>
      </c>
      <c r="G64" s="76">
        <f>SUMIFS(разходи!$L:$L,разходи!$E:$E,'ПП Ноември'!$C$64,разходи!$M:$M,'ПП Ноември'!G2)</f>
        <v>0</v>
      </c>
      <c r="H64" s="74">
        <f>SUMIFS(разходи!$L:$L,разходи!$E:$E,'ПП Ноември'!$C$64,разходи!$M:$M,'ПП Ноември'!H2)</f>
        <v>0</v>
      </c>
      <c r="I64" s="74">
        <f>SUMIFS(разходи!$L:$L,разходи!$E:$E,'ПП Ноември'!$C$64,разходи!$M:$M,'ПП Ноември'!I2)</f>
        <v>0</v>
      </c>
      <c r="J64" s="74">
        <f>SUMIFS(разходи!$L:$L,разходи!$E:$E,'ПП Ноември'!$C$64,разходи!$M:$M,'ПП Ноември'!J2)</f>
        <v>0</v>
      </c>
      <c r="K64" s="74">
        <f>SUMIFS(разходи!$L:$L,разходи!$E:$E,'ПП Ноември'!$C$64,разходи!$M:$M,'ПП Ноември'!K2)</f>
        <v>0</v>
      </c>
      <c r="L64" s="74">
        <f>SUMIFS(разходи!$L:$L,разходи!$E:$E,'ПП Ноември'!$C$64,разходи!$M:$M,'ПП Ноември'!L2)</f>
        <v>0</v>
      </c>
      <c r="M64" s="76">
        <f>SUMIFS(разходи!$L:$L,разходи!$E:$E,'ПП Ноември'!$C$64,разходи!$M:$M,'ПП Ноември'!M2)</f>
        <v>0</v>
      </c>
      <c r="N64" s="76">
        <f>SUMIFS(разходи!$L:$L,разходи!$E:$E,'ПП Ноември'!$C$64,разходи!$M:$M,'ПП Ноември'!N2)</f>
        <v>0</v>
      </c>
      <c r="O64" s="74">
        <f>SUMIFS(разходи!$L:$L,разходи!$E:$E,'ПП Ноември'!$C$64,разходи!$M:$M,'ПП Ноември'!O2)</f>
        <v>0</v>
      </c>
      <c r="P64" s="74">
        <f>SUMIFS(разходи!$L:$L,разходи!$E:$E,'ПП Ноември'!$C$64,разходи!$M:$M,'ПП Ноември'!P2)</f>
        <v>0</v>
      </c>
      <c r="Q64" s="74">
        <f>SUMIFS(разходи!$L:$L,разходи!$E:$E,'ПП Ноември'!$C$64,разходи!$M:$M,'ПП Ноември'!Q2)</f>
        <v>0</v>
      </c>
      <c r="R64" s="74">
        <f>SUMIFS(разходи!$L:$L,разходи!$E:$E,'ПП Ноември'!$C$64,разходи!$M:$M,'ПП Ноември'!R2)</f>
        <v>0</v>
      </c>
      <c r="S64" s="74">
        <f>SUMIFS(разходи!$L:$L,разходи!$E:$E,'ПП Ноември'!$C$64,разходи!$M:$M,'ПП Ноември'!S2)</f>
        <v>0</v>
      </c>
      <c r="T64" s="76">
        <f>SUMIFS(разходи!$L:$L,разходи!$E:$E,'ПП Ноември'!$C$64,разходи!$M:$M,'ПП Ноември'!T2)</f>
        <v>0</v>
      </c>
      <c r="U64" s="76">
        <f>SUMIFS(разходи!$L:$L,разходи!$E:$E,'ПП Ноември'!$C$64,разходи!$M:$M,'ПП Ноември'!U2)</f>
        <v>0</v>
      </c>
      <c r="V64" s="74">
        <f>SUMIFS(разходи!$L:$L,разходи!$E:$E,'ПП Ноември'!$C$64,разходи!$M:$M,'ПП Ноември'!V2)</f>
        <v>0</v>
      </c>
      <c r="W64" s="74">
        <f>SUMIFS(разходи!$L:$L,разходи!$E:$E,'ПП Ноември'!$C$64,разходи!$M:$M,'ПП Ноември'!W2)</f>
        <v>0</v>
      </c>
      <c r="X64" s="74">
        <f>SUMIFS(разходи!$L:$L,разходи!$E:$E,'ПП Ноември'!$C$64,разходи!$M:$M,'ПП Ноември'!X2)</f>
        <v>0</v>
      </c>
      <c r="Y64" s="74">
        <f>SUMIFS(разходи!$L:$L,разходи!$E:$E,'ПП Ноември'!$C$64,разходи!$M:$M,'ПП Ноември'!Y2)</f>
        <v>0</v>
      </c>
      <c r="Z64" s="74">
        <f>SUMIFS(разходи!$L:$L,разходи!$E:$E,'ПП Ноември'!$C$64,разходи!$M:$M,'ПП Ноември'!Z2)</f>
        <v>0</v>
      </c>
      <c r="AA64" s="76">
        <f>SUMIFS(разходи!$L:$L,разходи!$E:$E,'ПП Ноември'!$C$64,разходи!$M:$M,'ПП Ноември'!AA2)</f>
        <v>0</v>
      </c>
      <c r="AB64" s="76">
        <f>SUMIFS(разходи!$L:$L,разходи!$E:$E,'ПП Ноември'!$C$64,разходи!$M:$M,'ПП Ноември'!AB2)</f>
        <v>0</v>
      </c>
      <c r="AC64" s="74">
        <f>SUMIFS(разходи!$L:$L,разходи!$E:$E,'ПП Ноември'!$C$64,разходи!$M:$M,'ПП Ноември'!AC2)</f>
        <v>0</v>
      </c>
      <c r="AD64" s="74">
        <f>SUMIFS(разходи!$L:$L,разходи!$E:$E,'ПП Ноември'!$C$64,разходи!$M:$M,'ПП Ноември'!AD2)</f>
        <v>0</v>
      </c>
      <c r="AE64" s="74">
        <f>SUMIFS(разходи!$L:$L,разходи!$E:$E,'ПП Ноември'!$C$64,разходи!$M:$M,'ПП Ноември'!AE2)</f>
        <v>0</v>
      </c>
      <c r="AF64" s="74">
        <f>SUMIFS(разходи!$L:$L,разходи!$E:$E,'ПП Ноември'!$C$64,разходи!$M:$M,'ПП Ноември'!AF2)</f>
        <v>0</v>
      </c>
      <c r="AG64" s="74">
        <f>SUMIFS(разходи!$L:$L,разходи!$E:$E,'ПП Ноември'!$C$64,разходи!$M:$M,'ПП Ноември'!AG2)</f>
        <v>0</v>
      </c>
      <c r="AH64" s="76">
        <f>SUMIFS(разходи!$L:$L,разходи!$E:$E,'ПП Ноември'!$C$64,разходи!$M:$M,'ПП Ноември'!AH2)</f>
        <v>0</v>
      </c>
      <c r="AI64" s="61">
        <f t="shared" si="16"/>
        <v>0</v>
      </c>
      <c r="AJ64" s="69">
        <f t="shared" si="17"/>
        <v>0</v>
      </c>
    </row>
    <row r="65" spans="1:36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Ноември'!$C$65,разходи!$M:$M,'ПП Ноември'!E2)</f>
        <v>0</v>
      </c>
      <c r="F65" s="76">
        <f>SUMIFS(разходи!$L:$L,разходи!$E:$E,'ПП Ноември'!$C$65,разходи!$M:$M,'ПП Ноември'!F2)</f>
        <v>0</v>
      </c>
      <c r="G65" s="76">
        <f>SUMIFS(разходи!$L:$L,разходи!$E:$E,'ПП Ноември'!$C$65,разходи!$M:$M,'ПП Ноември'!G2)</f>
        <v>0</v>
      </c>
      <c r="H65" s="74">
        <f>SUMIFS(разходи!$L:$L,разходи!$E:$E,'ПП Ноември'!$C$65,разходи!$M:$M,'ПП Ноември'!H2)</f>
        <v>0</v>
      </c>
      <c r="I65" s="74">
        <f>SUMIFS(разходи!$L:$L,разходи!$E:$E,'ПП Ноември'!$C$65,разходи!$M:$M,'ПП Ноември'!I2)</f>
        <v>0</v>
      </c>
      <c r="J65" s="74">
        <f>SUMIFS(разходи!$L:$L,разходи!$E:$E,'ПП Ноември'!$C$65,разходи!$M:$M,'ПП Ноември'!J2)</f>
        <v>0</v>
      </c>
      <c r="K65" s="74">
        <f>SUMIFS(разходи!$L:$L,разходи!$E:$E,'ПП Ноември'!$C$65,разходи!$M:$M,'ПП Ноември'!K2)</f>
        <v>0</v>
      </c>
      <c r="L65" s="74">
        <f>SUMIFS(разходи!$L:$L,разходи!$E:$E,'ПП Ноември'!$C$65,разходи!$M:$M,'ПП Ноември'!L2)</f>
        <v>0</v>
      </c>
      <c r="M65" s="76">
        <f>SUMIFS(разходи!$L:$L,разходи!$E:$E,'ПП Ноември'!$C$65,разходи!$M:$M,'ПП Ноември'!M2)</f>
        <v>0</v>
      </c>
      <c r="N65" s="76">
        <f>SUMIFS(разходи!$L:$L,разходи!$E:$E,'ПП Ноември'!$C$65,разходи!$M:$M,'ПП Ноември'!N2)</f>
        <v>0</v>
      </c>
      <c r="O65" s="74">
        <f>SUMIFS(разходи!$L:$L,разходи!$E:$E,'ПП Ноември'!$C$65,разходи!$M:$M,'ПП Ноември'!O2)</f>
        <v>0</v>
      </c>
      <c r="P65" s="74">
        <f>SUMIFS(разходи!$L:$L,разходи!$E:$E,'ПП Ноември'!$C$65,разходи!$M:$M,'ПП Ноември'!P2)</f>
        <v>0</v>
      </c>
      <c r="Q65" s="74">
        <f>SUMIFS(разходи!$L:$L,разходи!$E:$E,'ПП Ноември'!$C$65,разходи!$M:$M,'ПП Ноември'!Q2)</f>
        <v>0</v>
      </c>
      <c r="R65" s="74">
        <f>SUMIFS(разходи!$L:$L,разходи!$E:$E,'ПП Ноември'!$C$65,разходи!$M:$M,'ПП Ноември'!R2)</f>
        <v>0</v>
      </c>
      <c r="S65" s="74">
        <f>SUMIFS(разходи!$L:$L,разходи!$E:$E,'ПП Ноември'!$C$65,разходи!$M:$M,'ПП Ноември'!S2)</f>
        <v>0</v>
      </c>
      <c r="T65" s="76">
        <f>SUMIFS(разходи!$L:$L,разходи!$E:$E,'ПП Ноември'!$C$65,разходи!$M:$M,'ПП Ноември'!T2)</f>
        <v>0</v>
      </c>
      <c r="U65" s="76">
        <f>SUMIFS(разходи!$L:$L,разходи!$E:$E,'ПП Ноември'!$C$65,разходи!$M:$M,'ПП Ноември'!U2)</f>
        <v>0</v>
      </c>
      <c r="V65" s="74">
        <f>SUMIFS(разходи!$L:$L,разходи!$E:$E,'ПП Ноември'!$C$65,разходи!$M:$M,'ПП Ноември'!V2)</f>
        <v>0</v>
      </c>
      <c r="W65" s="74">
        <f>SUMIFS(разходи!$L:$L,разходи!$E:$E,'ПП Ноември'!$C$65,разходи!$M:$M,'ПП Ноември'!W2)</f>
        <v>0</v>
      </c>
      <c r="X65" s="74">
        <f>SUMIFS(разходи!$L:$L,разходи!$E:$E,'ПП Ноември'!$C$65,разходи!$M:$M,'ПП Ноември'!X2)</f>
        <v>0</v>
      </c>
      <c r="Y65" s="74">
        <f>SUMIFS(разходи!$L:$L,разходи!$E:$E,'ПП Ноември'!$C$65,разходи!$M:$M,'ПП Ноември'!Y2)</f>
        <v>0</v>
      </c>
      <c r="Z65" s="74">
        <f>SUMIFS(разходи!$L:$L,разходи!$E:$E,'ПП Ноември'!$C$65,разходи!$M:$M,'ПП Ноември'!Z2)</f>
        <v>0</v>
      </c>
      <c r="AA65" s="76">
        <f>SUMIFS(разходи!$L:$L,разходи!$E:$E,'ПП Ноември'!$C$65,разходи!$M:$M,'ПП Ноември'!AA2)</f>
        <v>0</v>
      </c>
      <c r="AB65" s="76">
        <f>SUMIFS(разходи!$L:$L,разходи!$E:$E,'ПП Ноември'!$C$65,разходи!$M:$M,'ПП Ноември'!AB2)</f>
        <v>0</v>
      </c>
      <c r="AC65" s="74">
        <f>SUMIFS(разходи!$L:$L,разходи!$E:$E,'ПП Ноември'!$C$65,разходи!$M:$M,'ПП Ноември'!AC2)</f>
        <v>0</v>
      </c>
      <c r="AD65" s="74">
        <f>SUMIFS(разходи!$L:$L,разходи!$E:$E,'ПП Ноември'!$C$65,разходи!$M:$M,'ПП Ноември'!AD2)</f>
        <v>0</v>
      </c>
      <c r="AE65" s="74">
        <f>SUMIFS(разходи!$L:$L,разходи!$E:$E,'ПП Ноември'!$C$65,разходи!$M:$M,'ПП Ноември'!AE2)</f>
        <v>0</v>
      </c>
      <c r="AF65" s="74">
        <f>SUMIFS(разходи!$L:$L,разходи!$E:$E,'ПП Ноември'!$C$65,разходи!$M:$M,'ПП Ноември'!AF2)</f>
        <v>0</v>
      </c>
      <c r="AG65" s="74">
        <f>SUMIFS(разходи!$L:$L,разходи!$E:$E,'ПП Ноември'!$C$65,разходи!$M:$M,'ПП Ноември'!AG2)</f>
        <v>0</v>
      </c>
      <c r="AH65" s="76">
        <f>SUMIFS(разходи!$L:$L,разходи!$E:$E,'ПП Ноември'!$C$65,разходи!$M:$M,'ПП Ноември'!AH2)</f>
        <v>0</v>
      </c>
      <c r="AI65" s="61">
        <f t="shared" si="16"/>
        <v>0</v>
      </c>
      <c r="AJ65" s="69">
        <f t="shared" si="17"/>
        <v>0</v>
      </c>
    </row>
    <row r="66" spans="1:3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H66" si="24">D3-D23</f>
        <v>0</v>
      </c>
      <c r="E66" s="54">
        <f t="shared" si="24"/>
        <v>0</v>
      </c>
      <c r="F66" s="54">
        <f t="shared" si="24"/>
        <v>0</v>
      </c>
      <c r="G66" s="54">
        <f t="shared" si="24"/>
        <v>0</v>
      </c>
      <c r="H66" s="54">
        <f t="shared" si="24"/>
        <v>0</v>
      </c>
      <c r="I66" s="54">
        <f t="shared" si="24"/>
        <v>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0</v>
      </c>
      <c r="N66" s="54">
        <f t="shared" si="24"/>
        <v>0</v>
      </c>
      <c r="O66" s="54">
        <f t="shared" si="24"/>
        <v>0</v>
      </c>
      <c r="P66" s="54">
        <f t="shared" si="24"/>
        <v>0</v>
      </c>
      <c r="Q66" s="54">
        <f t="shared" si="24"/>
        <v>0</v>
      </c>
      <c r="R66" s="54">
        <f t="shared" si="24"/>
        <v>0</v>
      </c>
      <c r="S66" s="54">
        <f t="shared" si="24"/>
        <v>0</v>
      </c>
      <c r="T66" s="54">
        <f t="shared" si="24"/>
        <v>0</v>
      </c>
      <c r="U66" s="54">
        <f t="shared" si="24"/>
        <v>0</v>
      </c>
      <c r="V66" s="54">
        <f t="shared" si="24"/>
        <v>0</v>
      </c>
      <c r="W66" s="54">
        <f t="shared" si="24"/>
        <v>0</v>
      </c>
      <c r="X66" s="54">
        <f t="shared" si="24"/>
        <v>0</v>
      </c>
      <c r="Y66" s="54">
        <f t="shared" si="24"/>
        <v>0</v>
      </c>
      <c r="Z66" s="54">
        <f t="shared" si="24"/>
        <v>0</v>
      </c>
      <c r="AA66" s="54">
        <f t="shared" si="24"/>
        <v>0</v>
      </c>
      <c r="AB66" s="54">
        <f t="shared" si="24"/>
        <v>0</v>
      </c>
      <c r="AC66" s="54">
        <f t="shared" si="24"/>
        <v>0</v>
      </c>
      <c r="AD66" s="54">
        <f t="shared" si="24"/>
        <v>0</v>
      </c>
      <c r="AE66" s="54">
        <f t="shared" si="24"/>
        <v>0</v>
      </c>
      <c r="AF66" s="54">
        <f t="shared" si="24"/>
        <v>0</v>
      </c>
      <c r="AG66" s="54">
        <f t="shared" si="24"/>
        <v>0</v>
      </c>
      <c r="AH66" s="54">
        <f t="shared" si="24"/>
        <v>0</v>
      </c>
      <c r="AI66" s="54">
        <f t="shared" si="16"/>
        <v>0</v>
      </c>
      <c r="AJ66" s="54">
        <f t="shared" si="17"/>
        <v>0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0F3D-3424-4ADC-9441-1AEA97D994A5}">
  <sheetPr>
    <tabColor theme="7" tint="0.79998168889431442"/>
  </sheetPr>
  <dimension ref="A1:AK67"/>
  <sheetViews>
    <sheetView zoomScale="60" zoomScaleNormal="60" workbookViewId="0">
      <pane xSplit="3" ySplit="2" topLeftCell="U3" activePane="bottomRight" state="frozen"/>
      <selection pane="topRight" activeCell="D34" sqref="D34"/>
      <selection pane="bottomLeft" activeCell="D34" sqref="D34"/>
      <selection pane="bottomRight" activeCell="F28" sqref="F28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3">
        <v>45627</v>
      </c>
      <c r="F2" s="81">
        <f>+E2+1</f>
        <v>45628</v>
      </c>
      <c r="G2" s="81">
        <f t="shared" ref="G2:AI2" si="0">+F2+1</f>
        <v>45629</v>
      </c>
      <c r="H2" s="81">
        <f t="shared" si="0"/>
        <v>45630</v>
      </c>
      <c r="I2" s="81">
        <f t="shared" si="0"/>
        <v>45631</v>
      </c>
      <c r="J2" s="81">
        <f t="shared" si="0"/>
        <v>45632</v>
      </c>
      <c r="K2" s="83">
        <f t="shared" si="0"/>
        <v>45633</v>
      </c>
      <c r="L2" s="83">
        <f t="shared" si="0"/>
        <v>45634</v>
      </c>
      <c r="M2" s="81">
        <f t="shared" si="0"/>
        <v>45635</v>
      </c>
      <c r="N2" s="81">
        <f t="shared" si="0"/>
        <v>45636</v>
      </c>
      <c r="O2" s="81">
        <f>+N2+1</f>
        <v>45637</v>
      </c>
      <c r="P2" s="81">
        <f t="shared" si="0"/>
        <v>45638</v>
      </c>
      <c r="Q2" s="82">
        <f t="shared" si="0"/>
        <v>45639</v>
      </c>
      <c r="R2" s="85">
        <f t="shared" si="0"/>
        <v>45640</v>
      </c>
      <c r="S2" s="83">
        <f t="shared" si="0"/>
        <v>45641</v>
      </c>
      <c r="T2" s="81">
        <f t="shared" si="0"/>
        <v>45642</v>
      </c>
      <c r="U2" s="81">
        <f t="shared" si="0"/>
        <v>45643</v>
      </c>
      <c r="V2" s="81">
        <f t="shared" si="0"/>
        <v>45644</v>
      </c>
      <c r="W2" s="81">
        <f t="shared" si="0"/>
        <v>45645</v>
      </c>
      <c r="X2" s="81">
        <f t="shared" si="0"/>
        <v>45646</v>
      </c>
      <c r="Y2" s="83">
        <f t="shared" si="0"/>
        <v>45647</v>
      </c>
      <c r="Z2" s="83">
        <f t="shared" si="0"/>
        <v>45648</v>
      </c>
      <c r="AA2" s="81">
        <f t="shared" si="0"/>
        <v>45649</v>
      </c>
      <c r="AB2" s="83">
        <f t="shared" si="0"/>
        <v>45650</v>
      </c>
      <c r="AC2" s="83">
        <f t="shared" si="0"/>
        <v>45651</v>
      </c>
      <c r="AD2" s="83">
        <f t="shared" si="0"/>
        <v>45652</v>
      </c>
      <c r="AE2" s="81">
        <f t="shared" si="0"/>
        <v>45653</v>
      </c>
      <c r="AF2" s="83">
        <f t="shared" si="0"/>
        <v>45654</v>
      </c>
      <c r="AG2" s="83">
        <f t="shared" si="0"/>
        <v>45655</v>
      </c>
      <c r="AH2" s="81">
        <f t="shared" si="0"/>
        <v>45656</v>
      </c>
      <c r="AI2" s="81">
        <f t="shared" si="0"/>
        <v>45657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0</v>
      </c>
      <c r="AK3" s="54">
        <f t="shared" ref="AK3:AK66" si="3">+D3-AJ3</f>
        <v>0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7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I4" si="5">SUM(I5,I9,I10)</f>
        <v>0</v>
      </c>
      <c r="J4" s="73">
        <f t="shared" si="5"/>
        <v>0</v>
      </c>
      <c r="K4" s="77">
        <f t="shared" si="5"/>
        <v>0</v>
      </c>
      <c r="L4" s="77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7">
        <f t="shared" si="5"/>
        <v>0</v>
      </c>
      <c r="S4" s="77">
        <f t="shared" si="5"/>
        <v>0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7">
        <f t="shared" si="5"/>
        <v>0</v>
      </c>
      <c r="Z4" s="77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7">
        <f t="shared" si="5"/>
        <v>0</v>
      </c>
      <c r="AE4" s="73">
        <f t="shared" si="5"/>
        <v>0</v>
      </c>
      <c r="AF4" s="77">
        <f t="shared" si="5"/>
        <v>0</v>
      </c>
      <c r="AG4" s="77">
        <f t="shared" si="5"/>
        <v>0</v>
      </c>
      <c r="AH4" s="73">
        <f t="shared" si="5"/>
        <v>0</v>
      </c>
      <c r="AI4" s="73">
        <f t="shared" si="5"/>
        <v>0</v>
      </c>
      <c r="AJ4" s="57">
        <f t="shared" si="2"/>
        <v>0</v>
      </c>
      <c r="AK4" s="58">
        <f t="shared" si="3"/>
        <v>0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6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I5" si="7">SUM(I6:I8)</f>
        <v>0</v>
      </c>
      <c r="J5" s="74">
        <f t="shared" si="7"/>
        <v>0</v>
      </c>
      <c r="K5" s="76">
        <f t="shared" si="7"/>
        <v>0</v>
      </c>
      <c r="L5" s="76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6">
        <f t="shared" si="7"/>
        <v>0</v>
      </c>
      <c r="S5" s="76">
        <f t="shared" si="7"/>
        <v>0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6">
        <f t="shared" si="7"/>
        <v>0</v>
      </c>
      <c r="Z5" s="76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6">
        <f t="shared" si="7"/>
        <v>0</v>
      </c>
      <c r="AE5" s="74">
        <f t="shared" si="7"/>
        <v>0</v>
      </c>
      <c r="AF5" s="76">
        <f t="shared" si="7"/>
        <v>0</v>
      </c>
      <c r="AG5" s="76">
        <f t="shared" si="7"/>
        <v>0</v>
      </c>
      <c r="AH5" s="74">
        <f t="shared" si="7"/>
        <v>0</v>
      </c>
      <c r="AI5" s="74">
        <f t="shared" si="7"/>
        <v>0</v>
      </c>
      <c r="AJ5" s="61">
        <f t="shared" si="2"/>
        <v>0</v>
      </c>
      <c r="AK5" s="62">
        <f t="shared" si="3"/>
        <v>0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8"/>
      <c r="F6" s="75"/>
      <c r="G6" s="75"/>
      <c r="H6" s="75"/>
      <c r="I6" s="75"/>
      <c r="J6" s="75"/>
      <c r="K6" s="78"/>
      <c r="L6" s="78"/>
      <c r="M6" s="75"/>
      <c r="N6" s="75"/>
      <c r="O6" s="75"/>
      <c r="P6" s="75"/>
      <c r="Q6" s="75"/>
      <c r="R6" s="78"/>
      <c r="S6" s="78"/>
      <c r="T6" s="75"/>
      <c r="U6" s="75"/>
      <c r="V6" s="75"/>
      <c r="W6" s="75"/>
      <c r="X6" s="75"/>
      <c r="Y6" s="78"/>
      <c r="Z6" s="78"/>
      <c r="AA6" s="75"/>
      <c r="AB6" s="78"/>
      <c r="AC6" s="78"/>
      <c r="AD6" s="78"/>
      <c r="AE6" s="75"/>
      <c r="AF6" s="78"/>
      <c r="AG6" s="78"/>
      <c r="AH6" s="75"/>
      <c r="AI6" s="75"/>
      <c r="AJ6" s="66">
        <f t="shared" si="2"/>
        <v>0</v>
      </c>
      <c r="AK6" s="67">
        <f t="shared" si="3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6">
        <f>SUMIFS(приходи!$L:$L,приходи!$E:$E,'ПП Декември'!$C$7,приходи!$M:$M,'ПП Декември'!E2)</f>
        <v>0</v>
      </c>
      <c r="F7" s="74">
        <f>SUMIFS(приходи!$L:$L,приходи!$E:$E,'ПП Декември'!$C$7,приходи!$M:$M,'ПП Декември'!F2)</f>
        <v>0</v>
      </c>
      <c r="G7" s="74">
        <f>SUMIFS(приходи!$L:$L,приходи!$E:$E,'ПП Декември'!$C$7,приходи!$M:$M,'ПП Декември'!G2)</f>
        <v>0</v>
      </c>
      <c r="H7" s="74">
        <f>SUMIFS(приходи!$L:$L,приходи!$E:$E,'ПП Декември'!$C$7,приходи!$M:$M,'ПП Декември'!H2)</f>
        <v>0</v>
      </c>
      <c r="I7" s="74">
        <f>SUMIFS(приходи!$L:$L,приходи!$E:$E,'ПП Декември'!$C$7,приходи!$M:$M,'ПП Декември'!I2)</f>
        <v>0</v>
      </c>
      <c r="J7" s="74">
        <f>SUMIFS(приходи!$L:$L,приходи!$E:$E,'ПП Декември'!$C$7,приходи!$M:$M,'ПП Декември'!J2)</f>
        <v>0</v>
      </c>
      <c r="K7" s="76">
        <f>SUMIFS(приходи!$L:$L,приходи!$E:$E,'ПП Декември'!$C$7,приходи!$M:$M,'ПП Декември'!K2)</f>
        <v>0</v>
      </c>
      <c r="L7" s="76">
        <f>SUMIFS(приходи!$L:$L,приходи!$E:$E,'ПП Декември'!$C$7,приходи!$M:$M,'ПП Декември'!L2)</f>
        <v>0</v>
      </c>
      <c r="M7" s="74">
        <f>SUMIFS(приходи!$L:$L,приходи!$E:$E,'ПП Декември'!$C$7,приходи!$M:$M,'ПП Декември'!M2)</f>
        <v>0</v>
      </c>
      <c r="N7" s="74">
        <f>SUMIFS(приходи!$L:$L,приходи!$E:$E,'ПП Декември'!$C$7,приходи!$M:$M,'ПП Декември'!N2)</f>
        <v>0</v>
      </c>
      <c r="O7" s="74">
        <f>SUMIFS(приходи!$L:$L,приходи!$E:$E,'ПП Декември'!$C$7,приходи!$M:$M,'ПП Декември'!O2)</f>
        <v>0</v>
      </c>
      <c r="P7" s="74">
        <f>SUMIFS(приходи!$L:$L,приходи!$E:$E,'ПП Декември'!$C$7,приходи!$M:$M,'ПП Декември'!P2)</f>
        <v>0</v>
      </c>
      <c r="Q7" s="74">
        <f>SUMIFS(приходи!$L:$L,приходи!$E:$E,'ПП Декември'!$C$7,приходи!$M:$M,'ПП Декември'!Q2)</f>
        <v>0</v>
      </c>
      <c r="R7" s="76">
        <f>SUMIFS(приходи!$L:$L,приходи!$E:$E,'ПП Декември'!$C$7,приходи!$M:$M,'ПП Декември'!R2)</f>
        <v>0</v>
      </c>
      <c r="S7" s="76">
        <f>SUMIFS(приходи!$L:$L,приходи!$E:$E,'ПП Декември'!$C$7,приходи!$M:$M,'ПП Декември'!S2)</f>
        <v>0</v>
      </c>
      <c r="T7" s="74">
        <f>SUMIFS(приходи!$L:$L,приходи!$E:$E,'ПП Декември'!$C$7,приходи!$M:$M,'ПП Декември'!T2)</f>
        <v>0</v>
      </c>
      <c r="U7" s="74">
        <f>SUMIFS(приходи!$L:$L,приходи!$E:$E,'ПП Декември'!$C$7,приходи!$M:$M,'ПП Декември'!U2)</f>
        <v>0</v>
      </c>
      <c r="V7" s="74">
        <f>SUMIFS(приходи!$L:$L,приходи!$E:$E,'ПП Декември'!$C$7,приходи!$M:$M,'ПП Декември'!V2)</f>
        <v>0</v>
      </c>
      <c r="W7" s="74">
        <f>SUMIFS(приходи!$L:$L,приходи!$E:$E,'ПП Декември'!$C$7,приходи!$M:$M,'ПП Декември'!W2)</f>
        <v>0</v>
      </c>
      <c r="X7" s="74">
        <f>SUMIFS(приходи!$L:$L,приходи!$E:$E,'ПП Декември'!$C$7,приходи!$M:$M,'ПП Декември'!X2)</f>
        <v>0</v>
      </c>
      <c r="Y7" s="76">
        <f>SUMIFS(приходи!$L:$L,приходи!$E:$E,'ПП Декември'!$C$7,приходи!$M:$M,'ПП Декември'!Y2)</f>
        <v>0</v>
      </c>
      <c r="Z7" s="76">
        <f>SUMIFS(приходи!$L:$L,приходи!$E:$E,'ПП Декември'!$C$7,приходи!$M:$M,'ПП Декември'!Z2)</f>
        <v>0</v>
      </c>
      <c r="AA7" s="74">
        <f>SUMIFS(приходи!$L:$L,приходи!$E:$E,'ПП Декември'!$C$7,приходи!$M:$M,'ПП Декември'!AA2)</f>
        <v>0</v>
      </c>
      <c r="AB7" s="76">
        <f>SUMIFS(приходи!$L:$L,приходи!$E:$E,'ПП Декември'!$C$7,приходи!$M:$M,'ПП Декември'!AB2)</f>
        <v>0</v>
      </c>
      <c r="AC7" s="76">
        <f>SUMIFS(приходи!$L:$L,приходи!$E:$E,'ПП Декември'!$C$7,приходи!$M:$M,'ПП Декември'!AC2)</f>
        <v>0</v>
      </c>
      <c r="AD7" s="76">
        <f>SUMIFS(приходи!$L:$L,приходи!$E:$E,'ПП Декември'!$C$7,приходи!$M:$M,'ПП Декември'!AD2)</f>
        <v>0</v>
      </c>
      <c r="AE7" s="74">
        <f>SUMIFS(приходи!$L:$L,приходи!$E:$E,'ПП Декември'!$C$7,приходи!$M:$M,'ПП Декември'!AE2)</f>
        <v>0</v>
      </c>
      <c r="AF7" s="76">
        <f>SUMIFS(приходи!$L:$L,приходи!$E:$E,'ПП Декември'!$C$7,приходи!$M:$M,'ПП Декември'!AF2)</f>
        <v>0</v>
      </c>
      <c r="AG7" s="76">
        <f>SUMIFS(приходи!$L:$L,приходи!$E:$E,'ПП Декември'!$C$7,приходи!$M:$M,'ПП Декември'!AG2)</f>
        <v>0</v>
      </c>
      <c r="AH7" s="74">
        <f>SUMIFS(приходи!$L:$L,приходи!$E:$E,'ПП Декември'!$C$7,приходи!$M:$M,'ПП Декември'!AH2)</f>
        <v>0</v>
      </c>
      <c r="AI7" s="74">
        <f>SUMIFS(приходи!$L:$L,приходи!$E:$E,'ПП Декември'!$C$7,приходи!$M:$M,'ПП Декември'!AI2)</f>
        <v>0</v>
      </c>
      <c r="AJ7" s="61">
        <f t="shared" si="2"/>
        <v>0</v>
      </c>
      <c r="AK7" s="69">
        <f t="shared" si="3"/>
        <v>0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6">
        <f>SUMIFS(приходи!$L:$L,приходи!$E:$E,'ПП Декември'!$C$8,приходи!$M:$M,'ПП Декември'!E2)</f>
        <v>0</v>
      </c>
      <c r="F8" s="74">
        <f>SUMIFS(приходи!$L:$L,приходи!$E:$E,'ПП Декември'!$C$8,приходи!$M:$M,'ПП Декември'!F2)</f>
        <v>0</v>
      </c>
      <c r="G8" s="74">
        <f>SUMIFS(приходи!$L:$L,приходи!$E:$E,'ПП Декември'!$C$8,приходи!$M:$M,'ПП Декември'!G2)</f>
        <v>0</v>
      </c>
      <c r="H8" s="74">
        <f>SUMIFS(приходи!$L:$L,приходи!$E:$E,'ПП Декември'!$C$8,приходи!$M:$M,'ПП Декември'!H2)</f>
        <v>0</v>
      </c>
      <c r="I8" s="74">
        <f>SUMIFS(приходи!$L:$L,приходи!$E:$E,'ПП Декември'!$C$8,приходи!$M:$M,'ПП Декември'!I2)</f>
        <v>0</v>
      </c>
      <c r="J8" s="74">
        <f>SUMIFS(приходи!$L:$L,приходи!$E:$E,'ПП Декември'!$C$8,приходи!$M:$M,'ПП Декември'!J2)</f>
        <v>0</v>
      </c>
      <c r="K8" s="76">
        <f>SUMIFS(приходи!$L:$L,приходи!$E:$E,'ПП Декември'!$C$8,приходи!$M:$M,'ПП Декември'!K2)</f>
        <v>0</v>
      </c>
      <c r="L8" s="76">
        <f>SUMIFS(приходи!$L:$L,приходи!$E:$E,'ПП Декември'!$C$8,приходи!$M:$M,'ПП Декември'!L2)</f>
        <v>0</v>
      </c>
      <c r="M8" s="74">
        <f>SUMIFS(приходи!$L:$L,приходи!$E:$E,'ПП Декември'!$C$8,приходи!$M:$M,'ПП Декември'!M2)</f>
        <v>0</v>
      </c>
      <c r="N8" s="74">
        <f>SUMIFS(приходи!$L:$L,приходи!$E:$E,'ПП Декември'!$C$8,приходи!$M:$M,'ПП Декември'!N2)</f>
        <v>0</v>
      </c>
      <c r="O8" s="74">
        <f>SUMIFS(приходи!$L:$L,приходи!$E:$E,'ПП Декември'!$C$8,приходи!$M:$M,'ПП Декември'!O2)</f>
        <v>0</v>
      </c>
      <c r="P8" s="74">
        <f>SUMIFS(приходи!$L:$L,приходи!$E:$E,'ПП Декември'!$C$8,приходи!$M:$M,'ПП Декември'!P2)</f>
        <v>0</v>
      </c>
      <c r="Q8" s="74">
        <f>SUMIFS(приходи!$L:$L,приходи!$E:$E,'ПП Декември'!$C$8,приходи!$M:$M,'ПП Декември'!Q2)</f>
        <v>0</v>
      </c>
      <c r="R8" s="76">
        <f>SUMIFS(приходи!$L:$L,приходи!$E:$E,'ПП Декември'!$C$8,приходи!$M:$M,'ПП Декември'!R2)</f>
        <v>0</v>
      </c>
      <c r="S8" s="76">
        <f>SUMIFS(приходи!$L:$L,приходи!$E:$E,'ПП Декември'!$C$8,приходи!$M:$M,'ПП Декември'!S2)</f>
        <v>0</v>
      </c>
      <c r="T8" s="74">
        <f>SUMIFS(приходи!$L:$L,приходи!$E:$E,'ПП Декември'!$C$8,приходи!$M:$M,'ПП Декември'!T2)</f>
        <v>0</v>
      </c>
      <c r="U8" s="74">
        <f>SUMIFS(приходи!$L:$L,приходи!$E:$E,'ПП Декември'!$C$8,приходи!$M:$M,'ПП Декември'!U2)</f>
        <v>0</v>
      </c>
      <c r="V8" s="74">
        <f>SUMIFS(приходи!$L:$L,приходи!$E:$E,'ПП Декември'!$C$8,приходи!$M:$M,'ПП Декември'!V2)</f>
        <v>0</v>
      </c>
      <c r="W8" s="74">
        <f>SUMIFS(приходи!$L:$L,приходи!$E:$E,'ПП Декември'!$C$8,приходи!$M:$M,'ПП Декември'!W2)</f>
        <v>0</v>
      </c>
      <c r="X8" s="74">
        <f>SUMIFS(приходи!$L:$L,приходи!$E:$E,'ПП Декември'!$C$8,приходи!$M:$M,'ПП Декември'!X2)</f>
        <v>0</v>
      </c>
      <c r="Y8" s="76">
        <f>SUMIFS(приходи!$L:$L,приходи!$E:$E,'ПП Декември'!$C$8,приходи!$M:$M,'ПП Декември'!Y2)</f>
        <v>0</v>
      </c>
      <c r="Z8" s="76">
        <f>SUMIFS(приходи!$L:$L,приходи!$E:$E,'ПП Декември'!$C$8,приходи!$M:$M,'ПП Декември'!Z2)</f>
        <v>0</v>
      </c>
      <c r="AA8" s="74">
        <f>SUMIFS(приходи!$L:$L,приходи!$E:$E,'ПП Декември'!$C$8,приходи!$M:$M,'ПП Декември'!AA2)</f>
        <v>0</v>
      </c>
      <c r="AB8" s="76">
        <f>SUMIFS(приходи!$L:$L,приходи!$E:$E,'ПП Декември'!$C$8,приходи!$M:$M,'ПП Декември'!AB2)</f>
        <v>0</v>
      </c>
      <c r="AC8" s="76">
        <f>SUMIFS(приходи!$L:$L,приходи!$E:$E,'ПП Декември'!$C$8,приходи!$M:$M,'ПП Декември'!AC2)</f>
        <v>0</v>
      </c>
      <c r="AD8" s="76">
        <f>SUMIFS(приходи!$L:$L,приходи!$E:$E,'ПП Декември'!$C$8,приходи!$M:$M,'ПП Декември'!AD2)</f>
        <v>0</v>
      </c>
      <c r="AE8" s="74">
        <f>SUMIFS(приходи!$L:$L,приходи!$E:$E,'ПП Декември'!$C$8,приходи!$M:$M,'ПП Декември'!AE2)</f>
        <v>0</v>
      </c>
      <c r="AF8" s="76">
        <f>SUMIFS(приходи!$L:$L,приходи!$E:$E,'ПП Декември'!$C$8,приходи!$M:$M,'ПП Декември'!AF2)</f>
        <v>0</v>
      </c>
      <c r="AG8" s="76">
        <f>SUMIFS(приходи!$L:$L,приходи!$E:$E,'ПП Декември'!$C$8,приходи!$M:$M,'ПП Декември'!AG2)</f>
        <v>0</v>
      </c>
      <c r="AH8" s="74">
        <f>SUMIFS(приходи!$L:$L,приходи!$E:$E,'ПП Декември'!$C$8,приходи!$M:$M,'ПП Декември'!AH2)</f>
        <v>0</v>
      </c>
      <c r="AI8" s="74">
        <f>SUMIFS(приходи!$L:$L,приходи!$E:$E,'ПП Декември'!$C$8,приходи!$M:$M,'ПП Декември'!AI2)</f>
        <v>0</v>
      </c>
      <c r="AJ8" s="61">
        <f t="shared" si="2"/>
        <v>0</v>
      </c>
      <c r="AK8" s="69">
        <f t="shared" si="3"/>
        <v>0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Декември'!$C$9,приходи!$M:$M,'ПП Декември'!E2)</f>
        <v>0</v>
      </c>
      <c r="F9" s="74">
        <f>SUMIFS(приходи!$L:$L,приходи!$E:$E,'ПП Декември'!$C$9,приходи!$M:$M,'ПП Декември'!F2)</f>
        <v>0</v>
      </c>
      <c r="G9" s="74">
        <f>SUMIFS(приходи!$L:$L,приходи!$E:$E,'ПП Декември'!$C$9,приходи!$M:$M,'ПП Декември'!G2)</f>
        <v>0</v>
      </c>
      <c r="H9" s="74">
        <f>SUMIFS(приходи!$L:$L,приходи!$E:$E,'ПП Декември'!$C$9,приходи!$M:$M,'ПП Декември'!H2)</f>
        <v>0</v>
      </c>
      <c r="I9" s="74">
        <f>SUMIFS(приходи!$L:$L,приходи!$E:$E,'ПП Декември'!$C$9,приходи!$M:$M,'ПП Декември'!I2)</f>
        <v>0</v>
      </c>
      <c r="J9" s="74">
        <f>SUMIFS(приходи!$L:$L,приходи!$E:$E,'ПП Декември'!$C$9,приходи!$M:$M,'ПП Декември'!J2)</f>
        <v>0</v>
      </c>
      <c r="K9" s="76">
        <f>SUMIFS(приходи!$L:$L,приходи!$E:$E,'ПП Декември'!$C$9,приходи!$M:$M,'ПП Декември'!K2)</f>
        <v>0</v>
      </c>
      <c r="L9" s="76">
        <f>SUMIFS(приходи!$L:$L,приходи!$E:$E,'ПП Декември'!$C$9,приходи!$M:$M,'ПП Декември'!L2)</f>
        <v>0</v>
      </c>
      <c r="M9" s="74">
        <f>SUMIFS(приходи!$L:$L,приходи!$E:$E,'ПП Декември'!$C$9,приходи!$M:$M,'ПП Декември'!M2)</f>
        <v>0</v>
      </c>
      <c r="N9" s="74">
        <f>SUMIFS(приходи!$L:$L,приходи!$E:$E,'ПП Декември'!$C$9,приходи!$M:$M,'ПП Декември'!N2)</f>
        <v>0</v>
      </c>
      <c r="O9" s="74">
        <f>SUMIFS(приходи!$L:$L,приходи!$E:$E,'ПП Декември'!$C$9,приходи!$M:$M,'ПП Декември'!O2)</f>
        <v>0</v>
      </c>
      <c r="P9" s="74">
        <f>SUMIFS(приходи!$L:$L,приходи!$E:$E,'ПП Декември'!$C$9,приходи!$M:$M,'ПП Декември'!P2)</f>
        <v>0</v>
      </c>
      <c r="Q9" s="74">
        <f>SUMIFS(приходи!$L:$L,приходи!$E:$E,'ПП Декември'!$C$9,приходи!$M:$M,'ПП Декември'!Q2)</f>
        <v>0</v>
      </c>
      <c r="R9" s="76">
        <f>SUMIFS(приходи!$L:$L,приходи!$E:$E,'ПП Декември'!$C$9,приходи!$M:$M,'ПП Декември'!R2)</f>
        <v>0</v>
      </c>
      <c r="S9" s="76">
        <f>SUMIFS(приходи!$L:$L,приходи!$E:$E,'ПП Декември'!$C$9,приходи!$M:$M,'ПП Декември'!S2)</f>
        <v>0</v>
      </c>
      <c r="T9" s="74">
        <f>SUMIFS(приходи!$L:$L,приходи!$E:$E,'ПП Декември'!$C$9,приходи!$M:$M,'ПП Декември'!T2)</f>
        <v>0</v>
      </c>
      <c r="U9" s="74">
        <f>SUMIFS(приходи!$L:$L,приходи!$E:$E,'ПП Декември'!$C$9,приходи!$M:$M,'ПП Декември'!U2)</f>
        <v>0</v>
      </c>
      <c r="V9" s="74">
        <f>SUMIFS(приходи!$L:$L,приходи!$E:$E,'ПП Декември'!$C$9,приходи!$M:$M,'ПП Декември'!V2)</f>
        <v>0</v>
      </c>
      <c r="W9" s="74">
        <f>SUMIFS(приходи!$L:$L,приходи!$E:$E,'ПП Декември'!$C$9,приходи!$M:$M,'ПП Декември'!W2)</f>
        <v>0</v>
      </c>
      <c r="X9" s="74">
        <f>SUMIFS(приходи!$L:$L,приходи!$E:$E,'ПП Декември'!$C$9,приходи!$M:$M,'ПП Декември'!X2)</f>
        <v>0</v>
      </c>
      <c r="Y9" s="76">
        <f>SUMIFS(приходи!$L:$L,приходи!$E:$E,'ПП Декември'!$C$9,приходи!$M:$M,'ПП Декември'!Y2)</f>
        <v>0</v>
      </c>
      <c r="Z9" s="76">
        <f>SUMIFS(приходи!$L:$L,приходи!$E:$E,'ПП Декември'!$C$9,приходи!$M:$M,'ПП Декември'!Z2)</f>
        <v>0</v>
      </c>
      <c r="AA9" s="74">
        <f>SUMIFS(приходи!$L:$L,приходи!$E:$E,'ПП Декември'!$C$9,приходи!$M:$M,'ПП Декември'!AA2)</f>
        <v>0</v>
      </c>
      <c r="AB9" s="76">
        <f>SUMIFS(приходи!$L:$L,приходи!$E:$E,'ПП Декември'!$C$9,приходи!$M:$M,'ПП Декември'!AB2)</f>
        <v>0</v>
      </c>
      <c r="AC9" s="76">
        <f>SUMIFS(приходи!$L:$L,приходи!$E:$E,'ПП Декември'!$C$9,приходи!$M:$M,'ПП Декември'!AC2)</f>
        <v>0</v>
      </c>
      <c r="AD9" s="76">
        <f>SUMIFS(приходи!$L:$L,приходи!$E:$E,'ПП Декември'!$C$9,приходи!$M:$M,'ПП Декември'!AD2)</f>
        <v>0</v>
      </c>
      <c r="AE9" s="74">
        <f>SUMIFS(приходи!$L:$L,приходи!$E:$E,'ПП Декември'!$C$9,приходи!$M:$M,'ПП Декември'!AE2)</f>
        <v>0</v>
      </c>
      <c r="AF9" s="76">
        <f>SUMIFS(приходи!$L:$L,приходи!$E:$E,'ПП Декември'!$C$9,приходи!$M:$M,'ПП Декември'!AF2)</f>
        <v>0</v>
      </c>
      <c r="AG9" s="76">
        <f>SUMIFS(приходи!$L:$L,приходи!$E:$E,'ПП Декември'!$C$9,приходи!$M:$M,'ПП Декември'!AG2)</f>
        <v>0</v>
      </c>
      <c r="AH9" s="74">
        <f>SUMIFS(приходи!$L:$L,приходи!$E:$E,'ПП Декември'!$C$9,приходи!$M:$M,'ПП Декември'!AH2)</f>
        <v>0</v>
      </c>
      <c r="AI9" s="74">
        <f>SUMIFS(приходи!$L:$L,приходи!$E:$E,'ПП Декември'!$C$9,приходи!$M:$M,'ПП Декември'!AI2)</f>
        <v>0</v>
      </c>
      <c r="AJ9" s="61">
        <f t="shared" si="2"/>
        <v>0</v>
      </c>
      <c r="AK9" s="69">
        <f t="shared" si="3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Декември'!$C$10,приходи!$M:$M,'ПП Декември'!E2)</f>
        <v>0</v>
      </c>
      <c r="F10" s="74">
        <f>SUMIFS(приходи!$L:$L,приходи!$E:$E,'ПП Декември'!$C$10,приходи!$M:$M,'ПП Декември'!F2)</f>
        <v>0</v>
      </c>
      <c r="G10" s="74">
        <f>SUMIFS(приходи!$L:$L,приходи!$E:$E,'ПП Декември'!$C$10,приходи!$M:$M,'ПП Декември'!G2)</f>
        <v>0</v>
      </c>
      <c r="H10" s="74">
        <f>SUMIFS(приходи!$L:$L,приходи!$E:$E,'ПП Декември'!$C$10,приходи!$M:$M,'ПП Декември'!H2)</f>
        <v>0</v>
      </c>
      <c r="I10" s="74">
        <f>SUMIFS(приходи!$L:$L,приходи!$E:$E,'ПП Декември'!$C$10,приходи!$M:$M,'ПП Декември'!I2)</f>
        <v>0</v>
      </c>
      <c r="J10" s="74">
        <f>SUMIFS(приходи!$L:$L,приходи!$E:$E,'ПП Декември'!$C$10,приходи!$M:$M,'ПП Декември'!J2)</f>
        <v>0</v>
      </c>
      <c r="K10" s="76">
        <f>SUMIFS(приходи!$L:$L,приходи!$E:$E,'ПП Декември'!$C$10,приходи!$M:$M,'ПП Декември'!K2)</f>
        <v>0</v>
      </c>
      <c r="L10" s="76">
        <f>SUMIFS(приходи!$L:$L,приходи!$E:$E,'ПП Декември'!$C$10,приходи!$M:$M,'ПП Декември'!L2)</f>
        <v>0</v>
      </c>
      <c r="M10" s="74">
        <f>SUMIFS(приходи!$L:$L,приходи!$E:$E,'ПП Декември'!$C$10,приходи!$M:$M,'ПП Декември'!M2)</f>
        <v>0</v>
      </c>
      <c r="N10" s="74">
        <f>SUMIFS(приходи!$L:$L,приходи!$E:$E,'ПП Декември'!$C$10,приходи!$M:$M,'ПП Декември'!N2)</f>
        <v>0</v>
      </c>
      <c r="O10" s="74">
        <f>SUMIFS(приходи!$L:$L,приходи!$E:$E,'ПП Декември'!$C$10,приходи!$M:$M,'ПП Декември'!O2)</f>
        <v>0</v>
      </c>
      <c r="P10" s="74">
        <f>SUMIFS(приходи!$L:$L,приходи!$E:$E,'ПП Декември'!$C$10,приходи!$M:$M,'ПП Декември'!P2)</f>
        <v>0</v>
      </c>
      <c r="Q10" s="74">
        <f>SUMIFS(приходи!$L:$L,приходи!$E:$E,'ПП Декември'!$C$10,приходи!$M:$M,'ПП Декември'!Q2)</f>
        <v>0</v>
      </c>
      <c r="R10" s="76">
        <f>SUMIFS(приходи!$L:$L,приходи!$E:$E,'ПП Декември'!$C$10,приходи!$M:$M,'ПП Декември'!R2)</f>
        <v>0</v>
      </c>
      <c r="S10" s="76">
        <f>SUMIFS(приходи!$L:$L,приходи!$E:$E,'ПП Декември'!$C$10,приходи!$M:$M,'ПП Декември'!S2)</f>
        <v>0</v>
      </c>
      <c r="T10" s="74">
        <f>SUMIFS(приходи!$L:$L,приходи!$E:$E,'ПП Декември'!$C$10,приходи!$M:$M,'ПП Декември'!T2)</f>
        <v>0</v>
      </c>
      <c r="U10" s="74">
        <f>SUMIFS(приходи!$L:$L,приходи!$E:$E,'ПП Декември'!$C$10,приходи!$M:$M,'ПП Декември'!U2)</f>
        <v>0</v>
      </c>
      <c r="V10" s="74">
        <f>SUMIFS(приходи!$L:$L,приходи!$E:$E,'ПП Декември'!$C$10,приходи!$M:$M,'ПП Декември'!V2)</f>
        <v>0</v>
      </c>
      <c r="W10" s="74">
        <f>SUMIFS(приходи!$L:$L,приходи!$E:$E,'ПП Декември'!$C$10,приходи!$M:$M,'ПП Декември'!W2)</f>
        <v>0</v>
      </c>
      <c r="X10" s="74">
        <f>SUMIFS(приходи!$L:$L,приходи!$E:$E,'ПП Декември'!$C$10,приходи!$M:$M,'ПП Декември'!X2)</f>
        <v>0</v>
      </c>
      <c r="Y10" s="76">
        <f>SUMIFS(приходи!$L:$L,приходи!$E:$E,'ПП Декември'!$C$10,приходи!$M:$M,'ПП Декември'!Y2)</f>
        <v>0</v>
      </c>
      <c r="Z10" s="76">
        <f>SUMIFS(приходи!$L:$L,приходи!$E:$E,'ПП Декември'!$C$10,приходи!$M:$M,'ПП Декември'!Z2)</f>
        <v>0</v>
      </c>
      <c r="AA10" s="74">
        <f>SUMIFS(приходи!$L:$L,приходи!$E:$E,'ПП Декември'!$C$10,приходи!$M:$M,'ПП Декември'!AA2)</f>
        <v>0</v>
      </c>
      <c r="AB10" s="76">
        <f>SUMIFS(приходи!$L:$L,приходи!$E:$E,'ПП Декември'!$C$10,приходи!$M:$M,'ПП Декември'!AB2)</f>
        <v>0</v>
      </c>
      <c r="AC10" s="76">
        <f>SUMIFS(приходи!$L:$L,приходи!$E:$E,'ПП Декември'!$C$10,приходи!$M:$M,'ПП Декември'!AC2)</f>
        <v>0</v>
      </c>
      <c r="AD10" s="76">
        <f>SUMIFS(приходи!$L:$L,приходи!$E:$E,'ПП Декември'!$C$10,приходи!$M:$M,'ПП Декември'!AD2)</f>
        <v>0</v>
      </c>
      <c r="AE10" s="74">
        <f>SUMIFS(приходи!$L:$L,приходи!$E:$E,'ПП Декември'!$C$10,приходи!$M:$M,'ПП Декември'!AE2)</f>
        <v>0</v>
      </c>
      <c r="AF10" s="76">
        <f>SUMIFS(приходи!$L:$L,приходи!$E:$E,'ПП Декември'!$C$10,приходи!$M:$M,'ПП Декември'!AF2)</f>
        <v>0</v>
      </c>
      <c r="AG10" s="76">
        <f>SUMIFS(приходи!$L:$L,приходи!$E:$E,'ПП Декември'!$C$10,приходи!$M:$M,'ПП Декември'!AG2)</f>
        <v>0</v>
      </c>
      <c r="AH10" s="74">
        <f>SUMIFS(приходи!$L:$L,приходи!$E:$E,'ПП Декември'!$C$10,приходи!$M:$M,'ПП Декември'!AH2)</f>
        <v>0</v>
      </c>
      <c r="AI10" s="74">
        <f>SUMIFS(приходи!$L:$L,приходи!$E:$E,'ПП Декември'!$C$10,приходи!$M:$M,'ПП Декември'!AI2)</f>
        <v>0</v>
      </c>
      <c r="AJ10" s="61">
        <f t="shared" si="2"/>
        <v>0</v>
      </c>
      <c r="AK10" s="69">
        <f t="shared" si="3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0</v>
      </c>
      <c r="E11" s="77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3">
        <f t="shared" si="8"/>
        <v>0</v>
      </c>
      <c r="K11" s="77">
        <f t="shared" si="8"/>
        <v>0</v>
      </c>
      <c r="L11" s="77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7">
        <f t="shared" si="8"/>
        <v>0</v>
      </c>
      <c r="S11" s="77">
        <f t="shared" si="8"/>
        <v>0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7">
        <f t="shared" si="8"/>
        <v>0</v>
      </c>
      <c r="Z11" s="77">
        <f t="shared" si="8"/>
        <v>0</v>
      </c>
      <c r="AA11" s="73">
        <f t="shared" si="8"/>
        <v>0</v>
      </c>
      <c r="AB11" s="77">
        <f t="shared" si="8"/>
        <v>0</v>
      </c>
      <c r="AC11" s="77">
        <f t="shared" si="8"/>
        <v>0</v>
      </c>
      <c r="AD11" s="77">
        <f t="shared" si="8"/>
        <v>0</v>
      </c>
      <c r="AE11" s="73">
        <f t="shared" si="8"/>
        <v>0</v>
      </c>
      <c r="AF11" s="77">
        <f t="shared" si="8"/>
        <v>0</v>
      </c>
      <c r="AG11" s="77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0</v>
      </c>
      <c r="AK11" s="58">
        <f t="shared" si="3"/>
        <v>0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Декември'!$C$12,приходи!$M:$M,'ПП Декември'!E2)</f>
        <v>0</v>
      </c>
      <c r="F12" s="74">
        <f>SUMIFS(приходи!$L:$L,приходи!$E:$E,'ПП Декември'!$C$12,приходи!$M:$M,'ПП Декември'!F2)</f>
        <v>0</v>
      </c>
      <c r="G12" s="74">
        <f>SUMIFS(приходи!$L:$L,приходи!$E:$E,'ПП Декември'!$C$12,приходи!$M:$M,'ПП Декември'!G2)</f>
        <v>0</v>
      </c>
      <c r="H12" s="74">
        <f>SUMIFS(приходи!$L:$L,приходи!$E:$E,'ПП Декември'!$C$12,приходи!$M:$M,'ПП Декември'!H2)</f>
        <v>0</v>
      </c>
      <c r="I12" s="74">
        <f>SUMIFS(приходи!$L:$L,приходи!$E:$E,'ПП Декември'!$C$12,приходи!$M:$M,'ПП Декември'!I2)</f>
        <v>0</v>
      </c>
      <c r="J12" s="74">
        <f>SUMIFS(приходи!$L:$L,приходи!$E:$E,'ПП Декември'!$C$12,приходи!$M:$M,'ПП Декември'!J2)</f>
        <v>0</v>
      </c>
      <c r="K12" s="76">
        <f>SUMIFS(приходи!$L:$L,приходи!$E:$E,'ПП Декември'!$C$12,приходи!$M:$M,'ПП Декември'!K2)</f>
        <v>0</v>
      </c>
      <c r="L12" s="76">
        <f>SUMIFS(приходи!$L:$L,приходи!$E:$E,'ПП Декември'!$C$12,приходи!$M:$M,'ПП Декември'!L2)</f>
        <v>0</v>
      </c>
      <c r="M12" s="74">
        <f>SUMIFS(приходи!$L:$L,приходи!$E:$E,'ПП Декември'!$C$12,приходи!$M:$M,'ПП Декември'!M2)</f>
        <v>0</v>
      </c>
      <c r="N12" s="74">
        <f>SUMIFS(приходи!$L:$L,приходи!$E:$E,'ПП Декември'!$C$12,приходи!$M:$M,'ПП Декември'!N2)</f>
        <v>0</v>
      </c>
      <c r="O12" s="74">
        <f>SUMIFS(приходи!$L:$L,приходи!$E:$E,'ПП Декември'!$C$12,приходи!$M:$M,'ПП Декември'!O2)</f>
        <v>0</v>
      </c>
      <c r="P12" s="74">
        <f>SUMIFS(приходи!$L:$L,приходи!$E:$E,'ПП Декември'!$C$12,приходи!$M:$M,'ПП Декември'!P2)</f>
        <v>0</v>
      </c>
      <c r="Q12" s="74">
        <f>SUMIFS(приходи!$L:$L,приходи!$E:$E,'ПП Декември'!$C$12,приходи!$M:$M,'ПП Декември'!Q2)</f>
        <v>0</v>
      </c>
      <c r="R12" s="76">
        <f>SUMIFS(приходи!$L:$L,приходи!$E:$E,'ПП Декември'!$C$12,приходи!$M:$M,'ПП Декември'!R2)</f>
        <v>0</v>
      </c>
      <c r="S12" s="76">
        <f>SUMIFS(приходи!$L:$L,приходи!$E:$E,'ПП Декември'!$C$12,приходи!$M:$M,'ПП Декември'!S2)</f>
        <v>0</v>
      </c>
      <c r="T12" s="74">
        <f>SUMIFS(приходи!$L:$L,приходи!$E:$E,'ПП Декември'!$C$12,приходи!$M:$M,'ПП Декември'!T2)</f>
        <v>0</v>
      </c>
      <c r="U12" s="74">
        <f>SUMIFS(приходи!$L:$L,приходи!$E:$E,'ПП Декември'!$C$12,приходи!$M:$M,'ПП Декември'!U2)</f>
        <v>0</v>
      </c>
      <c r="V12" s="74">
        <f>SUMIFS(приходи!$L:$L,приходи!$E:$E,'ПП Декември'!$C$12,приходи!$M:$M,'ПП Декември'!V2)</f>
        <v>0</v>
      </c>
      <c r="W12" s="74">
        <f>SUMIFS(приходи!$L:$L,приходи!$E:$E,'ПП Декември'!$C$12,приходи!$M:$M,'ПП Декември'!W2)</f>
        <v>0</v>
      </c>
      <c r="X12" s="74">
        <f>SUMIFS(приходи!$L:$L,приходи!$E:$E,'ПП Декември'!$C$12,приходи!$M:$M,'ПП Декември'!X2)</f>
        <v>0</v>
      </c>
      <c r="Y12" s="76">
        <f>SUMIFS(приходи!$L:$L,приходи!$E:$E,'ПП Декември'!$C$12,приходи!$M:$M,'ПП Декември'!Y2)</f>
        <v>0</v>
      </c>
      <c r="Z12" s="76">
        <f>SUMIFS(приходи!$L:$L,приходи!$E:$E,'ПП Декември'!$C$12,приходи!$M:$M,'ПП Декември'!Z2)</f>
        <v>0</v>
      </c>
      <c r="AA12" s="74">
        <f>SUMIFS(приходи!$L:$L,приходи!$E:$E,'ПП Декември'!$C$12,приходи!$M:$M,'ПП Декември'!AA2)</f>
        <v>0</v>
      </c>
      <c r="AB12" s="76">
        <f>SUMIFS(приходи!$L:$L,приходи!$E:$E,'ПП Декември'!$C$12,приходи!$M:$M,'ПП Декември'!AB2)</f>
        <v>0</v>
      </c>
      <c r="AC12" s="76">
        <f>SUMIFS(приходи!$L:$L,приходи!$E:$E,'ПП Декември'!$C$12,приходи!$M:$M,'ПП Декември'!AC2)</f>
        <v>0</v>
      </c>
      <c r="AD12" s="76">
        <f>SUMIFS(приходи!$L:$L,приходи!$E:$E,'ПП Декември'!$C$12,приходи!$M:$M,'ПП Декември'!AD2)</f>
        <v>0</v>
      </c>
      <c r="AE12" s="74">
        <f>SUMIFS(приходи!$L:$L,приходи!$E:$E,'ПП Декември'!$C$12,приходи!$M:$M,'ПП Декември'!AE2)</f>
        <v>0</v>
      </c>
      <c r="AF12" s="76">
        <f>SUMIFS(приходи!$L:$L,приходи!$E:$E,'ПП Декември'!$C$12,приходи!$M:$M,'ПП Декември'!AF2)</f>
        <v>0</v>
      </c>
      <c r="AG12" s="76">
        <f>SUMIFS(приходи!$L:$L,приходи!$E:$E,'ПП Декември'!$C$12,приходи!$M:$M,'ПП Декември'!AG2)</f>
        <v>0</v>
      </c>
      <c r="AH12" s="74">
        <f>SUMIFS(приходи!$L:$L,приходи!$E:$E,'ПП Декември'!$C$12,приходи!$M:$M,'ПП Декември'!AH2)</f>
        <v>0</v>
      </c>
      <c r="AI12" s="74">
        <f>SUMIFS(приходи!$L:$L,приходи!$E:$E,'ПП Декември'!$C$12,приходи!$M:$M,'ПП Декември'!AI2)</f>
        <v>0</v>
      </c>
      <c r="AJ12" s="61">
        <f t="shared" si="2"/>
        <v>0</v>
      </c>
      <c r="AK12" s="69">
        <f t="shared" si="3"/>
        <v>0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6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4">
        <f t="shared" si="10"/>
        <v>0</v>
      </c>
      <c r="K13" s="76">
        <f t="shared" si="10"/>
        <v>0</v>
      </c>
      <c r="L13" s="76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6">
        <f t="shared" si="10"/>
        <v>0</v>
      </c>
      <c r="S13" s="76">
        <f t="shared" si="10"/>
        <v>0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6">
        <f t="shared" si="10"/>
        <v>0</v>
      </c>
      <c r="Z13" s="76">
        <f t="shared" si="10"/>
        <v>0</v>
      </c>
      <c r="AA13" s="74">
        <f t="shared" si="10"/>
        <v>0</v>
      </c>
      <c r="AB13" s="76">
        <f t="shared" si="10"/>
        <v>0</v>
      </c>
      <c r="AC13" s="76">
        <f t="shared" si="10"/>
        <v>0</v>
      </c>
      <c r="AD13" s="76">
        <f t="shared" si="10"/>
        <v>0</v>
      </c>
      <c r="AE13" s="74">
        <f t="shared" si="10"/>
        <v>0</v>
      </c>
      <c r="AF13" s="76">
        <f t="shared" si="10"/>
        <v>0</v>
      </c>
      <c r="AG13" s="76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0</v>
      </c>
      <c r="AK13" s="62">
        <f t="shared" si="3"/>
        <v>0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Декември'!$C$14,приходи!$M:$M,'ПП Декември'!E2)</f>
        <v>0</v>
      </c>
      <c r="F14" s="74">
        <f>SUMIFS(приходи!$L:$L,приходи!$E:$E,'ПП Декември'!$C$14,приходи!$M:$M,'ПП Декември'!F2)</f>
        <v>0</v>
      </c>
      <c r="G14" s="74">
        <f>SUMIFS(приходи!$L:$L,приходи!$E:$E,'ПП Декември'!$C$14,приходи!$M:$M,'ПП Декември'!G2)</f>
        <v>0</v>
      </c>
      <c r="H14" s="74">
        <f>SUMIFS(приходи!$L:$L,приходи!$E:$E,'ПП Декември'!$C$14,приходи!$M:$M,'ПП Декември'!H2)</f>
        <v>0</v>
      </c>
      <c r="I14" s="74">
        <f>SUMIFS(приходи!$L:$L,приходи!$E:$E,'ПП Декември'!$C$14,приходи!$M:$M,'ПП Декември'!I2)</f>
        <v>0</v>
      </c>
      <c r="J14" s="74">
        <f>SUMIFS(приходи!$L:$L,приходи!$E:$E,'ПП Декември'!$C$14,приходи!$M:$M,'ПП Декември'!J2)</f>
        <v>0</v>
      </c>
      <c r="K14" s="76">
        <f>SUMIFS(приходи!$L:$L,приходи!$E:$E,'ПП Декември'!$C$14,приходи!$M:$M,'ПП Декември'!K2)</f>
        <v>0</v>
      </c>
      <c r="L14" s="76">
        <f>SUMIFS(приходи!$L:$L,приходи!$E:$E,'ПП Декември'!$C$14,приходи!$M:$M,'ПП Декември'!L2)</f>
        <v>0</v>
      </c>
      <c r="M14" s="74">
        <f>SUMIFS(приходи!$L:$L,приходи!$E:$E,'ПП Декември'!$C$14,приходи!$M:$M,'ПП Декември'!M2)</f>
        <v>0</v>
      </c>
      <c r="N14" s="74">
        <f>SUMIFS(приходи!$L:$L,приходи!$E:$E,'ПП Декември'!$C$14,приходи!$M:$M,'ПП Декември'!N2)</f>
        <v>0</v>
      </c>
      <c r="O14" s="74">
        <f>SUMIFS(приходи!$L:$L,приходи!$E:$E,'ПП Декември'!$C$14,приходи!$M:$M,'ПП Декември'!O2)</f>
        <v>0</v>
      </c>
      <c r="P14" s="74">
        <f>SUMIFS(приходи!$L:$L,приходи!$E:$E,'ПП Декември'!$C$14,приходи!$M:$M,'ПП Декември'!P2)</f>
        <v>0</v>
      </c>
      <c r="Q14" s="74">
        <f>SUMIFS(приходи!$L:$L,приходи!$E:$E,'ПП Декември'!$C$14,приходи!$M:$M,'ПП Декември'!Q2)</f>
        <v>0</v>
      </c>
      <c r="R14" s="76">
        <f>SUMIFS(приходи!$L:$L,приходи!$E:$E,'ПП Декември'!$C$14,приходи!$M:$M,'ПП Декември'!R2)</f>
        <v>0</v>
      </c>
      <c r="S14" s="76">
        <f>SUMIFS(приходи!$L:$L,приходи!$E:$E,'ПП Декември'!$C$14,приходи!$M:$M,'ПП Декември'!S2)</f>
        <v>0</v>
      </c>
      <c r="T14" s="74">
        <f>SUMIFS(приходи!$L:$L,приходи!$E:$E,'ПП Декември'!$C$14,приходи!$M:$M,'ПП Декември'!T2)</f>
        <v>0</v>
      </c>
      <c r="U14" s="74">
        <f>SUMIFS(приходи!$L:$L,приходи!$E:$E,'ПП Декември'!$C$14,приходи!$M:$M,'ПП Декември'!U2)</f>
        <v>0</v>
      </c>
      <c r="V14" s="74">
        <f>SUMIFS(приходи!$L:$L,приходи!$E:$E,'ПП Декември'!$C$14,приходи!$M:$M,'ПП Декември'!V2)</f>
        <v>0</v>
      </c>
      <c r="W14" s="74">
        <f>SUMIFS(приходи!$L:$L,приходи!$E:$E,'ПП Декември'!$C$14,приходи!$M:$M,'ПП Декември'!W2)</f>
        <v>0</v>
      </c>
      <c r="X14" s="74">
        <f>SUMIFS(приходи!$L:$L,приходи!$E:$E,'ПП Декември'!$C$14,приходи!$M:$M,'ПП Декември'!X2)</f>
        <v>0</v>
      </c>
      <c r="Y14" s="76">
        <f>SUMIFS(приходи!$L:$L,приходи!$E:$E,'ПП Декември'!$C$14,приходи!$M:$M,'ПП Декември'!Y2)</f>
        <v>0</v>
      </c>
      <c r="Z14" s="76">
        <f>SUMIFS(приходи!$L:$L,приходи!$E:$E,'ПП Декември'!$C$14,приходи!$M:$M,'ПП Декември'!Z2)</f>
        <v>0</v>
      </c>
      <c r="AA14" s="74">
        <f>SUMIFS(приходи!$L:$L,приходи!$E:$E,'ПП Декември'!$C$14,приходи!$M:$M,'ПП Декември'!AA2)</f>
        <v>0</v>
      </c>
      <c r="AB14" s="76">
        <f>SUMIFS(приходи!$L:$L,приходи!$E:$E,'ПП Декември'!$C$14,приходи!$M:$M,'ПП Декември'!AB2)</f>
        <v>0</v>
      </c>
      <c r="AC14" s="76">
        <f>SUMIFS(приходи!$L:$L,приходи!$E:$E,'ПП Декември'!$C$14,приходи!$M:$M,'ПП Декември'!AC2)</f>
        <v>0</v>
      </c>
      <c r="AD14" s="76">
        <f>SUMIFS(приходи!$L:$L,приходи!$E:$E,'ПП Декември'!$C$14,приходи!$M:$M,'ПП Декември'!AD2)</f>
        <v>0</v>
      </c>
      <c r="AE14" s="74">
        <f>SUMIFS(приходи!$L:$L,приходи!$E:$E,'ПП Декември'!$C$14,приходи!$M:$M,'ПП Декември'!AE2)</f>
        <v>0</v>
      </c>
      <c r="AF14" s="76">
        <f>SUMIFS(приходи!$L:$L,приходи!$E:$E,'ПП Декември'!$C$14,приходи!$M:$M,'ПП Декември'!AF2)</f>
        <v>0</v>
      </c>
      <c r="AG14" s="76">
        <f>SUMIFS(приходи!$L:$L,приходи!$E:$E,'ПП Декември'!$C$14,приходи!$M:$M,'ПП Декември'!AG2)</f>
        <v>0</v>
      </c>
      <c r="AH14" s="74">
        <f>SUMIFS(приходи!$L:$L,приходи!$E:$E,'ПП Декември'!$C$14,приходи!$M:$M,'ПП Декември'!AH2)</f>
        <v>0</v>
      </c>
      <c r="AI14" s="74">
        <f>SUMIFS(приходи!$L:$L,приходи!$E:$E,'ПП Декември'!$C$14,приходи!$M:$M,'ПП Декември'!AI2)</f>
        <v>0</v>
      </c>
      <c r="AJ14" s="61">
        <f t="shared" si="2"/>
        <v>0</v>
      </c>
      <c r="AK14" s="69">
        <f t="shared" si="3"/>
        <v>0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Декември'!$C$15,приходи!$M:$M,'ПП Декември'!E2)</f>
        <v>0</v>
      </c>
      <c r="F15" s="74">
        <f>SUMIFS(приходи!$L:$L,приходи!$E:$E,'ПП Декември'!$C$15,приходи!$M:$M,'ПП Декември'!F2)</f>
        <v>0</v>
      </c>
      <c r="G15" s="74">
        <f>SUMIFS(приходи!$L:$L,приходи!$E:$E,'ПП Декември'!$C$15,приходи!$M:$M,'ПП Декември'!G2)</f>
        <v>0</v>
      </c>
      <c r="H15" s="74">
        <f>SUMIFS(приходи!$L:$L,приходи!$E:$E,'ПП Декември'!$C$15,приходи!$M:$M,'ПП Декември'!H2)</f>
        <v>0</v>
      </c>
      <c r="I15" s="74">
        <f>SUMIFS(приходи!$L:$L,приходи!$E:$E,'ПП Декември'!$C$15,приходи!$M:$M,'ПП Декември'!I2)</f>
        <v>0</v>
      </c>
      <c r="J15" s="74">
        <f>SUMIFS(приходи!$L:$L,приходи!$E:$E,'ПП Декември'!$C$15,приходи!$M:$M,'ПП Декември'!J2)</f>
        <v>0</v>
      </c>
      <c r="K15" s="76">
        <f>SUMIFS(приходи!$L:$L,приходи!$E:$E,'ПП Декември'!$C$15,приходи!$M:$M,'ПП Декември'!K2)</f>
        <v>0</v>
      </c>
      <c r="L15" s="76">
        <f>SUMIFS(приходи!$L:$L,приходи!$E:$E,'ПП Декември'!$C$15,приходи!$M:$M,'ПП Декември'!L2)</f>
        <v>0</v>
      </c>
      <c r="M15" s="74">
        <f>SUMIFS(приходи!$L:$L,приходи!$E:$E,'ПП Декември'!$C$15,приходи!$M:$M,'ПП Декември'!M2)</f>
        <v>0</v>
      </c>
      <c r="N15" s="74">
        <f>SUMIFS(приходи!$L:$L,приходи!$E:$E,'ПП Декември'!$C$15,приходи!$M:$M,'ПП Декември'!N2)</f>
        <v>0</v>
      </c>
      <c r="O15" s="74">
        <f>SUMIFS(приходи!$L:$L,приходи!$E:$E,'ПП Декември'!$C$15,приходи!$M:$M,'ПП Декември'!O2)</f>
        <v>0</v>
      </c>
      <c r="P15" s="74">
        <f>SUMIFS(приходи!$L:$L,приходи!$E:$E,'ПП Декември'!$C$15,приходи!$M:$M,'ПП Декември'!P2)</f>
        <v>0</v>
      </c>
      <c r="Q15" s="74">
        <f>SUMIFS(приходи!$L:$L,приходи!$E:$E,'ПП Декември'!$C$15,приходи!$M:$M,'ПП Декември'!Q2)</f>
        <v>0</v>
      </c>
      <c r="R15" s="76">
        <f>SUMIFS(приходи!$L:$L,приходи!$E:$E,'ПП Декември'!$C$15,приходи!$M:$M,'ПП Декември'!R2)</f>
        <v>0</v>
      </c>
      <c r="S15" s="76">
        <f>SUMIFS(приходи!$L:$L,приходи!$E:$E,'ПП Декември'!$C$15,приходи!$M:$M,'ПП Декември'!S2)</f>
        <v>0</v>
      </c>
      <c r="T15" s="74">
        <f>SUMIFS(приходи!$L:$L,приходи!$E:$E,'ПП Декември'!$C$15,приходи!$M:$M,'ПП Декември'!T2)</f>
        <v>0</v>
      </c>
      <c r="U15" s="74">
        <f>SUMIFS(приходи!$L:$L,приходи!$E:$E,'ПП Декември'!$C$15,приходи!$M:$M,'ПП Декември'!U2)</f>
        <v>0</v>
      </c>
      <c r="V15" s="74">
        <f>SUMIFS(приходи!$L:$L,приходи!$E:$E,'ПП Декември'!$C$15,приходи!$M:$M,'ПП Декември'!V2)</f>
        <v>0</v>
      </c>
      <c r="W15" s="74">
        <f>SUMIFS(приходи!$L:$L,приходи!$E:$E,'ПП Декември'!$C$15,приходи!$M:$M,'ПП Декември'!W2)</f>
        <v>0</v>
      </c>
      <c r="X15" s="74">
        <f>SUMIFS(приходи!$L:$L,приходи!$E:$E,'ПП Декември'!$C$15,приходи!$M:$M,'ПП Декември'!X2)</f>
        <v>0</v>
      </c>
      <c r="Y15" s="76">
        <f>SUMIFS(приходи!$L:$L,приходи!$E:$E,'ПП Декември'!$C$15,приходи!$M:$M,'ПП Декември'!Y2)</f>
        <v>0</v>
      </c>
      <c r="Z15" s="76">
        <f>SUMIFS(приходи!$L:$L,приходи!$E:$E,'ПП Декември'!$C$15,приходи!$M:$M,'ПП Декември'!Z2)</f>
        <v>0</v>
      </c>
      <c r="AA15" s="74">
        <f>SUMIFS(приходи!$L:$L,приходи!$E:$E,'ПП Декември'!$C$15,приходи!$M:$M,'ПП Декември'!AA2)</f>
        <v>0</v>
      </c>
      <c r="AB15" s="76">
        <f>SUMIFS(приходи!$L:$L,приходи!$E:$E,'ПП Декември'!$C$15,приходи!$M:$M,'ПП Декември'!AB2)</f>
        <v>0</v>
      </c>
      <c r="AC15" s="76">
        <f>SUMIFS(приходи!$L:$L,приходи!$E:$E,'ПП Декември'!$C$15,приходи!$M:$M,'ПП Декември'!AC2)</f>
        <v>0</v>
      </c>
      <c r="AD15" s="76">
        <f>SUMIFS(приходи!$L:$L,приходи!$E:$E,'ПП Декември'!$C$15,приходи!$M:$M,'ПП Декември'!AD2)</f>
        <v>0</v>
      </c>
      <c r="AE15" s="74">
        <f>SUMIFS(приходи!$L:$L,приходи!$E:$E,'ПП Декември'!$C$15,приходи!$M:$M,'ПП Декември'!AE2)</f>
        <v>0</v>
      </c>
      <c r="AF15" s="76">
        <f>SUMIFS(приходи!$L:$L,приходи!$E:$E,'ПП Декември'!$C$15,приходи!$M:$M,'ПП Декември'!AF2)</f>
        <v>0</v>
      </c>
      <c r="AG15" s="76">
        <f>SUMIFS(приходи!$L:$L,приходи!$E:$E,'ПП Декември'!$C$15,приходи!$M:$M,'ПП Декември'!AG2)</f>
        <v>0</v>
      </c>
      <c r="AH15" s="74">
        <f>SUMIFS(приходи!$L:$L,приходи!$E:$E,'ПП Декември'!$C$15,приходи!$M:$M,'ПП Декември'!AH2)</f>
        <v>0</v>
      </c>
      <c r="AI15" s="74">
        <f>SUMIFS(приходи!$L:$L,приходи!$E:$E,'ПП Декември'!$C$15,приходи!$M:$M,'ПП Декември'!AI2)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Декември'!$C$16,приходи!$M:$M,'ПП Декември'!E2)</f>
        <v>0</v>
      </c>
      <c r="F16" s="74">
        <f>SUMIFS(приходи!$L:$L,приходи!$E:$E,'ПП Декември'!$C$16,приходи!$M:$M,'ПП Декември'!F2)</f>
        <v>0</v>
      </c>
      <c r="G16" s="74">
        <f>SUMIFS(приходи!$L:$L,приходи!$E:$E,'ПП Декември'!$C$16,приходи!$M:$M,'ПП Декември'!G2)</f>
        <v>0</v>
      </c>
      <c r="H16" s="74">
        <f>SUMIFS(приходи!$L:$L,приходи!$E:$E,'ПП Декември'!$C$16,приходи!$M:$M,'ПП Декември'!H2)</f>
        <v>0</v>
      </c>
      <c r="I16" s="74">
        <f>SUMIFS(приходи!$L:$L,приходи!$E:$E,'ПП Декември'!$C$16,приходи!$M:$M,'ПП Декември'!I2)</f>
        <v>0</v>
      </c>
      <c r="J16" s="74">
        <f>SUMIFS(приходи!$L:$L,приходи!$E:$E,'ПП Декември'!$C$16,приходи!$M:$M,'ПП Декември'!J2)</f>
        <v>0</v>
      </c>
      <c r="K16" s="76">
        <f>SUMIFS(приходи!$L:$L,приходи!$E:$E,'ПП Декември'!$C$16,приходи!$M:$M,'ПП Декември'!K2)</f>
        <v>0</v>
      </c>
      <c r="L16" s="76">
        <f>SUMIFS(приходи!$L:$L,приходи!$E:$E,'ПП Декември'!$C$16,приходи!$M:$M,'ПП Декември'!L2)</f>
        <v>0</v>
      </c>
      <c r="M16" s="74">
        <f>SUMIFS(приходи!$L:$L,приходи!$E:$E,'ПП Декември'!$C$16,приходи!$M:$M,'ПП Декември'!M2)</f>
        <v>0</v>
      </c>
      <c r="N16" s="74">
        <f>SUMIFS(приходи!$L:$L,приходи!$E:$E,'ПП Декември'!$C$16,приходи!$M:$M,'ПП Декември'!N2)</f>
        <v>0</v>
      </c>
      <c r="O16" s="74">
        <f>SUMIFS(приходи!$L:$L,приходи!$E:$E,'ПП Декември'!$C$16,приходи!$M:$M,'ПП Декември'!O2)</f>
        <v>0</v>
      </c>
      <c r="P16" s="74">
        <f>SUMIFS(приходи!$L:$L,приходи!$E:$E,'ПП Декември'!$C$16,приходи!$M:$M,'ПП Декември'!P2)</f>
        <v>0</v>
      </c>
      <c r="Q16" s="74">
        <f>SUMIFS(приходи!$L:$L,приходи!$E:$E,'ПП Декември'!$C$16,приходи!$M:$M,'ПП Декември'!Q2)</f>
        <v>0</v>
      </c>
      <c r="R16" s="76">
        <f>SUMIFS(приходи!$L:$L,приходи!$E:$E,'ПП Декември'!$C$16,приходи!$M:$M,'ПП Декември'!R2)</f>
        <v>0</v>
      </c>
      <c r="S16" s="76">
        <f>SUMIFS(приходи!$L:$L,приходи!$E:$E,'ПП Декември'!$C$16,приходи!$M:$M,'ПП Декември'!S2)</f>
        <v>0</v>
      </c>
      <c r="T16" s="74">
        <f>SUMIFS(приходи!$L:$L,приходи!$E:$E,'ПП Декември'!$C$16,приходи!$M:$M,'ПП Декември'!T2)</f>
        <v>0</v>
      </c>
      <c r="U16" s="74">
        <f>SUMIFS(приходи!$L:$L,приходи!$E:$E,'ПП Декември'!$C$16,приходи!$M:$M,'ПП Декември'!U2)</f>
        <v>0</v>
      </c>
      <c r="V16" s="74">
        <f>SUMIFS(приходи!$L:$L,приходи!$E:$E,'ПП Декември'!$C$16,приходи!$M:$M,'ПП Декември'!V2)</f>
        <v>0</v>
      </c>
      <c r="W16" s="74">
        <f>SUMIFS(приходи!$L:$L,приходи!$E:$E,'ПП Декември'!$C$16,приходи!$M:$M,'ПП Декември'!W2)</f>
        <v>0</v>
      </c>
      <c r="X16" s="74">
        <f>SUMIFS(приходи!$L:$L,приходи!$E:$E,'ПП Декември'!$C$16,приходи!$M:$M,'ПП Декември'!X2)</f>
        <v>0</v>
      </c>
      <c r="Y16" s="76">
        <f>SUMIFS(приходи!$L:$L,приходи!$E:$E,'ПП Декември'!$C$16,приходи!$M:$M,'ПП Декември'!Y2)</f>
        <v>0</v>
      </c>
      <c r="Z16" s="76">
        <f>SUMIFS(приходи!$L:$L,приходи!$E:$E,'ПП Декември'!$C$16,приходи!$M:$M,'ПП Декември'!Z2)</f>
        <v>0</v>
      </c>
      <c r="AA16" s="74">
        <f>SUMIFS(приходи!$L:$L,приходи!$E:$E,'ПП Декември'!$C$16,приходи!$M:$M,'ПП Декември'!AA2)</f>
        <v>0</v>
      </c>
      <c r="AB16" s="76">
        <f>SUMIFS(приходи!$L:$L,приходи!$E:$E,'ПП Декември'!$C$16,приходи!$M:$M,'ПП Декември'!AB2)</f>
        <v>0</v>
      </c>
      <c r="AC16" s="76">
        <f>SUMIFS(приходи!$L:$L,приходи!$E:$E,'ПП Декември'!$C$16,приходи!$M:$M,'ПП Декември'!AC2)</f>
        <v>0</v>
      </c>
      <c r="AD16" s="76">
        <f>SUMIFS(приходи!$L:$L,приходи!$E:$E,'ПП Декември'!$C$16,приходи!$M:$M,'ПП Декември'!AD2)</f>
        <v>0</v>
      </c>
      <c r="AE16" s="74">
        <f>SUMIFS(приходи!$L:$L,приходи!$E:$E,'ПП Декември'!$C$16,приходи!$M:$M,'ПП Декември'!AE2)</f>
        <v>0</v>
      </c>
      <c r="AF16" s="76">
        <f>SUMIFS(приходи!$L:$L,приходи!$E:$E,'ПП Декември'!$C$16,приходи!$M:$M,'ПП Декември'!AF2)</f>
        <v>0</v>
      </c>
      <c r="AG16" s="76">
        <f>SUMIFS(приходи!$L:$L,приходи!$E:$E,'ПП Декември'!$C$16,приходи!$M:$M,'ПП Декември'!AG2)</f>
        <v>0</v>
      </c>
      <c r="AH16" s="74">
        <f>SUMIFS(приходи!$L:$L,приходи!$E:$E,'ПП Декември'!$C$16,приходи!$M:$M,'ПП Декември'!AH2)</f>
        <v>0</v>
      </c>
      <c r="AI16" s="74">
        <f>SUMIFS(приходи!$L:$L,приходи!$E:$E,'ПП Декември'!$C$16,приходи!$M:$M,'ПП Декември'!AI2)</f>
        <v>0</v>
      </c>
      <c r="AJ16" s="61">
        <f t="shared" si="2"/>
        <v>0</v>
      </c>
      <c r="AK16" s="69">
        <f t="shared" si="3"/>
        <v>0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Декември'!$C$17,приходи!$M:$M,'ПП Декември'!E2)</f>
        <v>0</v>
      </c>
      <c r="F17" s="74">
        <f>SUMIFS(приходи!$L:$L,приходи!$E:$E,'ПП Декември'!$C$17,приходи!$M:$M,'ПП Декември'!F2)</f>
        <v>0</v>
      </c>
      <c r="G17" s="74">
        <f>SUMIFS(приходи!$L:$L,приходи!$E:$E,'ПП Декември'!$C$17,приходи!$M:$M,'ПП Декември'!G2)</f>
        <v>0</v>
      </c>
      <c r="H17" s="74">
        <f>SUMIFS(приходи!$L:$L,приходи!$E:$E,'ПП Декември'!$C$17,приходи!$M:$M,'ПП Декември'!H2)</f>
        <v>0</v>
      </c>
      <c r="I17" s="74">
        <f>SUMIFS(приходи!$L:$L,приходи!$E:$E,'ПП Декември'!$C$17,приходи!$M:$M,'ПП Декември'!I2)</f>
        <v>0</v>
      </c>
      <c r="J17" s="74">
        <f>SUMIFS(приходи!$L:$L,приходи!$E:$E,'ПП Декември'!$C$17,приходи!$M:$M,'ПП Декември'!J2)</f>
        <v>0</v>
      </c>
      <c r="K17" s="76">
        <f>SUMIFS(приходи!$L:$L,приходи!$E:$E,'ПП Декември'!$C$17,приходи!$M:$M,'ПП Декември'!K2)</f>
        <v>0</v>
      </c>
      <c r="L17" s="76">
        <f>SUMIFS(приходи!$L:$L,приходи!$E:$E,'ПП Декември'!$C$17,приходи!$M:$M,'ПП Декември'!L2)</f>
        <v>0</v>
      </c>
      <c r="M17" s="74">
        <f>SUMIFS(приходи!$L:$L,приходи!$E:$E,'ПП Декември'!$C$17,приходи!$M:$M,'ПП Декември'!M2)</f>
        <v>0</v>
      </c>
      <c r="N17" s="74">
        <f>SUMIFS(приходи!$L:$L,приходи!$E:$E,'ПП Декември'!$C$17,приходи!$M:$M,'ПП Декември'!N2)</f>
        <v>0</v>
      </c>
      <c r="O17" s="74">
        <f>SUMIFS(приходи!$L:$L,приходи!$E:$E,'ПП Декември'!$C$17,приходи!$M:$M,'ПП Декември'!O2)</f>
        <v>0</v>
      </c>
      <c r="P17" s="74">
        <f>SUMIFS(приходи!$L:$L,приходи!$E:$E,'ПП Декември'!$C$17,приходи!$M:$M,'ПП Декември'!P2)</f>
        <v>0</v>
      </c>
      <c r="Q17" s="74">
        <f>SUMIFS(приходи!$L:$L,приходи!$E:$E,'ПП Декември'!$C$17,приходи!$M:$M,'ПП Декември'!Q2)</f>
        <v>0</v>
      </c>
      <c r="R17" s="76">
        <f>SUMIFS(приходи!$L:$L,приходи!$E:$E,'ПП Декември'!$C$17,приходи!$M:$M,'ПП Декември'!R2)</f>
        <v>0</v>
      </c>
      <c r="S17" s="76">
        <f>SUMIFS(приходи!$L:$L,приходи!$E:$E,'ПП Декември'!$C$17,приходи!$M:$M,'ПП Декември'!S2)</f>
        <v>0</v>
      </c>
      <c r="T17" s="74">
        <f>SUMIFS(приходи!$L:$L,приходи!$E:$E,'ПП Декември'!$C$17,приходи!$M:$M,'ПП Декември'!T2)</f>
        <v>0</v>
      </c>
      <c r="U17" s="74">
        <f>SUMIFS(приходи!$L:$L,приходи!$E:$E,'ПП Декември'!$C$17,приходи!$M:$M,'ПП Декември'!U2)</f>
        <v>0</v>
      </c>
      <c r="V17" s="74">
        <f>SUMIFS(приходи!$L:$L,приходи!$E:$E,'ПП Декември'!$C$17,приходи!$M:$M,'ПП Декември'!V2)</f>
        <v>0</v>
      </c>
      <c r="W17" s="74">
        <f>SUMIFS(приходи!$L:$L,приходи!$E:$E,'ПП Декември'!$C$17,приходи!$M:$M,'ПП Декември'!W2)</f>
        <v>0</v>
      </c>
      <c r="X17" s="74">
        <f>SUMIFS(приходи!$L:$L,приходи!$E:$E,'ПП Декември'!$C$17,приходи!$M:$M,'ПП Декември'!X2)</f>
        <v>0</v>
      </c>
      <c r="Y17" s="76">
        <f>SUMIFS(приходи!$L:$L,приходи!$E:$E,'ПП Декември'!$C$17,приходи!$M:$M,'ПП Декември'!Y2)</f>
        <v>0</v>
      </c>
      <c r="Z17" s="76">
        <f>SUMIFS(приходи!$L:$L,приходи!$E:$E,'ПП Декември'!$C$17,приходи!$M:$M,'ПП Декември'!Z2)</f>
        <v>0</v>
      </c>
      <c r="AA17" s="74">
        <f>SUMIFS(приходи!$L:$L,приходи!$E:$E,'ПП Декември'!$C$17,приходи!$M:$M,'ПП Декември'!AA2)</f>
        <v>0</v>
      </c>
      <c r="AB17" s="76">
        <f>SUMIFS(приходи!$L:$L,приходи!$E:$E,'ПП Декември'!$C$17,приходи!$M:$M,'ПП Декември'!AB2)</f>
        <v>0</v>
      </c>
      <c r="AC17" s="76">
        <f>SUMIFS(приходи!$L:$L,приходи!$E:$E,'ПП Декември'!$C$17,приходи!$M:$M,'ПП Декември'!AC2)</f>
        <v>0</v>
      </c>
      <c r="AD17" s="76">
        <f>SUMIFS(приходи!$L:$L,приходи!$E:$E,'ПП Декември'!$C$17,приходи!$M:$M,'ПП Декември'!AD2)</f>
        <v>0</v>
      </c>
      <c r="AE17" s="74">
        <f>SUMIFS(приходи!$L:$L,приходи!$E:$E,'ПП Декември'!$C$17,приходи!$M:$M,'ПП Декември'!AE2)</f>
        <v>0</v>
      </c>
      <c r="AF17" s="76">
        <f>SUMIFS(приходи!$L:$L,приходи!$E:$E,'ПП Декември'!$C$17,приходи!$M:$M,'ПП Декември'!AF2)</f>
        <v>0</v>
      </c>
      <c r="AG17" s="76">
        <f>SUMIFS(приходи!$L:$L,приходи!$E:$E,'ПП Декември'!$C$17,приходи!$M:$M,'ПП Декември'!AG2)</f>
        <v>0</v>
      </c>
      <c r="AH17" s="74">
        <f>SUMIFS(приходи!$L:$L,приходи!$E:$E,'ПП Декември'!$C$17,приходи!$M:$M,'ПП Декември'!AH2)</f>
        <v>0</v>
      </c>
      <c r="AI17" s="74">
        <f>SUMIFS(приходи!$L:$L,приходи!$E:$E,'ПП Декември'!$C$17,приходи!$M:$M,'ПП Декември'!AI2)</f>
        <v>0</v>
      </c>
      <c r="AJ17" s="61">
        <f t="shared" si="2"/>
        <v>0</v>
      </c>
      <c r="AK17" s="69">
        <f t="shared" si="3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Декември'!$C$18,приходи!$M:$M,'ПП Декември'!E2)</f>
        <v>0</v>
      </c>
      <c r="F18" s="74">
        <f>SUMIFS(приходи!$L:$L,приходи!$E:$E,'ПП Декември'!$C$18,приходи!$M:$M,'ПП Декември'!F2)</f>
        <v>0</v>
      </c>
      <c r="G18" s="74">
        <f>SUMIFS(приходи!$L:$L,приходи!$E:$E,'ПП Декември'!$C$18,приходи!$M:$M,'ПП Декември'!G2)</f>
        <v>0</v>
      </c>
      <c r="H18" s="74">
        <f>SUMIFS(приходи!$L:$L,приходи!$E:$E,'ПП Декември'!$C$18,приходи!$M:$M,'ПП Декември'!H2)</f>
        <v>0</v>
      </c>
      <c r="I18" s="74">
        <f>SUMIFS(приходи!$L:$L,приходи!$E:$E,'ПП Декември'!$C$18,приходи!$M:$M,'ПП Декември'!I2)</f>
        <v>0</v>
      </c>
      <c r="J18" s="74">
        <f>SUMIFS(приходи!$L:$L,приходи!$E:$E,'ПП Декември'!$C$18,приходи!$M:$M,'ПП Декември'!J2)</f>
        <v>0</v>
      </c>
      <c r="K18" s="76">
        <f>SUMIFS(приходи!$L:$L,приходи!$E:$E,'ПП Декември'!$C$18,приходи!$M:$M,'ПП Декември'!K2)</f>
        <v>0</v>
      </c>
      <c r="L18" s="76">
        <f>SUMIFS(приходи!$L:$L,приходи!$E:$E,'ПП Декември'!$C$18,приходи!$M:$M,'ПП Декември'!L2)</f>
        <v>0</v>
      </c>
      <c r="M18" s="74">
        <f>SUMIFS(приходи!$L:$L,приходи!$E:$E,'ПП Декември'!$C$18,приходи!$M:$M,'ПП Декември'!M2)</f>
        <v>0</v>
      </c>
      <c r="N18" s="74">
        <f>SUMIFS(приходи!$L:$L,приходи!$E:$E,'ПП Декември'!$C$18,приходи!$M:$M,'ПП Декември'!N2)</f>
        <v>0</v>
      </c>
      <c r="O18" s="74">
        <f>SUMIFS(приходи!$L:$L,приходи!$E:$E,'ПП Декември'!$C$18,приходи!$M:$M,'ПП Декември'!O2)</f>
        <v>0</v>
      </c>
      <c r="P18" s="74">
        <f>SUMIFS(приходи!$L:$L,приходи!$E:$E,'ПП Декември'!$C$18,приходи!$M:$M,'ПП Декември'!P2)</f>
        <v>0</v>
      </c>
      <c r="Q18" s="74">
        <f>SUMIFS(приходи!$L:$L,приходи!$E:$E,'ПП Декември'!$C$18,приходи!$M:$M,'ПП Декември'!Q2)</f>
        <v>0</v>
      </c>
      <c r="R18" s="76">
        <f>SUMIFS(приходи!$L:$L,приходи!$E:$E,'ПП Декември'!$C$18,приходи!$M:$M,'ПП Декември'!R2)</f>
        <v>0</v>
      </c>
      <c r="S18" s="76">
        <f>SUMIFS(приходи!$L:$L,приходи!$E:$E,'ПП Декември'!$C$18,приходи!$M:$M,'ПП Декември'!S2)</f>
        <v>0</v>
      </c>
      <c r="T18" s="74">
        <f>SUMIFS(приходи!$L:$L,приходи!$E:$E,'ПП Декември'!$C$18,приходи!$M:$M,'ПП Декември'!T2)</f>
        <v>0</v>
      </c>
      <c r="U18" s="74">
        <f>SUMIFS(приходи!$L:$L,приходи!$E:$E,'ПП Декември'!$C$18,приходи!$M:$M,'ПП Декември'!U2)</f>
        <v>0</v>
      </c>
      <c r="V18" s="74">
        <f>SUMIFS(приходи!$L:$L,приходи!$E:$E,'ПП Декември'!$C$18,приходи!$M:$M,'ПП Декември'!V2)</f>
        <v>0</v>
      </c>
      <c r="W18" s="74">
        <f>SUMIFS(приходи!$L:$L,приходи!$E:$E,'ПП Декември'!$C$18,приходи!$M:$M,'ПП Декември'!W2)</f>
        <v>0</v>
      </c>
      <c r="X18" s="74">
        <f>SUMIFS(приходи!$L:$L,приходи!$E:$E,'ПП Декември'!$C$18,приходи!$M:$M,'ПП Декември'!X2)</f>
        <v>0</v>
      </c>
      <c r="Y18" s="76">
        <f>SUMIFS(приходи!$L:$L,приходи!$E:$E,'ПП Декември'!$C$18,приходи!$M:$M,'ПП Декември'!Y2)</f>
        <v>0</v>
      </c>
      <c r="Z18" s="76">
        <f>SUMIFS(приходи!$L:$L,приходи!$E:$E,'ПП Декември'!$C$18,приходи!$M:$M,'ПП Декември'!Z2)</f>
        <v>0</v>
      </c>
      <c r="AA18" s="74">
        <f>SUMIFS(приходи!$L:$L,приходи!$E:$E,'ПП Декември'!$C$18,приходи!$M:$M,'ПП Декември'!AA2)</f>
        <v>0</v>
      </c>
      <c r="AB18" s="76">
        <f>SUMIFS(приходи!$L:$L,приходи!$E:$E,'ПП Декември'!$C$18,приходи!$M:$M,'ПП Декември'!AB2)</f>
        <v>0</v>
      </c>
      <c r="AC18" s="76">
        <f>SUMIFS(приходи!$L:$L,приходи!$E:$E,'ПП Декември'!$C$18,приходи!$M:$M,'ПП Декември'!AC2)</f>
        <v>0</v>
      </c>
      <c r="AD18" s="76">
        <f>SUMIFS(приходи!$L:$L,приходи!$E:$E,'ПП Декември'!$C$18,приходи!$M:$M,'ПП Декември'!AD2)</f>
        <v>0</v>
      </c>
      <c r="AE18" s="74">
        <f>SUMIFS(приходи!$L:$L,приходи!$E:$E,'ПП Декември'!$C$18,приходи!$M:$M,'ПП Декември'!AE2)</f>
        <v>0</v>
      </c>
      <c r="AF18" s="76">
        <f>SUMIFS(приходи!$L:$L,приходи!$E:$E,'ПП Декември'!$C$18,приходи!$M:$M,'ПП Декември'!AF2)</f>
        <v>0</v>
      </c>
      <c r="AG18" s="76">
        <f>SUMIFS(приходи!$L:$L,приходи!$E:$E,'ПП Декември'!$C$18,приходи!$M:$M,'ПП Декември'!AG2)</f>
        <v>0</v>
      </c>
      <c r="AH18" s="74">
        <f>SUMIFS(приходи!$L:$L,приходи!$E:$E,'ПП Декември'!$C$18,приходи!$M:$M,'ПП Декември'!AH2)</f>
        <v>0</v>
      </c>
      <c r="AI18" s="74">
        <f>SUMIFS(приходи!$L:$L,приходи!$E:$E,'ПП Декември'!$C$18,приходи!$M:$M,'ПП Декември'!AI2)</f>
        <v>0</v>
      </c>
      <c r="AJ18" s="61">
        <f t="shared" si="2"/>
        <v>0</v>
      </c>
      <c r="AK18" s="69">
        <f t="shared" si="3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Декември'!$C$19,приходи!$M:$M,'ПП Декември'!E2)</f>
        <v>0</v>
      </c>
      <c r="F19" s="74">
        <f>SUMIFS(приходи!$L:$L,приходи!$E:$E,'ПП Декември'!$C$19,приходи!$M:$M,'ПП Декември'!F2)</f>
        <v>0</v>
      </c>
      <c r="G19" s="74">
        <f>SUMIFS(приходи!$L:$L,приходи!$E:$E,'ПП Декември'!$C$19,приходи!$M:$M,'ПП Декември'!G2)</f>
        <v>0</v>
      </c>
      <c r="H19" s="74">
        <f>SUMIFS(приходи!$L:$L,приходи!$E:$E,'ПП Декември'!$C$19,приходи!$M:$M,'ПП Декември'!H2)</f>
        <v>0</v>
      </c>
      <c r="I19" s="74">
        <f>SUMIFS(приходи!$L:$L,приходи!$E:$E,'ПП Декември'!$C$19,приходи!$M:$M,'ПП Декември'!I2)</f>
        <v>0</v>
      </c>
      <c r="J19" s="74">
        <f>SUMIFS(приходи!$L:$L,приходи!$E:$E,'ПП Декември'!$C$19,приходи!$M:$M,'ПП Декември'!J2)</f>
        <v>0</v>
      </c>
      <c r="K19" s="76">
        <f>SUMIFS(приходи!$L:$L,приходи!$E:$E,'ПП Декември'!$C$19,приходи!$M:$M,'ПП Декември'!K2)</f>
        <v>0</v>
      </c>
      <c r="L19" s="76">
        <f>SUMIFS(приходи!$L:$L,приходи!$E:$E,'ПП Декември'!$C$19,приходи!$M:$M,'ПП Декември'!L2)</f>
        <v>0</v>
      </c>
      <c r="M19" s="74">
        <f>SUMIFS(приходи!$L:$L,приходи!$E:$E,'ПП Декември'!$C$19,приходи!$M:$M,'ПП Декември'!M2)</f>
        <v>0</v>
      </c>
      <c r="N19" s="74">
        <f>SUMIFS(приходи!$L:$L,приходи!$E:$E,'ПП Декември'!$C$19,приходи!$M:$M,'ПП Декември'!N2)</f>
        <v>0</v>
      </c>
      <c r="O19" s="74">
        <f>SUMIFS(приходи!$L:$L,приходи!$E:$E,'ПП Декември'!$C$19,приходи!$M:$M,'ПП Декември'!O2)</f>
        <v>0</v>
      </c>
      <c r="P19" s="74">
        <f>SUMIFS(приходи!$L:$L,приходи!$E:$E,'ПП Декември'!$C$19,приходи!$M:$M,'ПП Декември'!P2)</f>
        <v>0</v>
      </c>
      <c r="Q19" s="74">
        <f>SUMIFS(приходи!$L:$L,приходи!$E:$E,'ПП Декември'!$C$19,приходи!$M:$M,'ПП Декември'!Q2)</f>
        <v>0</v>
      </c>
      <c r="R19" s="76">
        <f>SUMIFS(приходи!$L:$L,приходи!$E:$E,'ПП Декември'!$C$19,приходи!$M:$M,'ПП Декември'!R2)</f>
        <v>0</v>
      </c>
      <c r="S19" s="76">
        <f>SUMIFS(приходи!$L:$L,приходи!$E:$E,'ПП Декември'!$C$19,приходи!$M:$M,'ПП Декември'!S2)</f>
        <v>0</v>
      </c>
      <c r="T19" s="74">
        <f>SUMIFS(приходи!$L:$L,приходи!$E:$E,'ПП Декември'!$C$19,приходи!$M:$M,'ПП Декември'!T2)</f>
        <v>0</v>
      </c>
      <c r="U19" s="74">
        <f>SUMIFS(приходи!$L:$L,приходи!$E:$E,'ПП Декември'!$C$19,приходи!$M:$M,'ПП Декември'!U2)</f>
        <v>0</v>
      </c>
      <c r="V19" s="74">
        <f>SUMIFS(приходи!$L:$L,приходи!$E:$E,'ПП Декември'!$C$19,приходи!$M:$M,'ПП Декември'!V2)</f>
        <v>0</v>
      </c>
      <c r="W19" s="74">
        <f>SUMIFS(приходи!$L:$L,приходи!$E:$E,'ПП Декември'!$C$19,приходи!$M:$M,'ПП Декември'!W2)</f>
        <v>0</v>
      </c>
      <c r="X19" s="74">
        <f>SUMIFS(приходи!$L:$L,приходи!$E:$E,'ПП Декември'!$C$19,приходи!$M:$M,'ПП Декември'!X2)</f>
        <v>0</v>
      </c>
      <c r="Y19" s="76">
        <f>SUMIFS(приходи!$L:$L,приходи!$E:$E,'ПП Декември'!$C$19,приходи!$M:$M,'ПП Декември'!Y2)</f>
        <v>0</v>
      </c>
      <c r="Z19" s="76">
        <f>SUMIFS(приходи!$L:$L,приходи!$E:$E,'ПП Декември'!$C$19,приходи!$M:$M,'ПП Декември'!Z2)</f>
        <v>0</v>
      </c>
      <c r="AA19" s="74">
        <f>SUMIFS(приходи!$L:$L,приходи!$E:$E,'ПП Декември'!$C$19,приходи!$M:$M,'ПП Декември'!AA2)</f>
        <v>0</v>
      </c>
      <c r="AB19" s="76">
        <f>SUMIFS(приходи!$L:$L,приходи!$E:$E,'ПП Декември'!$C$19,приходи!$M:$M,'ПП Декември'!AB2)</f>
        <v>0</v>
      </c>
      <c r="AC19" s="76">
        <f>SUMIFS(приходи!$L:$L,приходи!$E:$E,'ПП Декември'!$C$19,приходи!$M:$M,'ПП Декември'!AC2)</f>
        <v>0</v>
      </c>
      <c r="AD19" s="76">
        <f>SUMIFS(приходи!$L:$L,приходи!$E:$E,'ПП Декември'!$C$19,приходи!$M:$M,'ПП Декември'!AD2)</f>
        <v>0</v>
      </c>
      <c r="AE19" s="74">
        <f>SUMIFS(приходи!$L:$L,приходи!$E:$E,'ПП Декември'!$C$19,приходи!$M:$M,'ПП Декември'!AE2)</f>
        <v>0</v>
      </c>
      <c r="AF19" s="76">
        <f>SUMIFS(приходи!$L:$L,приходи!$E:$E,'ПП Декември'!$C$19,приходи!$M:$M,'ПП Декември'!AF2)</f>
        <v>0</v>
      </c>
      <c r="AG19" s="76">
        <f>SUMIFS(приходи!$L:$L,приходи!$E:$E,'ПП Декември'!$C$19,приходи!$M:$M,'ПП Декември'!AG2)</f>
        <v>0</v>
      </c>
      <c r="AH19" s="74">
        <f>SUMIFS(приходи!$L:$L,приходи!$E:$E,'ПП Декември'!$C$19,приходи!$M:$M,'ПП Декември'!AH2)</f>
        <v>0</v>
      </c>
      <c r="AI19" s="74">
        <f>SUMIFS(приходи!$L:$L,приходи!$E:$E,'ПП Декември'!$C$19,приходи!$M:$M,'ПП Декември'!AI2)</f>
        <v>0</v>
      </c>
      <c r="AJ19" s="61">
        <f t="shared" si="2"/>
        <v>0</v>
      </c>
      <c r="AK19" s="69">
        <f t="shared" si="3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Декември'!$C$20,приходи!$M:$M,'ПП Декември'!E2)</f>
        <v>0</v>
      </c>
      <c r="F20" s="74">
        <f>SUMIFS(приходи!$L:$L,приходи!$E:$E,'ПП Декември'!$C$20,приходи!$M:$M,'ПП Декември'!F2)</f>
        <v>0</v>
      </c>
      <c r="G20" s="74">
        <f>SUMIFS(приходи!$L:$L,приходи!$E:$E,'ПП Декември'!$C$20,приходи!$M:$M,'ПП Декември'!G2)</f>
        <v>0</v>
      </c>
      <c r="H20" s="74">
        <f>SUMIFS(приходи!$L:$L,приходи!$E:$E,'ПП Декември'!$C$20,приходи!$M:$M,'ПП Декември'!H2)</f>
        <v>0</v>
      </c>
      <c r="I20" s="74">
        <f>SUMIFS(приходи!$L:$L,приходи!$E:$E,'ПП Декември'!$C$20,приходи!$M:$M,'ПП Декември'!I2)</f>
        <v>0</v>
      </c>
      <c r="J20" s="74">
        <f>SUMIFS(приходи!$L:$L,приходи!$E:$E,'ПП Декември'!$C$20,приходи!$M:$M,'ПП Декември'!J2)</f>
        <v>0</v>
      </c>
      <c r="K20" s="76">
        <f>SUMIFS(приходи!$L:$L,приходи!$E:$E,'ПП Декември'!$C$20,приходи!$M:$M,'ПП Декември'!K2)</f>
        <v>0</v>
      </c>
      <c r="L20" s="76">
        <f>SUMIFS(приходи!$L:$L,приходи!$E:$E,'ПП Декември'!$C$20,приходи!$M:$M,'ПП Декември'!L2)</f>
        <v>0</v>
      </c>
      <c r="M20" s="74">
        <f>SUMIFS(приходи!$L:$L,приходи!$E:$E,'ПП Декември'!$C$20,приходи!$M:$M,'ПП Декември'!M2)</f>
        <v>0</v>
      </c>
      <c r="N20" s="74">
        <f>SUMIFS(приходи!$L:$L,приходи!$E:$E,'ПП Декември'!$C$20,приходи!$M:$M,'ПП Декември'!N2)</f>
        <v>0</v>
      </c>
      <c r="O20" s="74">
        <f>SUMIFS(приходи!$L:$L,приходи!$E:$E,'ПП Декември'!$C$20,приходи!$M:$M,'ПП Декември'!O2)</f>
        <v>0</v>
      </c>
      <c r="P20" s="74">
        <f>SUMIFS(приходи!$L:$L,приходи!$E:$E,'ПП Декември'!$C$20,приходи!$M:$M,'ПП Декември'!P2)</f>
        <v>0</v>
      </c>
      <c r="Q20" s="74">
        <f>SUMIFS(приходи!$L:$L,приходи!$E:$E,'ПП Декември'!$C$20,приходи!$M:$M,'ПП Декември'!Q2)</f>
        <v>0</v>
      </c>
      <c r="R20" s="76">
        <f>SUMIFS(приходи!$L:$L,приходи!$E:$E,'ПП Декември'!$C$20,приходи!$M:$M,'ПП Декември'!R2)</f>
        <v>0</v>
      </c>
      <c r="S20" s="76">
        <f>SUMIFS(приходи!$L:$L,приходи!$E:$E,'ПП Декември'!$C$20,приходи!$M:$M,'ПП Декември'!S2)</f>
        <v>0</v>
      </c>
      <c r="T20" s="74">
        <f>SUMIFS(приходи!$L:$L,приходи!$E:$E,'ПП Декември'!$C$20,приходи!$M:$M,'ПП Декември'!T2)</f>
        <v>0</v>
      </c>
      <c r="U20" s="74">
        <f>SUMIFS(приходи!$L:$L,приходи!$E:$E,'ПП Декември'!$C$20,приходи!$M:$M,'ПП Декември'!U2)</f>
        <v>0</v>
      </c>
      <c r="V20" s="74">
        <f>SUMIFS(приходи!$L:$L,приходи!$E:$E,'ПП Декември'!$C$20,приходи!$M:$M,'ПП Декември'!V2)</f>
        <v>0</v>
      </c>
      <c r="W20" s="74">
        <f>SUMIFS(приходи!$L:$L,приходи!$E:$E,'ПП Декември'!$C$20,приходи!$M:$M,'ПП Декември'!W2)</f>
        <v>0</v>
      </c>
      <c r="X20" s="74">
        <f>SUMIFS(приходи!$L:$L,приходи!$E:$E,'ПП Декември'!$C$20,приходи!$M:$M,'ПП Декември'!X2)</f>
        <v>0</v>
      </c>
      <c r="Y20" s="76">
        <f>SUMIFS(приходи!$L:$L,приходи!$E:$E,'ПП Декември'!$C$20,приходи!$M:$M,'ПП Декември'!Y2)</f>
        <v>0</v>
      </c>
      <c r="Z20" s="76">
        <f>SUMIFS(приходи!$L:$L,приходи!$E:$E,'ПП Декември'!$C$20,приходи!$M:$M,'ПП Декември'!Z2)</f>
        <v>0</v>
      </c>
      <c r="AA20" s="74">
        <f>SUMIFS(приходи!$L:$L,приходи!$E:$E,'ПП Декември'!$C$20,приходи!$M:$M,'ПП Декември'!AA2)</f>
        <v>0</v>
      </c>
      <c r="AB20" s="76">
        <f>SUMIFS(приходи!$L:$L,приходи!$E:$E,'ПП Декември'!$C$20,приходи!$M:$M,'ПП Декември'!AB2)</f>
        <v>0</v>
      </c>
      <c r="AC20" s="76">
        <f>SUMIFS(приходи!$L:$L,приходи!$E:$E,'ПП Декември'!$C$20,приходи!$M:$M,'ПП Декември'!AC2)</f>
        <v>0</v>
      </c>
      <c r="AD20" s="76">
        <f>SUMIFS(приходи!$L:$L,приходи!$E:$E,'ПП Декември'!$C$20,приходи!$M:$M,'ПП Декември'!AD2)</f>
        <v>0</v>
      </c>
      <c r="AE20" s="74">
        <f>SUMIFS(приходи!$L:$L,приходи!$E:$E,'ПП Декември'!$C$20,приходи!$M:$M,'ПП Декември'!AE2)</f>
        <v>0</v>
      </c>
      <c r="AF20" s="76">
        <f>SUMIFS(приходи!$L:$L,приходи!$E:$E,'ПП Декември'!$C$20,приходи!$M:$M,'ПП Декември'!AF2)</f>
        <v>0</v>
      </c>
      <c r="AG20" s="76">
        <f>SUMIFS(приходи!$L:$L,приходи!$E:$E,'ПП Декември'!$C$20,приходи!$M:$M,'ПП Декември'!AG2)</f>
        <v>0</v>
      </c>
      <c r="AH20" s="74">
        <f>SUMIFS(приходи!$L:$L,приходи!$E:$E,'ПП Декември'!$C$20,приходи!$M:$M,'ПП Декември'!AH2)</f>
        <v>0</v>
      </c>
      <c r="AI20" s="74">
        <f>SUMIFS(приходи!$L:$L,приходи!$E:$E,'ПП Декември'!$C$20,приходи!$M:$M,'ПП Декември'!AI2)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Декември'!$C$21,приходи!$M:$M,'ПП Декември'!E2)</f>
        <v>0</v>
      </c>
      <c r="F21" s="74">
        <f>SUMIFS(приходи!$L:$L,приходи!$E:$E,'ПП Декември'!$C$21,приходи!$M:$M,'ПП Декември'!F2)</f>
        <v>0</v>
      </c>
      <c r="G21" s="74">
        <f>SUMIFS(приходи!$L:$L,приходи!$E:$E,'ПП Декември'!$C$21,приходи!$M:$M,'ПП Декември'!G2)</f>
        <v>0</v>
      </c>
      <c r="H21" s="74">
        <f>SUMIFS(приходи!$L:$L,приходи!$E:$E,'ПП Декември'!$C$21,приходи!$M:$M,'ПП Декември'!H2)</f>
        <v>0</v>
      </c>
      <c r="I21" s="74">
        <f>SUMIFS(приходи!$L:$L,приходи!$E:$E,'ПП Декември'!$C$21,приходи!$M:$M,'ПП Декември'!I2)</f>
        <v>0</v>
      </c>
      <c r="J21" s="74">
        <f>SUMIFS(приходи!$L:$L,приходи!$E:$E,'ПП Декември'!$C$21,приходи!$M:$M,'ПП Декември'!J2)</f>
        <v>0</v>
      </c>
      <c r="K21" s="76">
        <f>SUMIFS(приходи!$L:$L,приходи!$E:$E,'ПП Декември'!$C$21,приходи!$M:$M,'ПП Декември'!K2)</f>
        <v>0</v>
      </c>
      <c r="L21" s="76">
        <f>SUMIFS(приходи!$L:$L,приходи!$E:$E,'ПП Декември'!$C$21,приходи!$M:$M,'ПП Декември'!L2)</f>
        <v>0</v>
      </c>
      <c r="M21" s="74">
        <f>SUMIFS(приходи!$L:$L,приходи!$E:$E,'ПП Декември'!$C$21,приходи!$M:$M,'ПП Декември'!M2)</f>
        <v>0</v>
      </c>
      <c r="N21" s="74">
        <f>SUMIFS(приходи!$L:$L,приходи!$E:$E,'ПП Декември'!$C$21,приходи!$M:$M,'ПП Декември'!N2)</f>
        <v>0</v>
      </c>
      <c r="O21" s="74">
        <f>SUMIFS(приходи!$L:$L,приходи!$E:$E,'ПП Декември'!$C$21,приходи!$M:$M,'ПП Декември'!O2)</f>
        <v>0</v>
      </c>
      <c r="P21" s="74">
        <f>SUMIFS(приходи!$L:$L,приходи!$E:$E,'ПП Декември'!$C$21,приходи!$M:$M,'ПП Декември'!P2)</f>
        <v>0</v>
      </c>
      <c r="Q21" s="74">
        <f>SUMIFS(приходи!$L:$L,приходи!$E:$E,'ПП Декември'!$C$21,приходи!$M:$M,'ПП Декември'!Q2)</f>
        <v>0</v>
      </c>
      <c r="R21" s="76">
        <f>SUMIFS(приходи!$L:$L,приходи!$E:$E,'ПП Декември'!$C$21,приходи!$M:$M,'ПП Декември'!R2)</f>
        <v>0</v>
      </c>
      <c r="S21" s="76">
        <f>SUMIFS(приходи!$L:$L,приходи!$E:$E,'ПП Декември'!$C$21,приходи!$M:$M,'ПП Декември'!S2)</f>
        <v>0</v>
      </c>
      <c r="T21" s="74">
        <f>SUMIFS(приходи!$L:$L,приходи!$E:$E,'ПП Декември'!$C$21,приходи!$M:$M,'ПП Декември'!T2)</f>
        <v>0</v>
      </c>
      <c r="U21" s="74">
        <f>SUMIFS(приходи!$L:$L,приходи!$E:$E,'ПП Декември'!$C$21,приходи!$M:$M,'ПП Декември'!U2)</f>
        <v>0</v>
      </c>
      <c r="V21" s="74">
        <f>SUMIFS(приходи!$L:$L,приходи!$E:$E,'ПП Декември'!$C$21,приходи!$M:$M,'ПП Декември'!V2)</f>
        <v>0</v>
      </c>
      <c r="W21" s="74">
        <f>SUMIFS(приходи!$L:$L,приходи!$E:$E,'ПП Декември'!$C$21,приходи!$M:$M,'ПП Декември'!W2)</f>
        <v>0</v>
      </c>
      <c r="X21" s="74">
        <f>SUMIFS(приходи!$L:$L,приходи!$E:$E,'ПП Декември'!$C$21,приходи!$M:$M,'ПП Декември'!X2)</f>
        <v>0</v>
      </c>
      <c r="Y21" s="76">
        <f>SUMIFS(приходи!$L:$L,приходи!$E:$E,'ПП Декември'!$C$21,приходи!$M:$M,'ПП Декември'!Y2)</f>
        <v>0</v>
      </c>
      <c r="Z21" s="76">
        <f>SUMIFS(приходи!$L:$L,приходи!$E:$E,'ПП Декември'!$C$21,приходи!$M:$M,'ПП Декември'!Z2)</f>
        <v>0</v>
      </c>
      <c r="AA21" s="74">
        <f>SUMIFS(приходи!$L:$L,приходи!$E:$E,'ПП Декември'!$C$21,приходи!$M:$M,'ПП Декември'!AA2)</f>
        <v>0</v>
      </c>
      <c r="AB21" s="76">
        <f>SUMIFS(приходи!$L:$L,приходи!$E:$E,'ПП Декември'!$C$21,приходи!$M:$M,'ПП Декември'!AB2)</f>
        <v>0</v>
      </c>
      <c r="AC21" s="76">
        <f>SUMIFS(приходи!$L:$L,приходи!$E:$E,'ПП Декември'!$C$21,приходи!$M:$M,'ПП Декември'!AC2)</f>
        <v>0</v>
      </c>
      <c r="AD21" s="76">
        <f>SUMIFS(приходи!$L:$L,приходи!$E:$E,'ПП Декември'!$C$21,приходи!$M:$M,'ПП Декември'!AD2)</f>
        <v>0</v>
      </c>
      <c r="AE21" s="74">
        <f>SUMIFS(приходи!$L:$L,приходи!$E:$E,'ПП Декември'!$C$21,приходи!$M:$M,'ПП Декември'!AE2)</f>
        <v>0</v>
      </c>
      <c r="AF21" s="76">
        <f>SUMIFS(приходи!$L:$L,приходи!$E:$E,'ПП Декември'!$C$21,приходи!$M:$M,'ПП Декември'!AF2)</f>
        <v>0</v>
      </c>
      <c r="AG21" s="76">
        <f>SUMIFS(приходи!$L:$L,приходи!$E:$E,'ПП Декември'!$C$21,приходи!$M:$M,'ПП Декември'!AG2)</f>
        <v>0</v>
      </c>
      <c r="AH21" s="74">
        <f>SUMIFS(приходи!$L:$L,приходи!$E:$E,'ПП Декември'!$C$21,приходи!$M:$M,'ПП Декември'!AH2)</f>
        <v>0</v>
      </c>
      <c r="AI21" s="74">
        <f>SUMIFS(приходи!$L:$L,приходи!$E:$E,'ПП Декември'!$C$21,приходи!$M:$M,'ПП Декември'!AI2)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Декември'!$C$22,приходи!$M:$M,'ПП Декември'!E2)</f>
        <v>0</v>
      </c>
      <c r="F22" s="74">
        <f>SUMIFS(приходи!$L:$L,приходи!$E:$E,'ПП Декември'!$C$22,приходи!$M:$M,'ПП Декември'!F2)</f>
        <v>0</v>
      </c>
      <c r="G22" s="74">
        <f>SUMIFS(приходи!$L:$L,приходи!$E:$E,'ПП Декември'!$C$22,приходи!$M:$M,'ПП Декември'!G2)</f>
        <v>0</v>
      </c>
      <c r="H22" s="74">
        <f>SUMIFS(приходи!$L:$L,приходи!$E:$E,'ПП Декември'!$C$22,приходи!$M:$M,'ПП Декември'!H2)</f>
        <v>0</v>
      </c>
      <c r="I22" s="74">
        <f>SUMIFS(приходи!$L:$L,приходи!$E:$E,'ПП Декември'!$C$22,приходи!$M:$M,'ПП Декември'!I2)</f>
        <v>0</v>
      </c>
      <c r="J22" s="74">
        <f>SUMIFS(приходи!$L:$L,приходи!$E:$E,'ПП Декември'!$C$22,приходи!$M:$M,'ПП Декември'!J2)</f>
        <v>0</v>
      </c>
      <c r="K22" s="76">
        <f>SUMIFS(приходи!$L:$L,приходи!$E:$E,'ПП Декември'!$C$22,приходи!$M:$M,'ПП Декември'!K2)</f>
        <v>0</v>
      </c>
      <c r="L22" s="76">
        <f>SUMIFS(приходи!$L:$L,приходи!$E:$E,'ПП Декември'!$C$22,приходи!$M:$M,'ПП Декември'!L2)</f>
        <v>0</v>
      </c>
      <c r="M22" s="74">
        <f>SUMIFS(приходи!$L:$L,приходи!$E:$E,'ПП Декември'!$C$22,приходи!$M:$M,'ПП Декември'!M2)</f>
        <v>0</v>
      </c>
      <c r="N22" s="74">
        <f>SUMIFS(приходи!$L:$L,приходи!$E:$E,'ПП Декември'!$C$22,приходи!$M:$M,'ПП Декември'!N2)</f>
        <v>0</v>
      </c>
      <c r="O22" s="74">
        <f>SUMIFS(приходи!$L:$L,приходи!$E:$E,'ПП Декември'!$C$22,приходи!$M:$M,'ПП Декември'!O2)</f>
        <v>0</v>
      </c>
      <c r="P22" s="74">
        <f>SUMIFS(приходи!$L:$L,приходи!$E:$E,'ПП Декември'!$C$22,приходи!$M:$M,'ПП Декември'!P2)</f>
        <v>0</v>
      </c>
      <c r="Q22" s="74">
        <f>SUMIFS(приходи!$L:$L,приходи!$E:$E,'ПП Декември'!$C$22,приходи!$M:$M,'ПП Декември'!Q2)</f>
        <v>0</v>
      </c>
      <c r="R22" s="76">
        <f>SUMIFS(приходи!$L:$L,приходи!$E:$E,'ПП Декември'!$C$22,приходи!$M:$M,'ПП Декември'!R2)</f>
        <v>0</v>
      </c>
      <c r="S22" s="76">
        <f>SUMIFS(приходи!$L:$L,приходи!$E:$E,'ПП Декември'!$C$22,приходи!$M:$M,'ПП Декември'!S2)</f>
        <v>0</v>
      </c>
      <c r="T22" s="74">
        <f>SUMIFS(приходи!$L:$L,приходи!$E:$E,'ПП Декември'!$C$22,приходи!$M:$M,'ПП Декември'!T2)</f>
        <v>0</v>
      </c>
      <c r="U22" s="74">
        <f>SUMIFS(приходи!$L:$L,приходи!$E:$E,'ПП Декември'!$C$22,приходи!$M:$M,'ПП Декември'!U2)</f>
        <v>0</v>
      </c>
      <c r="V22" s="74">
        <f>SUMIFS(приходи!$L:$L,приходи!$E:$E,'ПП Декември'!$C$22,приходи!$M:$M,'ПП Декември'!V2)</f>
        <v>0</v>
      </c>
      <c r="W22" s="74">
        <f>SUMIFS(приходи!$L:$L,приходи!$E:$E,'ПП Декември'!$C$22,приходи!$M:$M,'ПП Декември'!W2)</f>
        <v>0</v>
      </c>
      <c r="X22" s="74">
        <f>SUMIFS(приходи!$L:$L,приходи!$E:$E,'ПП Декември'!$C$22,приходи!$M:$M,'ПП Декември'!X2)</f>
        <v>0</v>
      </c>
      <c r="Y22" s="76">
        <f>SUMIFS(приходи!$L:$L,приходи!$E:$E,'ПП Декември'!$C$22,приходи!$M:$M,'ПП Декември'!Y2)</f>
        <v>0</v>
      </c>
      <c r="Z22" s="76">
        <f>SUMIFS(приходи!$L:$L,приходи!$E:$E,'ПП Декември'!$C$22,приходи!$M:$M,'ПП Декември'!Z2)</f>
        <v>0</v>
      </c>
      <c r="AA22" s="74">
        <f>SUMIFS(приходи!$L:$L,приходи!$E:$E,'ПП Декември'!$C$22,приходи!$M:$M,'ПП Декември'!AA2)</f>
        <v>0</v>
      </c>
      <c r="AB22" s="76">
        <f>SUMIFS(приходи!$L:$L,приходи!$E:$E,'ПП Декември'!$C$22,приходи!$M:$M,'ПП Декември'!AB2)</f>
        <v>0</v>
      </c>
      <c r="AC22" s="76">
        <f>SUMIFS(приходи!$L:$L,приходи!$E:$E,'ПП Декември'!$C$22,приходи!$M:$M,'ПП Декември'!AC2)</f>
        <v>0</v>
      </c>
      <c r="AD22" s="76">
        <f>SUMIFS(приходи!$L:$L,приходи!$E:$E,'ПП Декември'!$C$22,приходи!$M:$M,'ПП Декември'!AD2)</f>
        <v>0</v>
      </c>
      <c r="AE22" s="74">
        <f>SUMIFS(приходи!$L:$L,приходи!$E:$E,'ПП Декември'!$C$22,приходи!$M:$M,'ПП Декември'!AE2)</f>
        <v>0</v>
      </c>
      <c r="AF22" s="76">
        <f>SUMIFS(приходи!$L:$L,приходи!$E:$E,'ПП Декември'!$C$22,приходи!$M:$M,'ПП Декември'!AF2)</f>
        <v>0</v>
      </c>
      <c r="AG22" s="76">
        <f>SUMIFS(приходи!$L:$L,приходи!$E:$E,'ПП Декември'!$C$22,приходи!$M:$M,'ПП Декември'!AG2)</f>
        <v>0</v>
      </c>
      <c r="AH22" s="74">
        <f>SUMIFS(приходи!$L:$L,приходи!$E:$E,'ПП Декември'!$C$22,приходи!$M:$M,'ПП Декември'!AH2)</f>
        <v>0</v>
      </c>
      <c r="AI22" s="74">
        <f>SUMIFS(приходи!$L:$L,приходи!$E:$E,'ПП Декември'!$C$22,приходи!$M:$M,'ПП Декември'!AI2)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AI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si="3"/>
        <v>0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2">SUM(D26:D28)</f>
        <v>0</v>
      </c>
      <c r="E24" s="77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0</v>
      </c>
      <c r="J24" s="73">
        <f t="shared" si="13"/>
        <v>0</v>
      </c>
      <c r="K24" s="77">
        <f t="shared" si="13"/>
        <v>0</v>
      </c>
      <c r="L24" s="77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3">
        <f t="shared" si="13"/>
        <v>0</v>
      </c>
      <c r="Q24" s="73">
        <f t="shared" si="13"/>
        <v>0</v>
      </c>
      <c r="R24" s="77">
        <f t="shared" si="13"/>
        <v>0</v>
      </c>
      <c r="S24" s="77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3">
        <f t="shared" si="13"/>
        <v>0</v>
      </c>
      <c r="X24" s="73">
        <f t="shared" si="13"/>
        <v>0</v>
      </c>
      <c r="Y24" s="77">
        <f t="shared" si="13"/>
        <v>0</v>
      </c>
      <c r="Z24" s="77">
        <f t="shared" si="13"/>
        <v>0</v>
      </c>
      <c r="AA24" s="73">
        <f t="shared" si="13"/>
        <v>0</v>
      </c>
      <c r="AB24" s="77">
        <f t="shared" si="13"/>
        <v>0</v>
      </c>
      <c r="AC24" s="77">
        <f t="shared" si="13"/>
        <v>0</v>
      </c>
      <c r="AD24" s="77">
        <f t="shared" si="13"/>
        <v>0</v>
      </c>
      <c r="AE24" s="73">
        <f t="shared" si="13"/>
        <v>0</v>
      </c>
      <c r="AF24" s="77">
        <f t="shared" si="13"/>
        <v>0</v>
      </c>
      <c r="AG24" s="77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0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8"/>
      <c r="F25" s="75"/>
      <c r="G25" s="75"/>
      <c r="H25" s="75"/>
      <c r="I25" s="75"/>
      <c r="J25" s="75"/>
      <c r="K25" s="78"/>
      <c r="L25" s="78"/>
      <c r="M25" s="75"/>
      <c r="N25" s="75"/>
      <c r="O25" s="75"/>
      <c r="P25" s="75"/>
      <c r="Q25" s="75"/>
      <c r="R25" s="78"/>
      <c r="S25" s="78"/>
      <c r="T25" s="75"/>
      <c r="U25" s="75"/>
      <c r="V25" s="75"/>
      <c r="W25" s="75"/>
      <c r="X25" s="75"/>
      <c r="Y25" s="78"/>
      <c r="Z25" s="78"/>
      <c r="AA25" s="75"/>
      <c r="AB25" s="78"/>
      <c r="AC25" s="78"/>
      <c r="AD25" s="78"/>
      <c r="AE25" s="75"/>
      <c r="AF25" s="78"/>
      <c r="AG25" s="78"/>
      <c r="AH25" s="75"/>
      <c r="AI25" s="75"/>
      <c r="AJ25" s="66">
        <f t="shared" si="2"/>
        <v>0</v>
      </c>
      <c r="AK25" s="67">
        <f t="shared" si="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/>
      <c r="E26" s="76">
        <f>SUMIFS(разходи!$L:$L,разходи!$E:$E,'ПП Декември'!$C$26,разходи!$M:$M,'ПП Декември'!E2)</f>
        <v>0</v>
      </c>
      <c r="F26" s="74">
        <f>SUMIFS(разходи!$L:$L,разходи!$E:$E,'ПП Декември'!$C$26,разходи!$M:$M,'ПП Декември'!F2)</f>
        <v>0</v>
      </c>
      <c r="G26" s="74">
        <f>SUMIFS(разходи!$L:$L,разходи!$E:$E,'ПП Декември'!$C$26,разходи!$M:$M,'ПП Декември'!G2)</f>
        <v>0</v>
      </c>
      <c r="H26" s="74">
        <f>SUMIFS(разходи!$L:$L,разходи!$E:$E,'ПП Декември'!$C$26,разходи!$M:$M,'ПП Декември'!H2)</f>
        <v>0</v>
      </c>
      <c r="I26" s="74">
        <f>SUMIFS(разходи!$L:$L,разходи!$E:$E,'ПП Декември'!$C$26,разходи!$M:$M,'ПП Декември'!I2)</f>
        <v>0</v>
      </c>
      <c r="J26" s="74">
        <f>SUMIFS(разходи!$L:$L,разходи!$E:$E,'ПП Декември'!$C$26,разходи!$M:$M,'ПП Декември'!J2)</f>
        <v>0</v>
      </c>
      <c r="K26" s="76">
        <f>SUMIFS(разходи!$L:$L,разходи!$E:$E,'ПП Декември'!$C$26,разходи!$M:$M,'ПП Декември'!K2)</f>
        <v>0</v>
      </c>
      <c r="L26" s="76">
        <f>SUMIFS(разходи!$L:$L,разходи!$E:$E,'ПП Декември'!$C$26,разходи!$M:$M,'ПП Декември'!L2)</f>
        <v>0</v>
      </c>
      <c r="M26" s="74">
        <f>SUMIFS(разходи!$L:$L,разходи!$E:$E,'ПП Декември'!$C$26,разходи!$M:$M,'ПП Декември'!M2)</f>
        <v>0</v>
      </c>
      <c r="N26" s="74">
        <f>SUMIFS(разходи!$L:$L,разходи!$E:$E,'ПП Декември'!$C$26,разходи!$M:$M,'ПП Декември'!N2)</f>
        <v>0</v>
      </c>
      <c r="O26" s="74">
        <f>SUMIFS(разходи!$L:$L,разходи!$E:$E,'ПП Декември'!$C$26,разходи!$M:$M,'ПП Декември'!O2)</f>
        <v>0</v>
      </c>
      <c r="P26" s="74">
        <f>SUMIFS(разходи!$L:$L,разходи!$E:$E,'ПП Декември'!$C$26,разходи!$M:$M,'ПП Декември'!P2)</f>
        <v>0</v>
      </c>
      <c r="Q26" s="74">
        <f>SUMIFS(разходи!$L:$L,разходи!$E:$E,'ПП Декември'!$C$26,разходи!$M:$M,'ПП Декември'!Q2)</f>
        <v>0</v>
      </c>
      <c r="R26" s="76">
        <f>SUMIFS(разходи!$L:$L,разходи!$E:$E,'ПП Декември'!$C$26,разходи!$M:$M,'ПП Декември'!R2)</f>
        <v>0</v>
      </c>
      <c r="S26" s="76">
        <f>SUMIFS(разходи!$L:$L,разходи!$E:$E,'ПП Декември'!$C$26,разходи!$M:$M,'ПП Декември'!S2)</f>
        <v>0</v>
      </c>
      <c r="T26" s="74">
        <f>SUMIFS(разходи!$L:$L,разходи!$E:$E,'ПП Декември'!$C$26,разходи!$M:$M,'ПП Декември'!T2)</f>
        <v>0</v>
      </c>
      <c r="U26" s="74">
        <f>SUMIFS(разходи!$L:$L,разходи!$E:$E,'ПП Декември'!$C$26,разходи!$M:$M,'ПП Декември'!U2)</f>
        <v>0</v>
      </c>
      <c r="V26" s="74">
        <f>SUMIFS(разходи!$L:$L,разходи!$E:$E,'ПП Декември'!$C$26,разходи!$M:$M,'ПП Декември'!V2)</f>
        <v>0</v>
      </c>
      <c r="W26" s="74">
        <f>SUMIFS(разходи!$L:$L,разходи!$E:$E,'ПП Декември'!$C$26,разходи!$M:$M,'ПП Декември'!W2)</f>
        <v>0</v>
      </c>
      <c r="X26" s="74">
        <f>SUMIFS(разходи!$L:$L,разходи!$E:$E,'ПП Декември'!$C$26,разходи!$M:$M,'ПП Декември'!X2)</f>
        <v>0</v>
      </c>
      <c r="Y26" s="76">
        <f>SUMIFS(разходи!$L:$L,разходи!$E:$E,'ПП Декември'!$C$26,разходи!$M:$M,'ПП Декември'!Y2)</f>
        <v>0</v>
      </c>
      <c r="Z26" s="76">
        <f>SUMIFS(разходи!$L:$L,разходи!$E:$E,'ПП Декември'!$C$26,разходи!$M:$M,'ПП Декември'!Z2)</f>
        <v>0</v>
      </c>
      <c r="AA26" s="74">
        <f>SUMIFS(разходи!$L:$L,разходи!$E:$E,'ПП Декември'!$C$26,разходи!$M:$M,'ПП Декември'!AA2)</f>
        <v>0</v>
      </c>
      <c r="AB26" s="76">
        <f>SUMIFS(разходи!$L:$L,разходи!$E:$E,'ПП Декември'!$C$26,разходи!$M:$M,'ПП Декември'!AB2)</f>
        <v>0</v>
      </c>
      <c r="AC26" s="76">
        <f>SUMIFS(разходи!$L:$L,разходи!$E:$E,'ПП Декември'!$C$26,разходи!$M:$M,'ПП Декември'!AC2)</f>
        <v>0</v>
      </c>
      <c r="AD26" s="76">
        <f>SUMIFS(разходи!$L:$L,разходи!$E:$E,'ПП Декември'!$C$26,разходи!$M:$M,'ПП Декември'!AD2)</f>
        <v>0</v>
      </c>
      <c r="AE26" s="74">
        <f>SUMIFS(разходи!$L:$L,разходи!$E:$E,'ПП Декември'!$C$26,разходи!$M:$M,'ПП Декември'!AE2)</f>
        <v>0</v>
      </c>
      <c r="AF26" s="76">
        <f>SUMIFS(разходи!$L:$L,разходи!$E:$E,'ПП Декември'!$C$26,разходи!$M:$M,'ПП Декември'!AF2)</f>
        <v>0</v>
      </c>
      <c r="AG26" s="76">
        <f>SUMIFS(разходи!$L:$L,разходи!$E:$E,'ПП Декември'!$C$26,разходи!$M:$M,'ПП Декември'!AG2)</f>
        <v>0</v>
      </c>
      <c r="AH26" s="74">
        <f>SUMIFS(разходи!$L:$L,разходи!$E:$E,'ПП Декември'!$C$26,разходи!$M:$M,'ПП Декември'!AH2)</f>
        <v>0</v>
      </c>
      <c r="AI26" s="74">
        <f>SUMIFS(разходи!$L:$L,разходи!$E:$E,'ПП Декември'!$C$26,разходи!$M:$M,'ПП Декември'!AI2)</f>
        <v>0</v>
      </c>
      <c r="AJ26" s="61">
        <f t="shared" si="2"/>
        <v>0</v>
      </c>
      <c r="AK26" s="69">
        <f t="shared" si="3"/>
        <v>0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/>
      <c r="E27" s="76">
        <f>SUMIFS(разходи!$L:$L,разходи!$E:$E,'ПП Декември'!$C$27,разходи!$M:$M,'ПП Декември'!E2)</f>
        <v>0</v>
      </c>
      <c r="F27" s="74">
        <f>SUMIFS(разходи!$L:$L,разходи!$E:$E,'ПП Декември'!$C$27,разходи!$M:$M,'ПП Декември'!F2)</f>
        <v>0</v>
      </c>
      <c r="G27" s="74">
        <f>SUMIFS(разходи!$L:$L,разходи!$E:$E,'ПП Декември'!$C$27,разходи!$M:$M,'ПП Декември'!G2)</f>
        <v>0</v>
      </c>
      <c r="H27" s="74">
        <f>SUMIFS(разходи!$L:$L,разходи!$E:$E,'ПП Декември'!$C$27,разходи!$M:$M,'ПП Декември'!H2)</f>
        <v>0</v>
      </c>
      <c r="I27" s="74">
        <f>SUMIFS(разходи!$L:$L,разходи!$E:$E,'ПП Декември'!$C$27,разходи!$M:$M,'ПП Декември'!I2)</f>
        <v>0</v>
      </c>
      <c r="J27" s="74">
        <f>SUMIFS(разходи!$L:$L,разходи!$E:$E,'ПП Декември'!$C$27,разходи!$M:$M,'ПП Декември'!J2)</f>
        <v>0</v>
      </c>
      <c r="K27" s="76">
        <f>SUMIFS(разходи!$L:$L,разходи!$E:$E,'ПП Декември'!$C$27,разходи!$M:$M,'ПП Декември'!K2)</f>
        <v>0</v>
      </c>
      <c r="L27" s="76">
        <f>SUMIFS(разходи!$L:$L,разходи!$E:$E,'ПП Декември'!$C$27,разходи!$M:$M,'ПП Декември'!L2)</f>
        <v>0</v>
      </c>
      <c r="M27" s="74">
        <f>SUMIFS(разходи!$L:$L,разходи!$E:$E,'ПП Декември'!$C$27,разходи!$M:$M,'ПП Декември'!M2)</f>
        <v>0</v>
      </c>
      <c r="N27" s="74">
        <f>SUMIFS(разходи!$L:$L,разходи!$E:$E,'ПП Декември'!$C$27,разходи!$M:$M,'ПП Декември'!N2)</f>
        <v>0</v>
      </c>
      <c r="O27" s="74">
        <f>SUMIFS(разходи!$L:$L,разходи!$E:$E,'ПП Декември'!$C$27,разходи!$M:$M,'ПП Декември'!O2)</f>
        <v>0</v>
      </c>
      <c r="P27" s="74">
        <f>SUMIFS(разходи!$L:$L,разходи!$E:$E,'ПП Декември'!$C$27,разходи!$M:$M,'ПП Декември'!P2)</f>
        <v>0</v>
      </c>
      <c r="Q27" s="74">
        <f>SUMIFS(разходи!$L:$L,разходи!$E:$E,'ПП Декември'!$C$27,разходи!$M:$M,'ПП Декември'!Q2)</f>
        <v>0</v>
      </c>
      <c r="R27" s="76">
        <f>SUMIFS(разходи!$L:$L,разходи!$E:$E,'ПП Декември'!$C$27,разходи!$M:$M,'ПП Декември'!R2)</f>
        <v>0</v>
      </c>
      <c r="S27" s="76">
        <f>SUMIFS(разходи!$L:$L,разходи!$E:$E,'ПП Декември'!$C$27,разходи!$M:$M,'ПП Декември'!S2)</f>
        <v>0</v>
      </c>
      <c r="T27" s="74">
        <f>SUMIFS(разходи!$L:$L,разходи!$E:$E,'ПП Декември'!$C$27,разходи!$M:$M,'ПП Декември'!T2)</f>
        <v>0</v>
      </c>
      <c r="U27" s="74">
        <f>SUMIFS(разходи!$L:$L,разходи!$E:$E,'ПП Декември'!$C$27,разходи!$M:$M,'ПП Декември'!U2)</f>
        <v>0</v>
      </c>
      <c r="V27" s="74">
        <f>SUMIFS(разходи!$L:$L,разходи!$E:$E,'ПП Декември'!$C$27,разходи!$M:$M,'ПП Декември'!V2)</f>
        <v>0</v>
      </c>
      <c r="W27" s="74">
        <f>SUMIFS(разходи!$L:$L,разходи!$E:$E,'ПП Декември'!$C$27,разходи!$M:$M,'ПП Декември'!W2)</f>
        <v>0</v>
      </c>
      <c r="X27" s="74">
        <f>SUMIFS(разходи!$L:$L,разходи!$E:$E,'ПП Декември'!$C$27,разходи!$M:$M,'ПП Декември'!X2)</f>
        <v>0</v>
      </c>
      <c r="Y27" s="76">
        <f>SUMIFS(разходи!$L:$L,разходи!$E:$E,'ПП Декември'!$C$27,разходи!$M:$M,'ПП Декември'!Y2)</f>
        <v>0</v>
      </c>
      <c r="Z27" s="76">
        <f>SUMIFS(разходи!$L:$L,разходи!$E:$E,'ПП Декември'!$C$27,разходи!$M:$M,'ПП Декември'!Z2)</f>
        <v>0</v>
      </c>
      <c r="AA27" s="74">
        <f>SUMIFS(разходи!$L:$L,разходи!$E:$E,'ПП Декември'!$C$27,разходи!$M:$M,'ПП Декември'!AA2)</f>
        <v>0</v>
      </c>
      <c r="AB27" s="76">
        <f>SUMIFS(разходи!$L:$L,разходи!$E:$E,'ПП Декември'!$C$27,разходи!$M:$M,'ПП Декември'!AB2)</f>
        <v>0</v>
      </c>
      <c r="AC27" s="76">
        <f>SUMIFS(разходи!$L:$L,разходи!$E:$E,'ПП Декември'!$C$27,разходи!$M:$M,'ПП Декември'!AC2)</f>
        <v>0</v>
      </c>
      <c r="AD27" s="76">
        <f>SUMIFS(разходи!$L:$L,разходи!$E:$E,'ПП Декември'!$C$27,разходи!$M:$M,'ПП Декември'!AD2)</f>
        <v>0</v>
      </c>
      <c r="AE27" s="74">
        <f>SUMIFS(разходи!$L:$L,разходи!$E:$E,'ПП Декември'!$C$27,разходи!$M:$M,'ПП Декември'!AE2)</f>
        <v>0</v>
      </c>
      <c r="AF27" s="76">
        <f>SUMIFS(разходи!$L:$L,разходи!$E:$E,'ПП Декември'!$C$27,разходи!$M:$M,'ПП Декември'!AF2)</f>
        <v>0</v>
      </c>
      <c r="AG27" s="76">
        <f>SUMIFS(разходи!$L:$L,разходи!$E:$E,'ПП Декември'!$C$27,разходи!$M:$M,'ПП Декември'!AG2)</f>
        <v>0</v>
      </c>
      <c r="AH27" s="74">
        <f>SUMIFS(разходи!$L:$L,разходи!$E:$E,'ПП Декември'!$C$27,разходи!$M:$M,'ПП Декември'!AH2)</f>
        <v>0</v>
      </c>
      <c r="AI27" s="74">
        <f>SUMIFS(разходи!$L:$L,разходи!$E:$E,'ПП Декември'!$C$27,разходи!$M:$M,'ПП Декември'!AI2)</f>
        <v>0</v>
      </c>
      <c r="AJ27" s="61">
        <f t="shared" si="2"/>
        <v>0</v>
      </c>
      <c r="AK27" s="69">
        <f t="shared" si="3"/>
        <v>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6">
        <f>SUMIFS(разходи!$L:$L,разходи!$E:$E,'ПП Декември'!$C$28,разходи!$M:$M,'ПП Декември'!E2)</f>
        <v>0</v>
      </c>
      <c r="F28" s="74">
        <f>SUMIFS(разходи!$L:$L,разходи!$E:$E,'ПП Декември'!$C$28,разходи!$M:$M,'ПП Декември'!F2)</f>
        <v>0</v>
      </c>
      <c r="G28" s="74">
        <f>SUMIFS(разходи!$L:$L,разходи!$E:$E,'ПП Декември'!$C$28,разходи!$M:$M,'ПП Декември'!G2)</f>
        <v>0</v>
      </c>
      <c r="H28" s="74">
        <f>SUMIFS(разходи!$L:$L,разходи!$E:$E,'ПП Декември'!$C$28,разходи!$M:$M,'ПП Декември'!H2)</f>
        <v>0</v>
      </c>
      <c r="I28" s="74">
        <f>SUMIFS(разходи!$L:$L,разходи!$E:$E,'ПП Декември'!$C$28,разходи!$M:$M,'ПП Декември'!I2)</f>
        <v>0</v>
      </c>
      <c r="J28" s="74">
        <f>SUMIFS(разходи!$L:$L,разходи!$E:$E,'ПП Декември'!$C$28,разходи!$M:$M,'ПП Декември'!J2)</f>
        <v>0</v>
      </c>
      <c r="K28" s="76">
        <f>SUMIFS(разходи!$L:$L,разходи!$E:$E,'ПП Декември'!$C$28,разходи!$M:$M,'ПП Декември'!K2)</f>
        <v>0</v>
      </c>
      <c r="L28" s="76">
        <f>SUMIFS(разходи!$L:$L,разходи!$E:$E,'ПП Декември'!$C$28,разходи!$M:$M,'ПП Декември'!L2)</f>
        <v>0</v>
      </c>
      <c r="M28" s="74">
        <f>SUMIFS(разходи!$L:$L,разходи!$E:$E,'ПП Декември'!$C$28,разходи!$M:$M,'ПП Декември'!M2)</f>
        <v>0</v>
      </c>
      <c r="N28" s="74">
        <f>SUMIFS(разходи!$L:$L,разходи!$E:$E,'ПП Декември'!$C$28,разходи!$M:$M,'ПП Декември'!N2)</f>
        <v>0</v>
      </c>
      <c r="O28" s="74">
        <f>SUMIFS(разходи!$L:$L,разходи!$E:$E,'ПП Декември'!$C$28,разходи!$M:$M,'ПП Декември'!O2)</f>
        <v>0</v>
      </c>
      <c r="P28" s="74">
        <f>SUMIFS(разходи!$L:$L,разходи!$E:$E,'ПП Декември'!$C$28,разходи!$M:$M,'ПП Декември'!P2)</f>
        <v>0</v>
      </c>
      <c r="Q28" s="74">
        <f>SUMIFS(разходи!$L:$L,разходи!$E:$E,'ПП Декември'!$C$28,разходи!$M:$M,'ПП Декември'!Q2)</f>
        <v>0</v>
      </c>
      <c r="R28" s="76">
        <f>SUMIFS(разходи!$L:$L,разходи!$E:$E,'ПП Декември'!$C$28,разходи!$M:$M,'ПП Декември'!R2)</f>
        <v>0</v>
      </c>
      <c r="S28" s="76">
        <f>SUMIFS(разходи!$L:$L,разходи!$E:$E,'ПП Декември'!$C$28,разходи!$M:$M,'ПП Декември'!S2)</f>
        <v>0</v>
      </c>
      <c r="T28" s="74">
        <f>SUMIFS(разходи!$L:$L,разходи!$E:$E,'ПП Декември'!$C$28,разходи!$M:$M,'ПП Декември'!T2)</f>
        <v>0</v>
      </c>
      <c r="U28" s="74">
        <f>SUMIFS(разходи!$L:$L,разходи!$E:$E,'ПП Декември'!$C$28,разходи!$M:$M,'ПП Декември'!U2)</f>
        <v>0</v>
      </c>
      <c r="V28" s="74">
        <f>SUMIFS(разходи!$L:$L,разходи!$E:$E,'ПП Декември'!$C$28,разходи!$M:$M,'ПП Декември'!V2)</f>
        <v>0</v>
      </c>
      <c r="W28" s="74">
        <f>SUMIFS(разходи!$L:$L,разходи!$E:$E,'ПП Декември'!$C$28,разходи!$M:$M,'ПП Декември'!W2)</f>
        <v>0</v>
      </c>
      <c r="X28" s="74">
        <f>SUMIFS(разходи!$L:$L,разходи!$E:$E,'ПП Декември'!$C$28,разходи!$M:$M,'ПП Декември'!X2)</f>
        <v>0</v>
      </c>
      <c r="Y28" s="76">
        <f>SUMIFS(разходи!$L:$L,разходи!$E:$E,'ПП Декември'!$C$28,разходи!$M:$M,'ПП Декември'!Y2)</f>
        <v>0</v>
      </c>
      <c r="Z28" s="76">
        <f>SUMIFS(разходи!$L:$L,разходи!$E:$E,'ПП Декември'!$C$28,разходи!$M:$M,'ПП Декември'!Z2)</f>
        <v>0</v>
      </c>
      <c r="AA28" s="74">
        <f>SUMIFS(разходи!$L:$L,разходи!$E:$E,'ПП Декември'!$C$28,разходи!$M:$M,'ПП Декември'!AA2)</f>
        <v>0</v>
      </c>
      <c r="AB28" s="76">
        <f>SUMIFS(разходи!$L:$L,разходи!$E:$E,'ПП Декември'!$C$28,разходи!$M:$M,'ПП Декември'!AB2)</f>
        <v>0</v>
      </c>
      <c r="AC28" s="76">
        <f>SUMIFS(разходи!$L:$L,разходи!$E:$E,'ПП Декември'!$C$28,разходи!$M:$M,'ПП Декември'!AC2)</f>
        <v>0</v>
      </c>
      <c r="AD28" s="76">
        <f>SUMIFS(разходи!$L:$L,разходи!$E:$E,'ПП Декември'!$C$28,разходи!$M:$M,'ПП Декември'!AD2)</f>
        <v>0</v>
      </c>
      <c r="AE28" s="74">
        <f>SUMIFS(разходи!$L:$L,разходи!$E:$E,'ПП Декември'!$C$28,разходи!$M:$M,'ПП Декември'!AE2)</f>
        <v>0</v>
      </c>
      <c r="AF28" s="76">
        <f>SUMIFS(разходи!$L:$L,разходи!$E:$E,'ПП Декември'!$C$28,разходи!$M:$M,'ПП Декември'!AF2)</f>
        <v>0</v>
      </c>
      <c r="AG28" s="76">
        <f>SUMIFS(разходи!$L:$L,разходи!$E:$E,'ПП Декември'!$C$28,разходи!$M:$M,'ПП Декември'!AG2)</f>
        <v>0</v>
      </c>
      <c r="AH28" s="74">
        <f>SUMIFS(разходи!$L:$L,разходи!$E:$E,'ПП Декември'!$C$28,разходи!$M:$M,'ПП Декември'!AH2)</f>
        <v>0</v>
      </c>
      <c r="AI28" s="74">
        <f>SUMIFS(разходи!$L:$L,разходи!$E:$E,'ПП Декември'!$C$28,разходи!$M:$M,'ПП Декември'!AI2)</f>
        <v>0</v>
      </c>
      <c r="AJ28" s="61">
        <f t="shared" si="2"/>
        <v>0</v>
      </c>
      <c r="AK28" s="69">
        <f t="shared" si="3"/>
        <v>0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4">SUM(D30:D35)</f>
        <v>0</v>
      </c>
      <c r="E29" s="76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4">
        <f t="shared" si="15"/>
        <v>0</v>
      </c>
      <c r="K29" s="76">
        <f t="shared" si="15"/>
        <v>0</v>
      </c>
      <c r="L29" s="76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4">
        <f t="shared" si="15"/>
        <v>0</v>
      </c>
      <c r="Q29" s="74">
        <f t="shared" si="15"/>
        <v>0</v>
      </c>
      <c r="R29" s="76">
        <f t="shared" si="15"/>
        <v>0</v>
      </c>
      <c r="S29" s="76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6">
        <f t="shared" si="15"/>
        <v>0</v>
      </c>
      <c r="Z29" s="76">
        <f t="shared" si="15"/>
        <v>0</v>
      </c>
      <c r="AA29" s="74">
        <f t="shared" si="15"/>
        <v>0</v>
      </c>
      <c r="AB29" s="76">
        <f t="shared" si="15"/>
        <v>0</v>
      </c>
      <c r="AC29" s="76">
        <f t="shared" si="15"/>
        <v>0</v>
      </c>
      <c r="AD29" s="76">
        <f t="shared" si="15"/>
        <v>0</v>
      </c>
      <c r="AE29" s="74">
        <f t="shared" si="15"/>
        <v>0</v>
      </c>
      <c r="AF29" s="76">
        <f t="shared" si="15"/>
        <v>0</v>
      </c>
      <c r="AG29" s="76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0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/>
      <c r="E30" s="76">
        <f>SUMIFS(разходи!$L:$L,разходи!$E:$E,'ПП Декември'!$C$30,разходи!$M:$M,'ПП Декември'!E2)</f>
        <v>0</v>
      </c>
      <c r="F30" s="74">
        <f>SUMIFS(разходи!$L:$L,разходи!$E:$E,'ПП Декември'!$C$30,разходи!$M:$M,'ПП Декември'!F2)</f>
        <v>0</v>
      </c>
      <c r="G30" s="74">
        <f>SUMIFS(разходи!$L:$L,разходи!$E:$E,'ПП Декември'!$C$30,разходи!$M:$M,'ПП Декември'!G2)</f>
        <v>0</v>
      </c>
      <c r="H30" s="74">
        <f>SUMIFS(разходи!$L:$L,разходи!$E:$E,'ПП Декември'!$C$30,разходи!$M:$M,'ПП Декември'!H2)</f>
        <v>0</v>
      </c>
      <c r="I30" s="74">
        <f>SUMIFS(разходи!$L:$L,разходи!$E:$E,'ПП Декември'!$C$30,разходи!$M:$M,'ПП Декември'!I2)</f>
        <v>0</v>
      </c>
      <c r="J30" s="74">
        <f>SUMIFS(разходи!$L:$L,разходи!$E:$E,'ПП Декември'!$C$30,разходи!$M:$M,'ПП Декември'!J2)</f>
        <v>0</v>
      </c>
      <c r="K30" s="76">
        <f>SUMIFS(разходи!$L:$L,разходи!$E:$E,'ПП Декември'!$C$30,разходи!$M:$M,'ПП Декември'!K2)</f>
        <v>0</v>
      </c>
      <c r="L30" s="76">
        <f>SUMIFS(разходи!$L:$L,разходи!$E:$E,'ПП Декември'!$C$30,разходи!$M:$M,'ПП Декември'!L2)</f>
        <v>0</v>
      </c>
      <c r="M30" s="74">
        <f>SUMIFS(разходи!$L:$L,разходи!$E:$E,'ПП Декември'!$C$30,разходи!$M:$M,'ПП Декември'!M2)</f>
        <v>0</v>
      </c>
      <c r="N30" s="74">
        <f>SUMIFS(разходи!$L:$L,разходи!$E:$E,'ПП Декември'!$C$30,разходи!$M:$M,'ПП Декември'!N2)</f>
        <v>0</v>
      </c>
      <c r="O30" s="74">
        <f>SUMIFS(разходи!$L:$L,разходи!$E:$E,'ПП Декември'!$C$30,разходи!$M:$M,'ПП Декември'!O2)</f>
        <v>0</v>
      </c>
      <c r="P30" s="74">
        <f>SUMIFS(разходи!$L:$L,разходи!$E:$E,'ПП Декември'!$C$30,разходи!$M:$M,'ПП Декември'!P2)</f>
        <v>0</v>
      </c>
      <c r="Q30" s="74">
        <f>SUMIFS(разходи!$L:$L,разходи!$E:$E,'ПП Декември'!$C$30,разходи!$M:$M,'ПП Декември'!Q2)</f>
        <v>0</v>
      </c>
      <c r="R30" s="76">
        <f>SUMIFS(разходи!$L:$L,разходи!$E:$E,'ПП Декември'!$C$30,разходи!$M:$M,'ПП Декември'!R2)</f>
        <v>0</v>
      </c>
      <c r="S30" s="76">
        <f>SUMIFS(разходи!$L:$L,разходи!$E:$E,'ПП Декември'!$C$30,разходи!$M:$M,'ПП Декември'!S2)</f>
        <v>0</v>
      </c>
      <c r="T30" s="74">
        <f>SUMIFS(разходи!$L:$L,разходи!$E:$E,'ПП Декември'!$C$30,разходи!$M:$M,'ПП Декември'!T2)</f>
        <v>0</v>
      </c>
      <c r="U30" s="74">
        <f>SUMIFS(разходи!$L:$L,разходи!$E:$E,'ПП Декември'!$C$30,разходи!$M:$M,'ПП Декември'!U2)</f>
        <v>0</v>
      </c>
      <c r="V30" s="74">
        <f>SUMIFS(разходи!$L:$L,разходи!$E:$E,'ПП Декември'!$C$30,разходи!$M:$M,'ПП Декември'!V2)</f>
        <v>0</v>
      </c>
      <c r="W30" s="74">
        <f>SUMIFS(разходи!$L:$L,разходи!$E:$E,'ПП Декември'!$C$30,разходи!$M:$M,'ПП Декември'!W2)</f>
        <v>0</v>
      </c>
      <c r="X30" s="74">
        <f>SUMIFS(разходи!$L:$L,разходи!$E:$E,'ПП Декември'!$C$30,разходи!$M:$M,'ПП Декември'!X2)</f>
        <v>0</v>
      </c>
      <c r="Y30" s="76">
        <f>SUMIFS(разходи!$L:$L,разходи!$E:$E,'ПП Декември'!$C$30,разходи!$M:$M,'ПП Декември'!Y2)</f>
        <v>0</v>
      </c>
      <c r="Z30" s="76">
        <f>SUMIFS(разходи!$L:$L,разходи!$E:$E,'ПП Декември'!$C$30,разходи!$M:$M,'ПП Декември'!Z2)</f>
        <v>0</v>
      </c>
      <c r="AA30" s="74">
        <f>SUMIFS(разходи!$L:$L,разходи!$E:$E,'ПП Декември'!$C$30,разходи!$M:$M,'ПП Декември'!AA2)</f>
        <v>0</v>
      </c>
      <c r="AB30" s="76">
        <f>SUMIFS(разходи!$L:$L,разходи!$E:$E,'ПП Декември'!$C$30,разходи!$M:$M,'ПП Декември'!AB2)</f>
        <v>0</v>
      </c>
      <c r="AC30" s="76">
        <f>SUMIFS(разходи!$L:$L,разходи!$E:$E,'ПП Декември'!$C$30,разходи!$M:$M,'ПП Декември'!AC2)</f>
        <v>0</v>
      </c>
      <c r="AD30" s="76">
        <f>SUMIFS(разходи!$L:$L,разходи!$E:$E,'ПП Декември'!$C$30,разходи!$M:$M,'ПП Декември'!AD2)</f>
        <v>0</v>
      </c>
      <c r="AE30" s="74">
        <f>SUMIFS(разходи!$L:$L,разходи!$E:$E,'ПП Декември'!$C$30,разходи!$M:$M,'ПП Декември'!AE2)</f>
        <v>0</v>
      </c>
      <c r="AF30" s="76">
        <f>SUMIFS(разходи!$L:$L,разходи!$E:$E,'ПП Декември'!$C$30,разходи!$M:$M,'ПП Декември'!AF2)</f>
        <v>0</v>
      </c>
      <c r="AG30" s="76">
        <f>SUMIFS(разходи!$L:$L,разходи!$E:$E,'ПП Декември'!$C$30,разходи!$M:$M,'ПП Декември'!AG2)</f>
        <v>0</v>
      </c>
      <c r="AH30" s="74">
        <f>SUMIFS(разходи!$L:$L,разходи!$E:$E,'ПП Декември'!$C$30,разходи!$M:$M,'ПП Декември'!AH2)</f>
        <v>0</v>
      </c>
      <c r="AI30" s="74">
        <f>SUMIFS(разходи!$L:$L,разходи!$E:$E,'ПП Декември'!$C$30,разходи!$M:$M,'ПП Декември'!AI2)</f>
        <v>0</v>
      </c>
      <c r="AJ30" s="61">
        <f t="shared" si="2"/>
        <v>0</v>
      </c>
      <c r="AK30" s="69">
        <f t="shared" si="3"/>
        <v>0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Декември'!$C$31,разходи!$M:$M,'ПП Декември'!E2)</f>
        <v>0</v>
      </c>
      <c r="F31" s="74">
        <f>SUMIFS(разходи!$L:$L,разходи!$E:$E,'ПП Декември'!$C$31,разходи!$M:$M,'ПП Декември'!F2)</f>
        <v>0</v>
      </c>
      <c r="G31" s="74">
        <f>SUMIFS(разходи!$L:$L,разходи!$E:$E,'ПП Декември'!$C$31,разходи!$M:$M,'ПП Декември'!G2)</f>
        <v>0</v>
      </c>
      <c r="H31" s="74">
        <f>SUMIFS(разходи!$L:$L,разходи!$E:$E,'ПП Декември'!$C$31,разходи!$M:$M,'ПП Декември'!H2)</f>
        <v>0</v>
      </c>
      <c r="I31" s="74">
        <f>SUMIFS(разходи!$L:$L,разходи!$E:$E,'ПП Декември'!$C$31,разходи!$M:$M,'ПП Декември'!I2)</f>
        <v>0</v>
      </c>
      <c r="J31" s="74">
        <f>SUMIFS(разходи!$L:$L,разходи!$E:$E,'ПП Декември'!$C$31,разходи!$M:$M,'ПП Декември'!J2)</f>
        <v>0</v>
      </c>
      <c r="K31" s="76">
        <f>SUMIFS(разходи!$L:$L,разходи!$E:$E,'ПП Декември'!$C$31,разходи!$M:$M,'ПП Декември'!K2)</f>
        <v>0</v>
      </c>
      <c r="L31" s="76">
        <f>SUMIFS(разходи!$L:$L,разходи!$E:$E,'ПП Декември'!$C$31,разходи!$M:$M,'ПП Декември'!L2)</f>
        <v>0</v>
      </c>
      <c r="M31" s="74">
        <f>SUMIFS(разходи!$L:$L,разходи!$E:$E,'ПП Декември'!$C$31,разходи!$M:$M,'ПП Декември'!M2)</f>
        <v>0</v>
      </c>
      <c r="N31" s="74">
        <f>SUMIFS(разходи!$L:$L,разходи!$E:$E,'ПП Декември'!$C$31,разходи!$M:$M,'ПП Декември'!N2)</f>
        <v>0</v>
      </c>
      <c r="O31" s="74">
        <f>SUMIFS(разходи!$L:$L,разходи!$E:$E,'ПП Декември'!$C$31,разходи!$M:$M,'ПП Декември'!O2)</f>
        <v>0</v>
      </c>
      <c r="P31" s="74">
        <f>SUMIFS(разходи!$L:$L,разходи!$E:$E,'ПП Декември'!$C$31,разходи!$M:$M,'ПП Декември'!P2)</f>
        <v>0</v>
      </c>
      <c r="Q31" s="74">
        <f>SUMIFS(разходи!$L:$L,разходи!$E:$E,'ПП Декември'!$C$31,разходи!$M:$M,'ПП Декември'!Q2)</f>
        <v>0</v>
      </c>
      <c r="R31" s="76">
        <f>SUMIFS(разходи!$L:$L,разходи!$E:$E,'ПП Декември'!$C$31,разходи!$M:$M,'ПП Декември'!R2)</f>
        <v>0</v>
      </c>
      <c r="S31" s="76">
        <f>SUMIFS(разходи!$L:$L,разходи!$E:$E,'ПП Декември'!$C$31,разходи!$M:$M,'ПП Декември'!S2)</f>
        <v>0</v>
      </c>
      <c r="T31" s="74">
        <f>SUMIFS(разходи!$L:$L,разходи!$E:$E,'ПП Декември'!$C$31,разходи!$M:$M,'ПП Декември'!T2)</f>
        <v>0</v>
      </c>
      <c r="U31" s="74">
        <f>SUMIFS(разходи!$L:$L,разходи!$E:$E,'ПП Декември'!$C$31,разходи!$M:$M,'ПП Декември'!U2)</f>
        <v>0</v>
      </c>
      <c r="V31" s="74">
        <f>SUMIFS(разходи!$L:$L,разходи!$E:$E,'ПП Декември'!$C$31,разходи!$M:$M,'ПП Декември'!V2)</f>
        <v>0</v>
      </c>
      <c r="W31" s="74">
        <f>SUMIFS(разходи!$L:$L,разходи!$E:$E,'ПП Декември'!$C$31,разходи!$M:$M,'ПП Декември'!W2)</f>
        <v>0</v>
      </c>
      <c r="X31" s="74">
        <f>SUMIFS(разходи!$L:$L,разходи!$E:$E,'ПП Декември'!$C$31,разходи!$M:$M,'ПП Декември'!X2)</f>
        <v>0</v>
      </c>
      <c r="Y31" s="76">
        <f>SUMIFS(разходи!$L:$L,разходи!$E:$E,'ПП Декември'!$C$31,разходи!$M:$M,'ПП Декември'!Y2)</f>
        <v>0</v>
      </c>
      <c r="Z31" s="76">
        <f>SUMIFS(разходи!$L:$L,разходи!$E:$E,'ПП Декември'!$C$31,разходи!$M:$M,'ПП Декември'!Z2)</f>
        <v>0</v>
      </c>
      <c r="AA31" s="74">
        <f>SUMIFS(разходи!$L:$L,разходи!$E:$E,'ПП Декември'!$C$31,разходи!$M:$M,'ПП Декември'!AA2)</f>
        <v>0</v>
      </c>
      <c r="AB31" s="76">
        <f>SUMIFS(разходи!$L:$L,разходи!$E:$E,'ПП Декември'!$C$31,разходи!$M:$M,'ПП Декември'!AB2)</f>
        <v>0</v>
      </c>
      <c r="AC31" s="76">
        <f>SUMIFS(разходи!$L:$L,разходи!$E:$E,'ПП Декември'!$C$31,разходи!$M:$M,'ПП Декември'!AC2)</f>
        <v>0</v>
      </c>
      <c r="AD31" s="76">
        <f>SUMIFS(разходи!$L:$L,разходи!$E:$E,'ПП Декември'!$C$31,разходи!$M:$M,'ПП Декември'!AD2)</f>
        <v>0</v>
      </c>
      <c r="AE31" s="74">
        <f>SUMIFS(разходи!$L:$L,разходи!$E:$E,'ПП Декември'!$C$31,разходи!$M:$M,'ПП Декември'!AE2)</f>
        <v>0</v>
      </c>
      <c r="AF31" s="76">
        <f>SUMIFS(разходи!$L:$L,разходи!$E:$E,'ПП Декември'!$C$31,разходи!$M:$M,'ПП Декември'!AF2)</f>
        <v>0</v>
      </c>
      <c r="AG31" s="76">
        <f>SUMIFS(разходи!$L:$L,разходи!$E:$E,'ПП Декември'!$C$31,разходи!$M:$M,'ПП Декември'!AG2)</f>
        <v>0</v>
      </c>
      <c r="AH31" s="74">
        <f>SUMIFS(разходи!$L:$L,разходи!$E:$E,'ПП Декември'!$C$31,разходи!$M:$M,'ПП Декември'!AH2)</f>
        <v>0</v>
      </c>
      <c r="AI31" s="74">
        <f>SUMIFS(разходи!$L:$L,разходи!$E:$E,'ПП Декември'!$C$31,разходи!$M:$M,'ПП Декември'!AI2)</f>
        <v>0</v>
      </c>
      <c r="AJ31" s="61">
        <f t="shared" si="2"/>
        <v>0</v>
      </c>
      <c r="AK31" s="69">
        <f t="shared" si="3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/>
      <c r="E32" s="76">
        <f>SUMIFS(разходи!$L:$L,разходи!$E:$E,'ПП Декември'!$C$32,разходи!$M:$M,'ПП Декември'!E2)</f>
        <v>0</v>
      </c>
      <c r="F32" s="74">
        <f>SUMIFS(разходи!$L:$L,разходи!$E:$E,'ПП Декември'!$C$32,разходи!$M:$M,'ПП Декември'!F2)</f>
        <v>0</v>
      </c>
      <c r="G32" s="74">
        <f>SUMIFS(разходи!$L:$L,разходи!$E:$E,'ПП Декември'!$C$32,разходи!$M:$M,'ПП Декември'!G2)</f>
        <v>0</v>
      </c>
      <c r="H32" s="74">
        <f>SUMIFS(разходи!$L:$L,разходи!$E:$E,'ПП Декември'!$C$32,разходи!$M:$M,'ПП Декември'!H2)</f>
        <v>0</v>
      </c>
      <c r="I32" s="74">
        <f>SUMIFS(разходи!$L:$L,разходи!$E:$E,'ПП Декември'!$C$32,разходи!$M:$M,'ПП Декември'!I2)</f>
        <v>0</v>
      </c>
      <c r="J32" s="74">
        <f>SUMIFS(разходи!$L:$L,разходи!$E:$E,'ПП Декември'!$C$32,разходи!$M:$M,'ПП Декември'!J2)</f>
        <v>0</v>
      </c>
      <c r="K32" s="76">
        <f>SUMIFS(разходи!$L:$L,разходи!$E:$E,'ПП Декември'!$C$32,разходи!$M:$M,'ПП Декември'!K2)</f>
        <v>0</v>
      </c>
      <c r="L32" s="76">
        <f>SUMIFS(разходи!$L:$L,разходи!$E:$E,'ПП Декември'!$C$32,разходи!$M:$M,'ПП Декември'!L2)</f>
        <v>0</v>
      </c>
      <c r="M32" s="74">
        <f>SUMIFS(разходи!$L:$L,разходи!$E:$E,'ПП Декември'!$C$32,разходи!$M:$M,'ПП Декември'!M2)</f>
        <v>0</v>
      </c>
      <c r="N32" s="74">
        <f>SUMIFS(разходи!$L:$L,разходи!$E:$E,'ПП Декември'!$C$32,разходи!$M:$M,'ПП Декември'!N2)</f>
        <v>0</v>
      </c>
      <c r="O32" s="74">
        <f>SUMIFS(разходи!$L:$L,разходи!$E:$E,'ПП Декември'!$C$32,разходи!$M:$M,'ПП Декември'!O2)</f>
        <v>0</v>
      </c>
      <c r="P32" s="74">
        <f>SUMIFS(разходи!$L:$L,разходи!$E:$E,'ПП Декември'!$C$32,разходи!$M:$M,'ПП Декември'!P2)</f>
        <v>0</v>
      </c>
      <c r="Q32" s="74">
        <f>SUMIFS(разходи!$L:$L,разходи!$E:$E,'ПП Декември'!$C$32,разходи!$M:$M,'ПП Декември'!Q2)</f>
        <v>0</v>
      </c>
      <c r="R32" s="76">
        <f>SUMIFS(разходи!$L:$L,разходи!$E:$E,'ПП Декември'!$C$32,разходи!$M:$M,'ПП Декември'!R2)</f>
        <v>0</v>
      </c>
      <c r="S32" s="76">
        <f>SUMIFS(разходи!$L:$L,разходи!$E:$E,'ПП Декември'!$C$32,разходи!$M:$M,'ПП Декември'!S2)</f>
        <v>0</v>
      </c>
      <c r="T32" s="74">
        <f>SUMIFS(разходи!$L:$L,разходи!$E:$E,'ПП Декември'!$C$32,разходи!$M:$M,'ПП Декември'!T2)</f>
        <v>0</v>
      </c>
      <c r="U32" s="74">
        <f>SUMIFS(разходи!$L:$L,разходи!$E:$E,'ПП Декември'!$C$32,разходи!$M:$M,'ПП Декември'!U2)</f>
        <v>0</v>
      </c>
      <c r="V32" s="74">
        <f>SUMIFS(разходи!$L:$L,разходи!$E:$E,'ПП Декември'!$C$32,разходи!$M:$M,'ПП Декември'!V2)</f>
        <v>0</v>
      </c>
      <c r="W32" s="74">
        <f>SUMIFS(разходи!$L:$L,разходи!$E:$E,'ПП Декември'!$C$32,разходи!$M:$M,'ПП Декември'!W2)</f>
        <v>0</v>
      </c>
      <c r="X32" s="74">
        <f>SUMIFS(разходи!$L:$L,разходи!$E:$E,'ПП Декември'!$C$32,разходи!$M:$M,'ПП Декември'!X2)</f>
        <v>0</v>
      </c>
      <c r="Y32" s="76">
        <f>SUMIFS(разходи!$L:$L,разходи!$E:$E,'ПП Декември'!$C$32,разходи!$M:$M,'ПП Декември'!Y2)</f>
        <v>0</v>
      </c>
      <c r="Z32" s="76">
        <f>SUMIFS(разходи!$L:$L,разходи!$E:$E,'ПП Декември'!$C$32,разходи!$M:$M,'ПП Декември'!Z2)</f>
        <v>0</v>
      </c>
      <c r="AA32" s="74">
        <f>SUMIFS(разходи!$L:$L,разходи!$E:$E,'ПП Декември'!$C$32,разходи!$M:$M,'ПП Декември'!AA2)</f>
        <v>0</v>
      </c>
      <c r="AB32" s="76">
        <f>SUMIFS(разходи!$L:$L,разходи!$E:$E,'ПП Декември'!$C$32,разходи!$M:$M,'ПП Декември'!AB2)</f>
        <v>0</v>
      </c>
      <c r="AC32" s="76">
        <f>SUMIFS(разходи!$L:$L,разходи!$E:$E,'ПП Декември'!$C$32,разходи!$M:$M,'ПП Декември'!AC2)</f>
        <v>0</v>
      </c>
      <c r="AD32" s="76">
        <f>SUMIFS(разходи!$L:$L,разходи!$E:$E,'ПП Декември'!$C$32,разходи!$M:$M,'ПП Декември'!AD2)</f>
        <v>0</v>
      </c>
      <c r="AE32" s="74">
        <f>SUMIFS(разходи!$L:$L,разходи!$E:$E,'ПП Декември'!$C$32,разходи!$M:$M,'ПП Декември'!AE2)</f>
        <v>0</v>
      </c>
      <c r="AF32" s="76">
        <f>SUMIFS(разходи!$L:$L,разходи!$E:$E,'ПП Декември'!$C$32,разходи!$M:$M,'ПП Декември'!AF2)</f>
        <v>0</v>
      </c>
      <c r="AG32" s="76">
        <f>SUMIFS(разходи!$L:$L,разходи!$E:$E,'ПП Декември'!$C$32,разходи!$M:$M,'ПП Декември'!AG2)</f>
        <v>0</v>
      </c>
      <c r="AH32" s="74">
        <f>SUMIFS(разходи!$L:$L,разходи!$E:$E,'ПП Декември'!$C$32,разходи!$M:$M,'ПП Декември'!AH2)</f>
        <v>0</v>
      </c>
      <c r="AI32" s="74">
        <f>SUMIFS(разходи!$L:$L,разходи!$E:$E,'ПП Декември'!$C$32,разходи!$M:$M,'ПП Декември'!AI2)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/>
      <c r="E33" s="76">
        <f>SUMIFS(разходи!$L:$L,разходи!$E:$E,'ПП Декември'!$C$33,разходи!$M:$M,'ПП Декември'!E2)</f>
        <v>0</v>
      </c>
      <c r="F33" s="74">
        <f>SUMIFS(разходи!$L:$L,разходи!$E:$E,'ПП Декември'!$C$33,разходи!$M:$M,'ПП Декември'!F2)</f>
        <v>0</v>
      </c>
      <c r="G33" s="74">
        <f>SUMIFS(разходи!$L:$L,разходи!$E:$E,'ПП Декември'!$C$33,разходи!$M:$M,'ПП Декември'!G2)</f>
        <v>0</v>
      </c>
      <c r="H33" s="74">
        <f>SUMIFS(разходи!$L:$L,разходи!$E:$E,'ПП Декември'!$C$33,разходи!$M:$M,'ПП Декември'!H2)</f>
        <v>0</v>
      </c>
      <c r="I33" s="74">
        <f>SUMIFS(разходи!$L:$L,разходи!$E:$E,'ПП Декември'!$C$33,разходи!$M:$M,'ПП Декември'!I2)</f>
        <v>0</v>
      </c>
      <c r="J33" s="74">
        <f>SUMIFS(разходи!$L:$L,разходи!$E:$E,'ПП Декември'!$C$33,разходи!$M:$M,'ПП Декември'!J2)</f>
        <v>0</v>
      </c>
      <c r="K33" s="76">
        <f>SUMIFS(разходи!$L:$L,разходи!$E:$E,'ПП Декември'!$C$33,разходи!$M:$M,'ПП Декември'!K2)</f>
        <v>0</v>
      </c>
      <c r="L33" s="76">
        <f>SUMIFS(разходи!$L:$L,разходи!$E:$E,'ПП Декември'!$C$33,разходи!$M:$M,'ПП Декември'!L2)</f>
        <v>0</v>
      </c>
      <c r="M33" s="74">
        <f>SUMIFS(разходи!$L:$L,разходи!$E:$E,'ПП Декември'!$C$33,разходи!$M:$M,'ПП Декември'!M2)</f>
        <v>0</v>
      </c>
      <c r="N33" s="74">
        <f>SUMIFS(разходи!$L:$L,разходи!$E:$E,'ПП Декември'!$C$33,разходи!$M:$M,'ПП Декември'!N2)</f>
        <v>0</v>
      </c>
      <c r="O33" s="74">
        <f>SUMIFS(разходи!$L:$L,разходи!$E:$E,'ПП Декември'!$C$33,разходи!$M:$M,'ПП Декември'!O2)</f>
        <v>0</v>
      </c>
      <c r="P33" s="74">
        <f>SUMIFS(разходи!$L:$L,разходи!$E:$E,'ПП Декември'!$C$33,разходи!$M:$M,'ПП Декември'!P2)</f>
        <v>0</v>
      </c>
      <c r="Q33" s="74">
        <f>SUMIFS(разходи!$L:$L,разходи!$E:$E,'ПП Декември'!$C$33,разходи!$M:$M,'ПП Декември'!Q2)</f>
        <v>0</v>
      </c>
      <c r="R33" s="76">
        <f>SUMIFS(разходи!$L:$L,разходи!$E:$E,'ПП Декември'!$C$33,разходи!$M:$M,'ПП Декември'!R2)</f>
        <v>0</v>
      </c>
      <c r="S33" s="76">
        <f>SUMIFS(разходи!$L:$L,разходи!$E:$E,'ПП Декември'!$C$33,разходи!$M:$M,'ПП Декември'!S2)</f>
        <v>0</v>
      </c>
      <c r="T33" s="74">
        <f>SUMIFS(разходи!$L:$L,разходи!$E:$E,'ПП Декември'!$C$33,разходи!$M:$M,'ПП Декември'!T2)</f>
        <v>0</v>
      </c>
      <c r="U33" s="74">
        <f>SUMIFS(разходи!$L:$L,разходи!$E:$E,'ПП Декември'!$C$33,разходи!$M:$M,'ПП Декември'!U2)</f>
        <v>0</v>
      </c>
      <c r="V33" s="74">
        <f>SUMIFS(разходи!$L:$L,разходи!$E:$E,'ПП Декември'!$C$33,разходи!$M:$M,'ПП Декември'!V2)</f>
        <v>0</v>
      </c>
      <c r="W33" s="74">
        <f>SUMIFS(разходи!$L:$L,разходи!$E:$E,'ПП Декември'!$C$33,разходи!$M:$M,'ПП Декември'!W2)</f>
        <v>0</v>
      </c>
      <c r="X33" s="74">
        <f>SUMIFS(разходи!$L:$L,разходи!$E:$E,'ПП Декември'!$C$33,разходи!$M:$M,'ПП Декември'!X2)</f>
        <v>0</v>
      </c>
      <c r="Y33" s="76">
        <f>SUMIFS(разходи!$L:$L,разходи!$E:$E,'ПП Декември'!$C$33,разходи!$M:$M,'ПП Декември'!Y2)</f>
        <v>0</v>
      </c>
      <c r="Z33" s="76">
        <f>SUMIFS(разходи!$L:$L,разходи!$E:$E,'ПП Декември'!$C$33,разходи!$M:$M,'ПП Декември'!Z2)</f>
        <v>0</v>
      </c>
      <c r="AA33" s="74">
        <f>SUMIFS(разходи!$L:$L,разходи!$E:$E,'ПП Декември'!$C$33,разходи!$M:$M,'ПП Декември'!AA2)</f>
        <v>0</v>
      </c>
      <c r="AB33" s="76">
        <f>SUMIFS(разходи!$L:$L,разходи!$E:$E,'ПП Декември'!$C$33,разходи!$M:$M,'ПП Декември'!AB2)</f>
        <v>0</v>
      </c>
      <c r="AC33" s="76">
        <f>SUMIFS(разходи!$L:$L,разходи!$E:$E,'ПП Декември'!$C$33,разходи!$M:$M,'ПП Декември'!AC2)</f>
        <v>0</v>
      </c>
      <c r="AD33" s="76">
        <f>SUMIFS(разходи!$L:$L,разходи!$E:$E,'ПП Декември'!$C$33,разходи!$M:$M,'ПП Декември'!AD2)</f>
        <v>0</v>
      </c>
      <c r="AE33" s="74">
        <f>SUMIFS(разходи!$L:$L,разходи!$E:$E,'ПП Декември'!$C$33,разходи!$M:$M,'ПП Декември'!AE2)</f>
        <v>0</v>
      </c>
      <c r="AF33" s="76">
        <f>SUMIFS(разходи!$L:$L,разходи!$E:$E,'ПП Декември'!$C$33,разходи!$M:$M,'ПП Декември'!AF2)</f>
        <v>0</v>
      </c>
      <c r="AG33" s="76">
        <f>SUMIFS(разходи!$L:$L,разходи!$E:$E,'ПП Декември'!$C$33,разходи!$M:$M,'ПП Декември'!AG2)</f>
        <v>0</v>
      </c>
      <c r="AH33" s="74">
        <f>SUMIFS(разходи!$L:$L,разходи!$E:$E,'ПП Декември'!$C$33,разходи!$M:$M,'ПП Декември'!AH2)</f>
        <v>0</v>
      </c>
      <c r="AI33" s="74">
        <f>SUMIFS(разходи!$L:$L,разходи!$E:$E,'ПП Декември'!$C$33,разходи!$M:$M,'ПП Декември'!AI2)</f>
        <v>0</v>
      </c>
      <c r="AJ33" s="61">
        <f t="shared" si="2"/>
        <v>0</v>
      </c>
      <c r="AK33" s="69">
        <f t="shared" si="3"/>
        <v>0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Декември'!$C$34,разходи!$M:$M,'ПП Декември'!E2)</f>
        <v>0</v>
      </c>
      <c r="F34" s="74">
        <f>SUMIFS(разходи!$L:$L,разходи!$E:$E,'ПП Декември'!$C$34,разходи!$M:$M,'ПП Декември'!F2)</f>
        <v>0</v>
      </c>
      <c r="G34" s="74">
        <f>SUMIFS(разходи!$L:$L,разходи!$E:$E,'ПП Декември'!$C$34,разходи!$M:$M,'ПП Декември'!G2)</f>
        <v>0</v>
      </c>
      <c r="H34" s="74">
        <f>SUMIFS(разходи!$L:$L,разходи!$E:$E,'ПП Декември'!$C$34,разходи!$M:$M,'ПП Декември'!H2)</f>
        <v>0</v>
      </c>
      <c r="I34" s="74">
        <f>SUMIFS(разходи!$L:$L,разходи!$E:$E,'ПП Декември'!$C$34,разходи!$M:$M,'ПП Декември'!I2)</f>
        <v>0</v>
      </c>
      <c r="J34" s="74">
        <f>SUMIFS(разходи!$L:$L,разходи!$E:$E,'ПП Декември'!$C$34,разходи!$M:$M,'ПП Декември'!J2)</f>
        <v>0</v>
      </c>
      <c r="K34" s="76">
        <f>SUMIFS(разходи!$L:$L,разходи!$E:$E,'ПП Декември'!$C$34,разходи!$M:$M,'ПП Декември'!K2)</f>
        <v>0</v>
      </c>
      <c r="L34" s="76">
        <f>SUMIFS(разходи!$L:$L,разходи!$E:$E,'ПП Декември'!$C$34,разходи!$M:$M,'ПП Декември'!L2)</f>
        <v>0</v>
      </c>
      <c r="M34" s="74">
        <f>SUMIFS(разходи!$L:$L,разходи!$E:$E,'ПП Декември'!$C$34,разходи!$M:$M,'ПП Декември'!M2)</f>
        <v>0</v>
      </c>
      <c r="N34" s="74">
        <f>SUMIFS(разходи!$L:$L,разходи!$E:$E,'ПП Декември'!$C$34,разходи!$M:$M,'ПП Декември'!N2)</f>
        <v>0</v>
      </c>
      <c r="O34" s="74">
        <f>SUMIFS(разходи!$L:$L,разходи!$E:$E,'ПП Декември'!$C$34,разходи!$M:$M,'ПП Декември'!O2)</f>
        <v>0</v>
      </c>
      <c r="P34" s="74">
        <f>SUMIFS(разходи!$L:$L,разходи!$E:$E,'ПП Декември'!$C$34,разходи!$M:$M,'ПП Декември'!P2)</f>
        <v>0</v>
      </c>
      <c r="Q34" s="74">
        <f>SUMIFS(разходи!$L:$L,разходи!$E:$E,'ПП Декември'!$C$34,разходи!$M:$M,'ПП Декември'!Q2)</f>
        <v>0</v>
      </c>
      <c r="R34" s="76">
        <f>SUMIFS(разходи!$L:$L,разходи!$E:$E,'ПП Декември'!$C$34,разходи!$M:$M,'ПП Декември'!R2)</f>
        <v>0</v>
      </c>
      <c r="S34" s="76">
        <f>SUMIFS(разходи!$L:$L,разходи!$E:$E,'ПП Декември'!$C$34,разходи!$M:$M,'ПП Декември'!S2)</f>
        <v>0</v>
      </c>
      <c r="T34" s="74">
        <f>SUMIFS(разходи!$L:$L,разходи!$E:$E,'ПП Декември'!$C$34,разходи!$M:$M,'ПП Декември'!T2)</f>
        <v>0</v>
      </c>
      <c r="U34" s="74">
        <f>SUMIFS(разходи!$L:$L,разходи!$E:$E,'ПП Декември'!$C$34,разходи!$M:$M,'ПП Декември'!U2)</f>
        <v>0</v>
      </c>
      <c r="V34" s="74">
        <f>SUMIFS(разходи!$L:$L,разходи!$E:$E,'ПП Декември'!$C$34,разходи!$M:$M,'ПП Декември'!V2)</f>
        <v>0</v>
      </c>
      <c r="W34" s="74">
        <f>SUMIFS(разходи!$L:$L,разходи!$E:$E,'ПП Декември'!$C$34,разходи!$M:$M,'ПП Декември'!W2)</f>
        <v>0</v>
      </c>
      <c r="X34" s="74">
        <f>SUMIFS(разходи!$L:$L,разходи!$E:$E,'ПП Декември'!$C$34,разходи!$M:$M,'ПП Декември'!X2)</f>
        <v>0</v>
      </c>
      <c r="Y34" s="76">
        <f>SUMIFS(разходи!$L:$L,разходи!$E:$E,'ПП Декември'!$C$34,разходи!$M:$M,'ПП Декември'!Y2)</f>
        <v>0</v>
      </c>
      <c r="Z34" s="76">
        <f>SUMIFS(разходи!$L:$L,разходи!$E:$E,'ПП Декември'!$C$34,разходи!$M:$M,'ПП Декември'!Z2)</f>
        <v>0</v>
      </c>
      <c r="AA34" s="74">
        <f>SUMIFS(разходи!$L:$L,разходи!$E:$E,'ПП Декември'!$C$34,разходи!$M:$M,'ПП Декември'!AA2)</f>
        <v>0</v>
      </c>
      <c r="AB34" s="76">
        <f>SUMIFS(разходи!$L:$L,разходи!$E:$E,'ПП Декември'!$C$34,разходи!$M:$M,'ПП Декември'!AB2)</f>
        <v>0</v>
      </c>
      <c r="AC34" s="76">
        <f>SUMIFS(разходи!$L:$L,разходи!$E:$E,'ПП Декември'!$C$34,разходи!$M:$M,'ПП Декември'!AC2)</f>
        <v>0</v>
      </c>
      <c r="AD34" s="76">
        <f>SUMIFS(разходи!$L:$L,разходи!$E:$E,'ПП Декември'!$C$34,разходи!$M:$M,'ПП Декември'!AD2)</f>
        <v>0</v>
      </c>
      <c r="AE34" s="74">
        <f>SUMIFS(разходи!$L:$L,разходи!$E:$E,'ПП Декември'!$C$34,разходи!$M:$M,'ПП Декември'!AE2)</f>
        <v>0</v>
      </c>
      <c r="AF34" s="76">
        <f>SUMIFS(разходи!$L:$L,разходи!$E:$E,'ПП Декември'!$C$34,разходи!$M:$M,'ПП Декември'!AF2)</f>
        <v>0</v>
      </c>
      <c r="AG34" s="76">
        <f>SUMIFS(разходи!$L:$L,разходи!$E:$E,'ПП Декември'!$C$34,разходи!$M:$M,'ПП Декември'!AG2)</f>
        <v>0</v>
      </c>
      <c r="AH34" s="74">
        <f>SUMIFS(разходи!$L:$L,разходи!$E:$E,'ПП Декември'!$C$34,разходи!$M:$M,'ПП Декември'!AH2)</f>
        <v>0</v>
      </c>
      <c r="AI34" s="74">
        <f>SUMIFS(разходи!$L:$L,разходи!$E:$E,'ПП Декември'!$C$34,разходи!$M:$M,'ПП Декември'!AI2)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Декември'!$C$35,разходи!$M:$M,'ПП Декември'!E2)</f>
        <v>0</v>
      </c>
      <c r="F35" s="74">
        <f>SUMIFS(разходи!$L:$L,разходи!$E:$E,'ПП Декември'!$C$35,разходи!$M:$M,'ПП Декември'!F2)</f>
        <v>0</v>
      </c>
      <c r="G35" s="74">
        <f>SUMIFS(разходи!$L:$L,разходи!$E:$E,'ПП Декември'!$C$35,разходи!$M:$M,'ПП Декември'!G2)</f>
        <v>0</v>
      </c>
      <c r="H35" s="74">
        <f>SUMIFS(разходи!$L:$L,разходи!$E:$E,'ПП Декември'!$C$35,разходи!$M:$M,'ПП Декември'!H2)</f>
        <v>0</v>
      </c>
      <c r="I35" s="74">
        <f>SUMIFS(разходи!$L:$L,разходи!$E:$E,'ПП Декември'!$C$35,разходи!$M:$M,'ПП Декември'!I2)</f>
        <v>0</v>
      </c>
      <c r="J35" s="74">
        <f>SUMIFS(разходи!$L:$L,разходи!$E:$E,'ПП Декември'!$C$35,разходи!$M:$M,'ПП Декември'!J2)</f>
        <v>0</v>
      </c>
      <c r="K35" s="76">
        <f>SUMIFS(разходи!$L:$L,разходи!$E:$E,'ПП Декември'!$C$35,разходи!$M:$M,'ПП Декември'!K2)</f>
        <v>0</v>
      </c>
      <c r="L35" s="76">
        <f>SUMIFS(разходи!$L:$L,разходи!$E:$E,'ПП Декември'!$C$35,разходи!$M:$M,'ПП Декември'!L2)</f>
        <v>0</v>
      </c>
      <c r="M35" s="74">
        <f>SUMIFS(разходи!$L:$L,разходи!$E:$E,'ПП Декември'!$C$35,разходи!$M:$M,'ПП Декември'!M2)</f>
        <v>0</v>
      </c>
      <c r="N35" s="74">
        <f>SUMIFS(разходи!$L:$L,разходи!$E:$E,'ПП Декември'!$C$35,разходи!$M:$M,'ПП Декември'!N2)</f>
        <v>0</v>
      </c>
      <c r="O35" s="74">
        <f>SUMIFS(разходи!$L:$L,разходи!$E:$E,'ПП Декември'!$C$35,разходи!$M:$M,'ПП Декември'!O2)</f>
        <v>0</v>
      </c>
      <c r="P35" s="74">
        <f>SUMIFS(разходи!$L:$L,разходи!$E:$E,'ПП Декември'!$C$35,разходи!$M:$M,'ПП Декември'!P2)</f>
        <v>0</v>
      </c>
      <c r="Q35" s="74">
        <f>SUMIFS(разходи!$L:$L,разходи!$E:$E,'ПП Декември'!$C$35,разходи!$M:$M,'ПП Декември'!Q2)</f>
        <v>0</v>
      </c>
      <c r="R35" s="76">
        <f>SUMIFS(разходи!$L:$L,разходи!$E:$E,'ПП Декември'!$C$35,разходи!$M:$M,'ПП Декември'!R2)</f>
        <v>0</v>
      </c>
      <c r="S35" s="76">
        <f>SUMIFS(разходи!$L:$L,разходи!$E:$E,'ПП Декември'!$C$35,разходи!$M:$M,'ПП Декември'!S2)</f>
        <v>0</v>
      </c>
      <c r="T35" s="74">
        <f>SUMIFS(разходи!$L:$L,разходи!$E:$E,'ПП Декември'!$C$35,разходи!$M:$M,'ПП Декември'!T2)</f>
        <v>0</v>
      </c>
      <c r="U35" s="74">
        <f>SUMIFS(разходи!$L:$L,разходи!$E:$E,'ПП Декември'!$C$35,разходи!$M:$M,'ПП Декември'!U2)</f>
        <v>0</v>
      </c>
      <c r="V35" s="74">
        <f>SUMIFS(разходи!$L:$L,разходи!$E:$E,'ПП Декември'!$C$35,разходи!$M:$M,'ПП Декември'!V2)</f>
        <v>0</v>
      </c>
      <c r="W35" s="74">
        <f>SUMIFS(разходи!$L:$L,разходи!$E:$E,'ПП Декември'!$C$35,разходи!$M:$M,'ПП Декември'!W2)</f>
        <v>0</v>
      </c>
      <c r="X35" s="74">
        <f>SUMIFS(разходи!$L:$L,разходи!$E:$E,'ПП Декември'!$C$35,разходи!$M:$M,'ПП Декември'!X2)</f>
        <v>0</v>
      </c>
      <c r="Y35" s="76">
        <f>SUMIFS(разходи!$L:$L,разходи!$E:$E,'ПП Декември'!$C$35,разходи!$M:$M,'ПП Декември'!Y2)</f>
        <v>0</v>
      </c>
      <c r="Z35" s="76">
        <f>SUMIFS(разходи!$L:$L,разходи!$E:$E,'ПП Декември'!$C$35,разходи!$M:$M,'ПП Декември'!Z2)</f>
        <v>0</v>
      </c>
      <c r="AA35" s="74">
        <f>SUMIFS(разходи!$L:$L,разходи!$E:$E,'ПП Декември'!$C$35,разходи!$M:$M,'ПП Декември'!AA2)</f>
        <v>0</v>
      </c>
      <c r="AB35" s="76">
        <f>SUMIFS(разходи!$L:$L,разходи!$E:$E,'ПП Декември'!$C$35,разходи!$M:$M,'ПП Декември'!AB2)</f>
        <v>0</v>
      </c>
      <c r="AC35" s="76">
        <f>SUMIFS(разходи!$L:$L,разходи!$E:$E,'ПП Декември'!$C$35,разходи!$M:$M,'ПП Декември'!AC2)</f>
        <v>0</v>
      </c>
      <c r="AD35" s="76">
        <f>SUMIFS(разходи!$L:$L,разходи!$E:$E,'ПП Декември'!$C$35,разходи!$M:$M,'ПП Декември'!AD2)</f>
        <v>0</v>
      </c>
      <c r="AE35" s="74">
        <f>SUMIFS(разходи!$L:$L,разходи!$E:$E,'ПП Декември'!$C$35,разходи!$M:$M,'ПП Декември'!AE2)</f>
        <v>0</v>
      </c>
      <c r="AF35" s="76">
        <f>SUMIFS(разходи!$L:$L,разходи!$E:$E,'ПП Декември'!$C$35,разходи!$M:$M,'ПП Декември'!AF2)</f>
        <v>0</v>
      </c>
      <c r="AG35" s="76">
        <f>SUMIFS(разходи!$L:$L,разходи!$E:$E,'ПП Декември'!$C$35,разходи!$M:$M,'ПП Декември'!AG2)</f>
        <v>0</v>
      </c>
      <c r="AH35" s="74">
        <f>SUMIFS(разходи!$L:$L,разходи!$E:$E,'ПП Декември'!$C$35,разходи!$M:$M,'ПП Декември'!AH2)</f>
        <v>0</v>
      </c>
      <c r="AI35" s="74">
        <f>SUMIFS(разходи!$L:$L,разходи!$E:$E,'ПП Декември'!$C$35,разходи!$M:$M,'ПП Декември'!AI2)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/>
      <c r="E36" s="76">
        <f t="shared" ref="E36:AI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4">
        <f t="shared" si="17"/>
        <v>0</v>
      </c>
      <c r="K36" s="76">
        <f t="shared" si="17"/>
        <v>0</v>
      </c>
      <c r="L36" s="76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4">
        <f t="shared" si="17"/>
        <v>0</v>
      </c>
      <c r="Q36" s="74">
        <f t="shared" si="17"/>
        <v>0</v>
      </c>
      <c r="R36" s="76">
        <f t="shared" si="17"/>
        <v>0</v>
      </c>
      <c r="S36" s="76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6">
        <f t="shared" si="17"/>
        <v>0</v>
      </c>
      <c r="Z36" s="76">
        <f t="shared" si="17"/>
        <v>0</v>
      </c>
      <c r="AA36" s="74">
        <f t="shared" si="17"/>
        <v>0</v>
      </c>
      <c r="AB36" s="76">
        <f t="shared" si="17"/>
        <v>0</v>
      </c>
      <c r="AC36" s="76">
        <f t="shared" si="17"/>
        <v>0</v>
      </c>
      <c r="AD36" s="76">
        <f t="shared" si="17"/>
        <v>0</v>
      </c>
      <c r="AE36" s="74">
        <f t="shared" si="17"/>
        <v>0</v>
      </c>
      <c r="AF36" s="76">
        <f t="shared" si="17"/>
        <v>0</v>
      </c>
      <c r="AG36" s="76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0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/>
      <c r="E37" s="76">
        <f>SUMIFS(разходи!$L:$L,разходи!$E:$E,'ПП Декември'!$C$37,разходи!$M:$M,'ПП Декември'!E2)</f>
        <v>0</v>
      </c>
      <c r="F37" s="74">
        <f>SUMIFS(разходи!$L:$L,разходи!$E:$E,'ПП Декември'!$C$37,разходи!$M:$M,'ПП Декември'!F2)</f>
        <v>0</v>
      </c>
      <c r="G37" s="74">
        <f>SUMIFS(разходи!$L:$L,разходи!$E:$E,'ПП Декември'!$C$37,разходи!$M:$M,'ПП Декември'!G2)</f>
        <v>0</v>
      </c>
      <c r="H37" s="74">
        <f>SUMIFS(разходи!$L:$L,разходи!$E:$E,'ПП Декември'!$C$37,разходи!$M:$M,'ПП Декември'!H2)</f>
        <v>0</v>
      </c>
      <c r="I37" s="74">
        <f>SUMIFS(разходи!$L:$L,разходи!$E:$E,'ПП Декември'!$C$37,разходи!$M:$M,'ПП Декември'!I2)</f>
        <v>0</v>
      </c>
      <c r="J37" s="74">
        <f>SUMIFS(разходи!$L:$L,разходи!$E:$E,'ПП Декември'!$C$37,разходи!$M:$M,'ПП Декември'!J2)</f>
        <v>0</v>
      </c>
      <c r="K37" s="76">
        <f>SUMIFS(разходи!$L:$L,разходи!$E:$E,'ПП Декември'!$C$37,разходи!$M:$M,'ПП Декември'!K2)</f>
        <v>0</v>
      </c>
      <c r="L37" s="76">
        <f>SUMIFS(разходи!$L:$L,разходи!$E:$E,'ПП Декември'!$C$37,разходи!$M:$M,'ПП Декември'!L2)</f>
        <v>0</v>
      </c>
      <c r="M37" s="74">
        <f>SUMIFS(разходи!$L:$L,разходи!$E:$E,'ПП Декември'!$C$37,разходи!$M:$M,'ПП Декември'!M2)</f>
        <v>0</v>
      </c>
      <c r="N37" s="74">
        <f>SUMIFS(разходи!$L:$L,разходи!$E:$E,'ПП Декември'!$C$37,разходи!$M:$M,'ПП Декември'!N2)</f>
        <v>0</v>
      </c>
      <c r="O37" s="74">
        <f>SUMIFS(разходи!$L:$L,разходи!$E:$E,'ПП Декември'!$C$37,разходи!$M:$M,'ПП Декември'!O2)</f>
        <v>0</v>
      </c>
      <c r="P37" s="74">
        <f>SUMIFS(разходи!$L:$L,разходи!$E:$E,'ПП Декември'!$C$37,разходи!$M:$M,'ПП Декември'!P2)</f>
        <v>0</v>
      </c>
      <c r="Q37" s="74">
        <f>SUMIFS(разходи!$L:$L,разходи!$E:$E,'ПП Декември'!$C$37,разходи!$M:$M,'ПП Декември'!Q2)</f>
        <v>0</v>
      </c>
      <c r="R37" s="76">
        <f>SUMIFS(разходи!$L:$L,разходи!$E:$E,'ПП Декември'!$C$37,разходи!$M:$M,'ПП Декември'!R2)</f>
        <v>0</v>
      </c>
      <c r="S37" s="76">
        <f>SUMIFS(разходи!$L:$L,разходи!$E:$E,'ПП Декември'!$C$37,разходи!$M:$M,'ПП Декември'!S2)</f>
        <v>0</v>
      </c>
      <c r="T37" s="74">
        <f>SUMIFS(разходи!$L:$L,разходи!$E:$E,'ПП Декември'!$C$37,разходи!$M:$M,'ПП Декември'!T2)</f>
        <v>0</v>
      </c>
      <c r="U37" s="74">
        <f>SUMIFS(разходи!$L:$L,разходи!$E:$E,'ПП Декември'!$C$37,разходи!$M:$M,'ПП Декември'!U2)</f>
        <v>0</v>
      </c>
      <c r="V37" s="74">
        <f>SUMIFS(разходи!$L:$L,разходи!$E:$E,'ПП Декември'!$C$37,разходи!$M:$M,'ПП Декември'!V2)</f>
        <v>0</v>
      </c>
      <c r="W37" s="74">
        <f>SUMIFS(разходи!$L:$L,разходи!$E:$E,'ПП Декември'!$C$37,разходи!$M:$M,'ПП Декември'!W2)</f>
        <v>0</v>
      </c>
      <c r="X37" s="74">
        <f>SUMIFS(разходи!$L:$L,разходи!$E:$E,'ПП Декември'!$C$37,разходи!$M:$M,'ПП Декември'!X2)</f>
        <v>0</v>
      </c>
      <c r="Y37" s="76">
        <f>SUMIFS(разходи!$L:$L,разходи!$E:$E,'ПП Декември'!$C$37,разходи!$M:$M,'ПП Декември'!Y2)</f>
        <v>0</v>
      </c>
      <c r="Z37" s="76">
        <f>SUMIFS(разходи!$L:$L,разходи!$E:$E,'ПП Декември'!$C$37,разходи!$M:$M,'ПП Декември'!Z2)</f>
        <v>0</v>
      </c>
      <c r="AA37" s="74">
        <f>SUMIFS(разходи!$L:$L,разходи!$E:$E,'ПП Декември'!$C$37,разходи!$M:$M,'ПП Декември'!AA2)</f>
        <v>0</v>
      </c>
      <c r="AB37" s="76">
        <f>SUMIFS(разходи!$L:$L,разходи!$E:$E,'ПП Декември'!$C$37,разходи!$M:$M,'ПП Декември'!AB2)</f>
        <v>0</v>
      </c>
      <c r="AC37" s="76">
        <f>SUMIFS(разходи!$L:$L,разходи!$E:$E,'ПП Декември'!$C$37,разходи!$M:$M,'ПП Декември'!AC2)</f>
        <v>0</v>
      </c>
      <c r="AD37" s="76">
        <f>SUMIFS(разходи!$L:$L,разходи!$E:$E,'ПП Декември'!$C$37,разходи!$M:$M,'ПП Декември'!AD2)</f>
        <v>0</v>
      </c>
      <c r="AE37" s="74">
        <f>SUMIFS(разходи!$L:$L,разходи!$E:$E,'ПП Декември'!$C$37,разходи!$M:$M,'ПП Декември'!AE2)</f>
        <v>0</v>
      </c>
      <c r="AF37" s="76">
        <f>SUMIFS(разходи!$L:$L,разходи!$E:$E,'ПП Декември'!$C$37,разходи!$M:$M,'ПП Декември'!AF2)</f>
        <v>0</v>
      </c>
      <c r="AG37" s="76">
        <f>SUMIFS(разходи!$L:$L,разходи!$E:$E,'ПП Декември'!$C$37,разходи!$M:$M,'ПП Декември'!AG2)</f>
        <v>0</v>
      </c>
      <c r="AH37" s="74">
        <f>SUMIFS(разходи!$L:$L,разходи!$E:$E,'ПП Декември'!$C$37,разходи!$M:$M,'ПП Декември'!AH2)</f>
        <v>0</v>
      </c>
      <c r="AI37" s="74">
        <f>SUMIFS(разходи!$L:$L,разходи!$E:$E,'ПП Декември'!$C$37,разходи!$M:$M,'ПП Декември'!AI2)</f>
        <v>0</v>
      </c>
      <c r="AJ37" s="61">
        <f t="shared" si="16"/>
        <v>0</v>
      </c>
      <c r="AK37" s="69">
        <f t="shared" si="3"/>
        <v>0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Декември'!$C$38,разходи!$M:$M,'ПП Декември'!E2)</f>
        <v>0</v>
      </c>
      <c r="F38" s="74">
        <f>SUMIFS(разходи!$L:$L,разходи!$E:$E,'ПП Декември'!$C$38,разходи!$M:$M,'ПП Декември'!F2)</f>
        <v>0</v>
      </c>
      <c r="G38" s="74">
        <f>SUMIFS(разходи!$L:$L,разходи!$E:$E,'ПП Декември'!$C$38,разходи!$M:$M,'ПП Декември'!G2)</f>
        <v>0</v>
      </c>
      <c r="H38" s="74">
        <f>SUMIFS(разходи!$L:$L,разходи!$E:$E,'ПП Декември'!$C$38,разходи!$M:$M,'ПП Декември'!H2)</f>
        <v>0</v>
      </c>
      <c r="I38" s="74">
        <f>SUMIFS(разходи!$L:$L,разходи!$E:$E,'ПП Декември'!$C$38,разходи!$M:$M,'ПП Декември'!I2)</f>
        <v>0</v>
      </c>
      <c r="J38" s="74">
        <f>SUMIFS(разходи!$L:$L,разходи!$E:$E,'ПП Декември'!$C$38,разходи!$M:$M,'ПП Декември'!J2)</f>
        <v>0</v>
      </c>
      <c r="K38" s="76">
        <f>SUMIFS(разходи!$L:$L,разходи!$E:$E,'ПП Декември'!$C$38,разходи!$M:$M,'ПП Декември'!K2)</f>
        <v>0</v>
      </c>
      <c r="L38" s="76">
        <f>SUMIFS(разходи!$L:$L,разходи!$E:$E,'ПП Декември'!$C$38,разходи!$M:$M,'ПП Декември'!L2)</f>
        <v>0</v>
      </c>
      <c r="M38" s="74">
        <f>SUMIFS(разходи!$L:$L,разходи!$E:$E,'ПП Декември'!$C$38,разходи!$M:$M,'ПП Декември'!M2)</f>
        <v>0</v>
      </c>
      <c r="N38" s="74">
        <f>SUMIFS(разходи!$L:$L,разходи!$E:$E,'ПП Декември'!$C$38,разходи!$M:$M,'ПП Декември'!N2)</f>
        <v>0</v>
      </c>
      <c r="O38" s="74">
        <f>SUMIFS(разходи!$L:$L,разходи!$E:$E,'ПП Декември'!$C$38,разходи!$M:$M,'ПП Декември'!O2)</f>
        <v>0</v>
      </c>
      <c r="P38" s="74">
        <f>SUMIFS(разходи!$L:$L,разходи!$E:$E,'ПП Декември'!$C$38,разходи!$M:$M,'ПП Декември'!P2)</f>
        <v>0</v>
      </c>
      <c r="Q38" s="74">
        <f>SUMIFS(разходи!$L:$L,разходи!$E:$E,'ПП Декември'!$C$38,разходи!$M:$M,'ПП Декември'!Q2)</f>
        <v>0</v>
      </c>
      <c r="R38" s="76">
        <f>SUMIFS(разходи!$L:$L,разходи!$E:$E,'ПП Декември'!$C$38,разходи!$M:$M,'ПП Декември'!R2)</f>
        <v>0</v>
      </c>
      <c r="S38" s="76">
        <f>SUMIFS(разходи!$L:$L,разходи!$E:$E,'ПП Декември'!$C$38,разходи!$M:$M,'ПП Декември'!S2)</f>
        <v>0</v>
      </c>
      <c r="T38" s="74">
        <f>SUMIFS(разходи!$L:$L,разходи!$E:$E,'ПП Декември'!$C$38,разходи!$M:$M,'ПП Декември'!T2)</f>
        <v>0</v>
      </c>
      <c r="U38" s="74">
        <f>SUMIFS(разходи!$L:$L,разходи!$E:$E,'ПП Декември'!$C$38,разходи!$M:$M,'ПП Декември'!U2)</f>
        <v>0</v>
      </c>
      <c r="V38" s="74">
        <f>SUMIFS(разходи!$L:$L,разходи!$E:$E,'ПП Декември'!$C$38,разходи!$M:$M,'ПП Декември'!V2)</f>
        <v>0</v>
      </c>
      <c r="W38" s="74">
        <f>SUMIFS(разходи!$L:$L,разходи!$E:$E,'ПП Декември'!$C$38,разходи!$M:$M,'ПП Декември'!W2)</f>
        <v>0</v>
      </c>
      <c r="X38" s="74">
        <f>SUMIFS(разходи!$L:$L,разходи!$E:$E,'ПП Декември'!$C$38,разходи!$M:$M,'ПП Декември'!X2)</f>
        <v>0</v>
      </c>
      <c r="Y38" s="76">
        <f>SUMIFS(разходи!$L:$L,разходи!$E:$E,'ПП Декември'!$C$38,разходи!$M:$M,'ПП Декември'!Y2)</f>
        <v>0</v>
      </c>
      <c r="Z38" s="76">
        <f>SUMIFS(разходи!$L:$L,разходи!$E:$E,'ПП Декември'!$C$38,разходи!$M:$M,'ПП Декември'!Z2)</f>
        <v>0</v>
      </c>
      <c r="AA38" s="74">
        <f>SUMIFS(разходи!$L:$L,разходи!$E:$E,'ПП Декември'!$C$38,разходи!$M:$M,'ПП Декември'!AA2)</f>
        <v>0</v>
      </c>
      <c r="AB38" s="76">
        <f>SUMIFS(разходи!$L:$L,разходи!$E:$E,'ПП Декември'!$C$38,разходи!$M:$M,'ПП Декември'!AB2)</f>
        <v>0</v>
      </c>
      <c r="AC38" s="76">
        <f>SUMIFS(разходи!$L:$L,разходи!$E:$E,'ПП Декември'!$C$38,разходи!$M:$M,'ПП Декември'!AC2)</f>
        <v>0</v>
      </c>
      <c r="AD38" s="76">
        <f>SUMIFS(разходи!$L:$L,разходи!$E:$E,'ПП Декември'!$C$38,разходи!$M:$M,'ПП Декември'!AD2)</f>
        <v>0</v>
      </c>
      <c r="AE38" s="74">
        <f>SUMIFS(разходи!$L:$L,разходи!$E:$E,'ПП Декември'!$C$38,разходи!$M:$M,'ПП Декември'!AE2)</f>
        <v>0</v>
      </c>
      <c r="AF38" s="76">
        <f>SUMIFS(разходи!$L:$L,разходи!$E:$E,'ПП Декември'!$C$38,разходи!$M:$M,'ПП Декември'!AF2)</f>
        <v>0</v>
      </c>
      <c r="AG38" s="76">
        <f>SUMIFS(разходи!$L:$L,разходи!$E:$E,'ПП Декември'!$C$38,разходи!$M:$M,'ПП Декември'!AG2)</f>
        <v>0</v>
      </c>
      <c r="AH38" s="74">
        <f>SUMIFS(разходи!$L:$L,разходи!$E:$E,'ПП Декември'!$C$38,разходи!$M:$M,'ПП Декември'!AH2)</f>
        <v>0</v>
      </c>
      <c r="AI38" s="74">
        <f>SUMIFS(разходи!$L:$L,разходи!$E:$E,'ПП Декември'!$C$38,разходи!$M:$M,'ПП Декември'!AI2)</f>
        <v>0</v>
      </c>
      <c r="AJ38" s="61">
        <f t="shared" si="16"/>
        <v>0</v>
      </c>
      <c r="AK38" s="69">
        <f t="shared" si="3"/>
        <v>0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Декември'!$C$39,разходи!$M:$M,'ПП Декември'!E2)</f>
        <v>0</v>
      </c>
      <c r="F39" s="74">
        <f>SUMIFS(разходи!$L:$L,разходи!$E:$E,'ПП Декември'!$C$39,разходи!$M:$M,'ПП Декември'!F2)</f>
        <v>0</v>
      </c>
      <c r="G39" s="74">
        <f>SUMIFS(разходи!$L:$L,разходи!$E:$E,'ПП Декември'!$C$39,разходи!$M:$M,'ПП Декември'!G2)</f>
        <v>0</v>
      </c>
      <c r="H39" s="74">
        <f>SUMIFS(разходи!$L:$L,разходи!$E:$E,'ПП Декември'!$C$39,разходи!$M:$M,'ПП Декември'!H2)</f>
        <v>0</v>
      </c>
      <c r="I39" s="74">
        <f>SUMIFS(разходи!$L:$L,разходи!$E:$E,'ПП Декември'!$C$39,разходи!$M:$M,'ПП Декември'!I2)</f>
        <v>0</v>
      </c>
      <c r="J39" s="74">
        <f>SUMIFS(разходи!$L:$L,разходи!$E:$E,'ПП Декември'!$C$39,разходи!$M:$M,'ПП Декември'!J2)</f>
        <v>0</v>
      </c>
      <c r="K39" s="76">
        <f>SUMIFS(разходи!$L:$L,разходи!$E:$E,'ПП Декември'!$C$39,разходи!$M:$M,'ПП Декември'!K2)</f>
        <v>0</v>
      </c>
      <c r="L39" s="76">
        <f>SUMIFS(разходи!$L:$L,разходи!$E:$E,'ПП Декември'!$C$39,разходи!$M:$M,'ПП Декември'!L2)</f>
        <v>0</v>
      </c>
      <c r="M39" s="74">
        <f>SUMIFS(разходи!$L:$L,разходи!$E:$E,'ПП Декември'!$C$39,разходи!$M:$M,'ПП Декември'!M2)</f>
        <v>0</v>
      </c>
      <c r="N39" s="74">
        <f>SUMIFS(разходи!$L:$L,разходи!$E:$E,'ПП Декември'!$C$39,разходи!$M:$M,'ПП Декември'!N2)</f>
        <v>0</v>
      </c>
      <c r="O39" s="74">
        <f>SUMIFS(разходи!$L:$L,разходи!$E:$E,'ПП Декември'!$C$39,разходи!$M:$M,'ПП Декември'!O2)</f>
        <v>0</v>
      </c>
      <c r="P39" s="74">
        <f>SUMIFS(разходи!$L:$L,разходи!$E:$E,'ПП Декември'!$C$39,разходи!$M:$M,'ПП Декември'!P2)</f>
        <v>0</v>
      </c>
      <c r="Q39" s="74">
        <f>SUMIFS(разходи!$L:$L,разходи!$E:$E,'ПП Декември'!$C$39,разходи!$M:$M,'ПП Декември'!Q2)</f>
        <v>0</v>
      </c>
      <c r="R39" s="76">
        <f>SUMIFS(разходи!$L:$L,разходи!$E:$E,'ПП Декември'!$C$39,разходи!$M:$M,'ПП Декември'!R2)</f>
        <v>0</v>
      </c>
      <c r="S39" s="76">
        <f>SUMIFS(разходи!$L:$L,разходи!$E:$E,'ПП Декември'!$C$39,разходи!$M:$M,'ПП Декември'!S2)</f>
        <v>0</v>
      </c>
      <c r="T39" s="74">
        <f>SUMIFS(разходи!$L:$L,разходи!$E:$E,'ПП Декември'!$C$39,разходи!$M:$M,'ПП Декември'!T2)</f>
        <v>0</v>
      </c>
      <c r="U39" s="74">
        <f>SUMIFS(разходи!$L:$L,разходи!$E:$E,'ПП Декември'!$C$39,разходи!$M:$M,'ПП Декември'!U2)</f>
        <v>0</v>
      </c>
      <c r="V39" s="74">
        <f>SUMIFS(разходи!$L:$L,разходи!$E:$E,'ПП Декември'!$C$39,разходи!$M:$M,'ПП Декември'!V2)</f>
        <v>0</v>
      </c>
      <c r="W39" s="74">
        <f>SUMIFS(разходи!$L:$L,разходи!$E:$E,'ПП Декември'!$C$39,разходи!$M:$M,'ПП Декември'!W2)</f>
        <v>0</v>
      </c>
      <c r="X39" s="74">
        <f>SUMIFS(разходи!$L:$L,разходи!$E:$E,'ПП Декември'!$C$39,разходи!$M:$M,'ПП Декември'!X2)</f>
        <v>0</v>
      </c>
      <c r="Y39" s="76">
        <f>SUMIFS(разходи!$L:$L,разходи!$E:$E,'ПП Декември'!$C$39,разходи!$M:$M,'ПП Декември'!Y2)</f>
        <v>0</v>
      </c>
      <c r="Z39" s="76">
        <f>SUMIFS(разходи!$L:$L,разходи!$E:$E,'ПП Декември'!$C$39,разходи!$M:$M,'ПП Декември'!Z2)</f>
        <v>0</v>
      </c>
      <c r="AA39" s="74">
        <f>SUMIFS(разходи!$L:$L,разходи!$E:$E,'ПП Декември'!$C$39,разходи!$M:$M,'ПП Декември'!AA2)</f>
        <v>0</v>
      </c>
      <c r="AB39" s="76">
        <f>SUMIFS(разходи!$L:$L,разходи!$E:$E,'ПП Декември'!$C$39,разходи!$M:$M,'ПП Декември'!AB2)</f>
        <v>0</v>
      </c>
      <c r="AC39" s="76">
        <f>SUMIFS(разходи!$L:$L,разходи!$E:$E,'ПП Декември'!$C$39,разходи!$M:$M,'ПП Декември'!AC2)</f>
        <v>0</v>
      </c>
      <c r="AD39" s="76">
        <f>SUMIFS(разходи!$L:$L,разходи!$E:$E,'ПП Декември'!$C$39,разходи!$M:$M,'ПП Декември'!AD2)</f>
        <v>0</v>
      </c>
      <c r="AE39" s="74">
        <f>SUMIFS(разходи!$L:$L,разходи!$E:$E,'ПП Декември'!$C$39,разходи!$M:$M,'ПП Декември'!AE2)</f>
        <v>0</v>
      </c>
      <c r="AF39" s="76">
        <f>SUMIFS(разходи!$L:$L,разходи!$E:$E,'ПП Декември'!$C$39,разходи!$M:$M,'ПП Декември'!AF2)</f>
        <v>0</v>
      </c>
      <c r="AG39" s="76">
        <f>SUMIFS(разходи!$L:$L,разходи!$E:$E,'ПП Декември'!$C$39,разходи!$M:$M,'ПП Декември'!AG2)</f>
        <v>0</v>
      </c>
      <c r="AH39" s="74">
        <f>SUMIFS(разходи!$L:$L,разходи!$E:$E,'ПП Декември'!$C$39,разходи!$M:$M,'ПП Декември'!AH2)</f>
        <v>0</v>
      </c>
      <c r="AI39" s="74">
        <f>SUMIFS(разходи!$L:$L,разходи!$E:$E,'ПП Декември'!$C$39,разходи!$M:$M,'ПП Декември'!AI2)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Декември'!$C$40,разходи!$M:$M,'ПП Декември'!E2)</f>
        <v>0</v>
      </c>
      <c r="F40" s="74">
        <f>SUMIFS(разходи!$L:$L,разходи!$E:$E,'ПП Декември'!$C$40,разходи!$M:$M,'ПП Декември'!F2)</f>
        <v>0</v>
      </c>
      <c r="G40" s="74">
        <f>SUMIFS(разходи!$L:$L,разходи!$E:$E,'ПП Декември'!$C$40,разходи!$M:$M,'ПП Декември'!G2)</f>
        <v>0</v>
      </c>
      <c r="H40" s="74">
        <f>SUMIFS(разходи!$L:$L,разходи!$E:$E,'ПП Декември'!$C$40,разходи!$M:$M,'ПП Декември'!H2)</f>
        <v>0</v>
      </c>
      <c r="I40" s="74">
        <f>SUMIFS(разходи!$L:$L,разходи!$E:$E,'ПП Декември'!$C$40,разходи!$M:$M,'ПП Декември'!I2)</f>
        <v>0</v>
      </c>
      <c r="J40" s="74">
        <f>SUMIFS(разходи!$L:$L,разходи!$E:$E,'ПП Декември'!$C$40,разходи!$M:$M,'ПП Декември'!J2)</f>
        <v>0</v>
      </c>
      <c r="K40" s="76">
        <f>SUMIFS(разходи!$L:$L,разходи!$E:$E,'ПП Декември'!$C$40,разходи!$M:$M,'ПП Декември'!K2)</f>
        <v>0</v>
      </c>
      <c r="L40" s="76">
        <f>SUMIFS(разходи!$L:$L,разходи!$E:$E,'ПП Декември'!$C$40,разходи!$M:$M,'ПП Декември'!L2)</f>
        <v>0</v>
      </c>
      <c r="M40" s="74">
        <f>SUMIFS(разходи!$L:$L,разходи!$E:$E,'ПП Декември'!$C$40,разходи!$M:$M,'ПП Декември'!M2)</f>
        <v>0</v>
      </c>
      <c r="N40" s="74">
        <f>SUMIFS(разходи!$L:$L,разходи!$E:$E,'ПП Декември'!$C$40,разходи!$M:$M,'ПП Декември'!N2)</f>
        <v>0</v>
      </c>
      <c r="O40" s="74">
        <f>SUMIFS(разходи!$L:$L,разходи!$E:$E,'ПП Декември'!$C$40,разходи!$M:$M,'ПП Декември'!O2)</f>
        <v>0</v>
      </c>
      <c r="P40" s="74">
        <f>SUMIFS(разходи!$L:$L,разходи!$E:$E,'ПП Декември'!$C$40,разходи!$M:$M,'ПП Декември'!P2)</f>
        <v>0</v>
      </c>
      <c r="Q40" s="74">
        <f>SUMIFS(разходи!$L:$L,разходи!$E:$E,'ПП Декември'!$C$40,разходи!$M:$M,'ПП Декември'!Q2)</f>
        <v>0</v>
      </c>
      <c r="R40" s="76">
        <f>SUMIFS(разходи!$L:$L,разходи!$E:$E,'ПП Декември'!$C$40,разходи!$M:$M,'ПП Декември'!R2)</f>
        <v>0</v>
      </c>
      <c r="S40" s="76">
        <f>SUMIFS(разходи!$L:$L,разходи!$E:$E,'ПП Декември'!$C$40,разходи!$M:$M,'ПП Декември'!S2)</f>
        <v>0</v>
      </c>
      <c r="T40" s="74">
        <f>SUMIFS(разходи!$L:$L,разходи!$E:$E,'ПП Декември'!$C$40,разходи!$M:$M,'ПП Декември'!T2)</f>
        <v>0</v>
      </c>
      <c r="U40" s="74">
        <f>SUMIFS(разходи!$L:$L,разходи!$E:$E,'ПП Декември'!$C$40,разходи!$M:$M,'ПП Декември'!U2)</f>
        <v>0</v>
      </c>
      <c r="V40" s="74">
        <f>SUMIFS(разходи!$L:$L,разходи!$E:$E,'ПП Декември'!$C$40,разходи!$M:$M,'ПП Декември'!V2)</f>
        <v>0</v>
      </c>
      <c r="W40" s="74">
        <f>SUMIFS(разходи!$L:$L,разходи!$E:$E,'ПП Декември'!$C$40,разходи!$M:$M,'ПП Декември'!W2)</f>
        <v>0</v>
      </c>
      <c r="X40" s="74">
        <f>SUMIFS(разходи!$L:$L,разходи!$E:$E,'ПП Декември'!$C$40,разходи!$M:$M,'ПП Декември'!X2)</f>
        <v>0</v>
      </c>
      <c r="Y40" s="76">
        <f>SUMIFS(разходи!$L:$L,разходи!$E:$E,'ПП Декември'!$C$40,разходи!$M:$M,'ПП Декември'!Y2)</f>
        <v>0</v>
      </c>
      <c r="Z40" s="76">
        <f>SUMIFS(разходи!$L:$L,разходи!$E:$E,'ПП Декември'!$C$40,разходи!$M:$M,'ПП Декември'!Z2)</f>
        <v>0</v>
      </c>
      <c r="AA40" s="74">
        <f>SUMIFS(разходи!$L:$L,разходи!$E:$E,'ПП Декември'!$C$40,разходи!$M:$M,'ПП Декември'!AA2)</f>
        <v>0</v>
      </c>
      <c r="AB40" s="76">
        <f>SUMIFS(разходи!$L:$L,разходи!$E:$E,'ПП Декември'!$C$40,разходи!$M:$M,'ПП Декември'!AB2)</f>
        <v>0</v>
      </c>
      <c r="AC40" s="76">
        <f>SUMIFS(разходи!$L:$L,разходи!$E:$E,'ПП Декември'!$C$40,разходи!$M:$M,'ПП Декември'!AC2)</f>
        <v>0</v>
      </c>
      <c r="AD40" s="76">
        <f>SUMIFS(разходи!$L:$L,разходи!$E:$E,'ПП Декември'!$C$40,разходи!$M:$M,'ПП Декември'!AD2)</f>
        <v>0</v>
      </c>
      <c r="AE40" s="74">
        <f>SUMIFS(разходи!$L:$L,разходи!$E:$E,'ПП Декември'!$C$40,разходи!$M:$M,'ПП Декември'!AE2)</f>
        <v>0</v>
      </c>
      <c r="AF40" s="76">
        <f>SUMIFS(разходи!$L:$L,разходи!$E:$E,'ПП Декември'!$C$40,разходи!$M:$M,'ПП Декември'!AF2)</f>
        <v>0</v>
      </c>
      <c r="AG40" s="76">
        <f>SUMIFS(разходи!$L:$L,разходи!$E:$E,'ПП Декември'!$C$40,разходи!$M:$M,'ПП Декември'!AG2)</f>
        <v>0</v>
      </c>
      <c r="AH40" s="74">
        <f>SUMIFS(разходи!$L:$L,разходи!$E:$E,'ПП Декември'!$C$40,разходи!$M:$M,'ПП Декември'!AH2)</f>
        <v>0</v>
      </c>
      <c r="AI40" s="74">
        <f>SUMIFS(разходи!$L:$L,разходи!$E:$E,'ПП Декември'!$C$40,разходи!$M:$M,'ПП Декември'!AI2)</f>
        <v>0</v>
      </c>
      <c r="AJ40" s="61">
        <f t="shared" si="16"/>
        <v>0</v>
      </c>
      <c r="AK40" s="69">
        <f t="shared" si="3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/>
      <c r="E41" s="76">
        <f>SUMIFS(разходи!$L:$L,разходи!$E:$E,'ПП Декември'!$C$41,разходи!$M:$M,'ПП Декември'!E2)</f>
        <v>0</v>
      </c>
      <c r="F41" s="74">
        <f>SUMIFS(разходи!$L:$L,разходи!$E:$E,'ПП Декември'!$C$41,разходи!$M:$M,'ПП Декември'!F2)</f>
        <v>0</v>
      </c>
      <c r="G41" s="74">
        <f>SUMIFS(разходи!$L:$L,разходи!$E:$E,'ПП Декември'!$C$41,разходи!$M:$M,'ПП Декември'!G2)</f>
        <v>0</v>
      </c>
      <c r="H41" s="74">
        <f>SUMIFS(разходи!$L:$L,разходи!$E:$E,'ПП Декември'!$C$41,разходи!$M:$M,'ПП Декември'!H2)</f>
        <v>0</v>
      </c>
      <c r="I41" s="74">
        <f>SUMIFS(разходи!$L:$L,разходи!$E:$E,'ПП Декември'!$C$41,разходи!$M:$M,'ПП Декември'!I2)</f>
        <v>0</v>
      </c>
      <c r="J41" s="74">
        <f>SUMIFS(разходи!$L:$L,разходи!$E:$E,'ПП Декември'!$C$41,разходи!$M:$M,'ПП Декември'!J2)</f>
        <v>0</v>
      </c>
      <c r="K41" s="76">
        <f>SUMIFS(разходи!$L:$L,разходи!$E:$E,'ПП Декември'!$C$41,разходи!$M:$M,'ПП Декември'!K2)</f>
        <v>0</v>
      </c>
      <c r="L41" s="76">
        <f>SUMIFS(разходи!$L:$L,разходи!$E:$E,'ПП Декември'!$C$41,разходи!$M:$M,'ПП Декември'!L2)</f>
        <v>0</v>
      </c>
      <c r="M41" s="74">
        <f>SUMIFS(разходи!$L:$L,разходи!$E:$E,'ПП Декември'!$C$41,разходи!$M:$M,'ПП Декември'!M2)</f>
        <v>0</v>
      </c>
      <c r="N41" s="74">
        <f>SUMIFS(разходи!$L:$L,разходи!$E:$E,'ПП Декември'!$C$41,разходи!$M:$M,'ПП Декември'!N2)</f>
        <v>0</v>
      </c>
      <c r="O41" s="74">
        <f>SUMIFS(разходи!$L:$L,разходи!$E:$E,'ПП Декември'!$C$41,разходи!$M:$M,'ПП Декември'!O2)</f>
        <v>0</v>
      </c>
      <c r="P41" s="74">
        <f>SUMIFS(разходи!$L:$L,разходи!$E:$E,'ПП Декември'!$C$41,разходи!$M:$M,'ПП Декември'!P2)</f>
        <v>0</v>
      </c>
      <c r="Q41" s="74">
        <f>SUMIFS(разходи!$L:$L,разходи!$E:$E,'ПП Декември'!$C$41,разходи!$M:$M,'ПП Декември'!Q2)</f>
        <v>0</v>
      </c>
      <c r="R41" s="76">
        <f>SUMIFS(разходи!$L:$L,разходи!$E:$E,'ПП Декември'!$C$41,разходи!$M:$M,'ПП Декември'!R2)</f>
        <v>0</v>
      </c>
      <c r="S41" s="76">
        <f>SUMIFS(разходи!$L:$L,разходи!$E:$E,'ПП Декември'!$C$41,разходи!$M:$M,'ПП Декември'!S2)</f>
        <v>0</v>
      </c>
      <c r="T41" s="74">
        <f>SUMIFS(разходи!$L:$L,разходи!$E:$E,'ПП Декември'!$C$41,разходи!$M:$M,'ПП Декември'!T2)</f>
        <v>0</v>
      </c>
      <c r="U41" s="74">
        <f>SUMIFS(разходи!$L:$L,разходи!$E:$E,'ПП Декември'!$C$41,разходи!$M:$M,'ПП Декември'!U2)</f>
        <v>0</v>
      </c>
      <c r="V41" s="74">
        <f>SUMIFS(разходи!$L:$L,разходи!$E:$E,'ПП Декември'!$C$41,разходи!$M:$M,'ПП Декември'!V2)</f>
        <v>0</v>
      </c>
      <c r="W41" s="74">
        <f>SUMIFS(разходи!$L:$L,разходи!$E:$E,'ПП Декември'!$C$41,разходи!$M:$M,'ПП Декември'!W2)</f>
        <v>0</v>
      </c>
      <c r="X41" s="74">
        <f>SUMIFS(разходи!$L:$L,разходи!$E:$E,'ПП Декември'!$C$41,разходи!$M:$M,'ПП Декември'!X2)</f>
        <v>0</v>
      </c>
      <c r="Y41" s="76">
        <f>SUMIFS(разходи!$L:$L,разходи!$E:$E,'ПП Декември'!$C$41,разходи!$M:$M,'ПП Декември'!Y2)</f>
        <v>0</v>
      </c>
      <c r="Z41" s="76">
        <f>SUMIFS(разходи!$L:$L,разходи!$E:$E,'ПП Декември'!$C$41,разходи!$M:$M,'ПП Декември'!Z2)</f>
        <v>0</v>
      </c>
      <c r="AA41" s="74">
        <f>SUMIFS(разходи!$L:$L,разходи!$E:$E,'ПП Декември'!$C$41,разходи!$M:$M,'ПП Декември'!AA2)</f>
        <v>0</v>
      </c>
      <c r="AB41" s="76">
        <f>SUMIFS(разходи!$L:$L,разходи!$E:$E,'ПП Декември'!$C$41,разходи!$M:$M,'ПП Декември'!AB2)</f>
        <v>0</v>
      </c>
      <c r="AC41" s="76">
        <f>SUMIFS(разходи!$L:$L,разходи!$E:$E,'ПП Декември'!$C$41,разходи!$M:$M,'ПП Декември'!AC2)</f>
        <v>0</v>
      </c>
      <c r="AD41" s="76">
        <f>SUMIFS(разходи!$L:$L,разходи!$E:$E,'ПП Декември'!$C$41,разходи!$M:$M,'ПП Декември'!AD2)</f>
        <v>0</v>
      </c>
      <c r="AE41" s="74">
        <f>SUMIFS(разходи!$L:$L,разходи!$E:$E,'ПП Декември'!$C$41,разходи!$M:$M,'ПП Декември'!AE2)</f>
        <v>0</v>
      </c>
      <c r="AF41" s="76">
        <f>SUMIFS(разходи!$L:$L,разходи!$E:$E,'ПП Декември'!$C$41,разходи!$M:$M,'ПП Декември'!AF2)</f>
        <v>0</v>
      </c>
      <c r="AG41" s="76">
        <f>SUMIFS(разходи!$L:$L,разходи!$E:$E,'ПП Декември'!$C$41,разходи!$M:$M,'ПП Декември'!AG2)</f>
        <v>0</v>
      </c>
      <c r="AH41" s="74">
        <f>SUMIFS(разходи!$L:$L,разходи!$E:$E,'ПП Декември'!$C$41,разходи!$M:$M,'ПП Декември'!AH2)</f>
        <v>0</v>
      </c>
      <c r="AI41" s="74">
        <f>SUMIFS(разходи!$L:$L,разходи!$E:$E,'ПП Декември'!$C$41,разходи!$M:$M,'ПП Декември'!AI2)</f>
        <v>0</v>
      </c>
      <c r="AJ41" s="61">
        <f t="shared" si="16"/>
        <v>0</v>
      </c>
      <c r="AK41" s="69">
        <f t="shared" si="3"/>
        <v>0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0</v>
      </c>
      <c r="E42" s="76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0</v>
      </c>
      <c r="J42" s="74">
        <f t="shared" si="18"/>
        <v>0</v>
      </c>
      <c r="K42" s="76">
        <f t="shared" si="18"/>
        <v>0</v>
      </c>
      <c r="L42" s="76">
        <f t="shared" si="18"/>
        <v>0</v>
      </c>
      <c r="M42" s="74">
        <f t="shared" si="18"/>
        <v>0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4">
        <f t="shared" si="18"/>
        <v>0</v>
      </c>
      <c r="R42" s="76">
        <f t="shared" si="18"/>
        <v>0</v>
      </c>
      <c r="S42" s="76">
        <f t="shared" si="18"/>
        <v>0</v>
      </c>
      <c r="T42" s="74">
        <f t="shared" si="18"/>
        <v>0</v>
      </c>
      <c r="U42" s="74">
        <f t="shared" si="18"/>
        <v>0</v>
      </c>
      <c r="V42" s="74">
        <f t="shared" si="18"/>
        <v>0</v>
      </c>
      <c r="W42" s="74">
        <f t="shared" si="18"/>
        <v>0</v>
      </c>
      <c r="X42" s="74">
        <f t="shared" si="18"/>
        <v>0</v>
      </c>
      <c r="Y42" s="76">
        <f t="shared" si="18"/>
        <v>0</v>
      </c>
      <c r="Z42" s="76">
        <f t="shared" si="18"/>
        <v>0</v>
      </c>
      <c r="AA42" s="74">
        <f t="shared" si="18"/>
        <v>0</v>
      </c>
      <c r="AB42" s="76">
        <f t="shared" si="18"/>
        <v>0</v>
      </c>
      <c r="AC42" s="76">
        <f t="shared" si="18"/>
        <v>0</v>
      </c>
      <c r="AD42" s="76">
        <f t="shared" si="18"/>
        <v>0</v>
      </c>
      <c r="AE42" s="74">
        <f t="shared" si="18"/>
        <v>0</v>
      </c>
      <c r="AF42" s="76">
        <f t="shared" si="18"/>
        <v>0</v>
      </c>
      <c r="AG42" s="76">
        <f t="shared" si="18"/>
        <v>0</v>
      </c>
      <c r="AH42" s="74">
        <f t="shared" si="18"/>
        <v>0</v>
      </c>
      <c r="AI42" s="74">
        <f t="shared" si="18"/>
        <v>0</v>
      </c>
      <c r="AJ42" s="61">
        <f t="shared" si="16"/>
        <v>0</v>
      </c>
      <c r="AK42" s="62">
        <f t="shared" si="3"/>
        <v>0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/>
      <c r="E43" s="76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0</v>
      </c>
      <c r="J43" s="74">
        <f t="shared" si="19"/>
        <v>0</v>
      </c>
      <c r="K43" s="76">
        <f t="shared" si="19"/>
        <v>0</v>
      </c>
      <c r="L43" s="76">
        <f t="shared" si="19"/>
        <v>0</v>
      </c>
      <c r="M43" s="74">
        <f t="shared" si="19"/>
        <v>0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4">
        <f t="shared" si="19"/>
        <v>0</v>
      </c>
      <c r="R43" s="76">
        <f t="shared" si="19"/>
        <v>0</v>
      </c>
      <c r="S43" s="76">
        <f t="shared" si="19"/>
        <v>0</v>
      </c>
      <c r="T43" s="74">
        <f t="shared" si="19"/>
        <v>0</v>
      </c>
      <c r="U43" s="74">
        <f t="shared" si="19"/>
        <v>0</v>
      </c>
      <c r="V43" s="74">
        <f t="shared" si="19"/>
        <v>0</v>
      </c>
      <c r="W43" s="74">
        <f t="shared" si="19"/>
        <v>0</v>
      </c>
      <c r="X43" s="74">
        <f t="shared" si="19"/>
        <v>0</v>
      </c>
      <c r="Y43" s="76">
        <f t="shared" si="19"/>
        <v>0</v>
      </c>
      <c r="Z43" s="76">
        <f t="shared" si="19"/>
        <v>0</v>
      </c>
      <c r="AA43" s="74">
        <f t="shared" si="19"/>
        <v>0</v>
      </c>
      <c r="AB43" s="76">
        <f t="shared" si="19"/>
        <v>0</v>
      </c>
      <c r="AC43" s="76">
        <f t="shared" si="19"/>
        <v>0</v>
      </c>
      <c r="AD43" s="76">
        <f t="shared" si="19"/>
        <v>0</v>
      </c>
      <c r="AE43" s="74">
        <f t="shared" si="19"/>
        <v>0</v>
      </c>
      <c r="AF43" s="76">
        <f t="shared" si="19"/>
        <v>0</v>
      </c>
      <c r="AG43" s="76">
        <f t="shared" si="19"/>
        <v>0</v>
      </c>
      <c r="AH43" s="74">
        <f t="shared" si="19"/>
        <v>0</v>
      </c>
      <c r="AI43" s="74">
        <f t="shared" si="19"/>
        <v>0</v>
      </c>
      <c r="AJ43" s="61">
        <f t="shared" si="16"/>
        <v>0</v>
      </c>
      <c r="AK43" s="69">
        <f t="shared" si="3"/>
        <v>0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/>
      <c r="E44" s="76">
        <f>SUMIFS(разходи!$L:$L,разходи!$E:$E,'ПП Декември'!$C$44,разходи!$M:$M,'ПП Декември'!E2)</f>
        <v>0</v>
      </c>
      <c r="F44" s="74">
        <f>SUMIFS(разходи!$L:$L,разходи!$E:$E,'ПП Декември'!$C$44,разходи!$M:$M,'ПП Декември'!F2)</f>
        <v>0</v>
      </c>
      <c r="G44" s="74">
        <f>SUMIFS(разходи!$L:$L,разходи!$E:$E,'ПП Декември'!$C$44,разходи!$M:$M,'ПП Декември'!G2)</f>
        <v>0</v>
      </c>
      <c r="H44" s="74">
        <f>SUMIFS(разходи!$L:$L,разходи!$E:$E,'ПП Декември'!$C$44,разходи!$M:$M,'ПП Декември'!H2)</f>
        <v>0</v>
      </c>
      <c r="I44" s="74">
        <f>SUMIFS(разходи!$L:$L,разходи!$E:$E,'ПП Декември'!$C$44,разходи!$M:$M,'ПП Декември'!I2)</f>
        <v>0</v>
      </c>
      <c r="J44" s="74">
        <f>SUMIFS(разходи!$L:$L,разходи!$E:$E,'ПП Декември'!$C$44,разходи!$M:$M,'ПП Декември'!J2)</f>
        <v>0</v>
      </c>
      <c r="K44" s="76">
        <f>SUMIFS(разходи!$L:$L,разходи!$E:$E,'ПП Декември'!$C$44,разходи!$M:$M,'ПП Декември'!K2)</f>
        <v>0</v>
      </c>
      <c r="L44" s="76">
        <f>SUMIFS(разходи!$L:$L,разходи!$E:$E,'ПП Декември'!$C$44,разходи!$M:$M,'ПП Декември'!L2)</f>
        <v>0</v>
      </c>
      <c r="M44" s="74">
        <f>SUMIFS(разходи!$L:$L,разходи!$E:$E,'ПП Декември'!$C$44,разходи!$M:$M,'ПП Декември'!M2)</f>
        <v>0</v>
      </c>
      <c r="N44" s="74">
        <f>SUMIFS(разходи!$L:$L,разходи!$E:$E,'ПП Декември'!$C$44,разходи!$M:$M,'ПП Декември'!N2)</f>
        <v>0</v>
      </c>
      <c r="O44" s="74">
        <f>SUMIFS(разходи!$L:$L,разходи!$E:$E,'ПП Декември'!$C$44,разходи!$M:$M,'ПП Декември'!O2)</f>
        <v>0</v>
      </c>
      <c r="P44" s="74">
        <f>SUMIFS(разходи!$L:$L,разходи!$E:$E,'ПП Декември'!$C$44,разходи!$M:$M,'ПП Декември'!P2)</f>
        <v>0</v>
      </c>
      <c r="Q44" s="74">
        <f>SUMIFS(разходи!$L:$L,разходи!$E:$E,'ПП Декември'!$C$44,разходи!$M:$M,'ПП Декември'!Q2)</f>
        <v>0</v>
      </c>
      <c r="R44" s="76">
        <f>SUMIFS(разходи!$L:$L,разходи!$E:$E,'ПП Декември'!$C$44,разходи!$M:$M,'ПП Декември'!R2)</f>
        <v>0</v>
      </c>
      <c r="S44" s="76">
        <f>SUMIFS(разходи!$L:$L,разходи!$E:$E,'ПП Декември'!$C$44,разходи!$M:$M,'ПП Декември'!S2)</f>
        <v>0</v>
      </c>
      <c r="T44" s="74">
        <f>SUMIFS(разходи!$L:$L,разходи!$E:$E,'ПП Декември'!$C$44,разходи!$M:$M,'ПП Декември'!T2)</f>
        <v>0</v>
      </c>
      <c r="U44" s="74">
        <f>SUMIFS(разходи!$L:$L,разходи!$E:$E,'ПП Декември'!$C$44,разходи!$M:$M,'ПП Декември'!U2)</f>
        <v>0</v>
      </c>
      <c r="V44" s="74">
        <f>SUMIFS(разходи!$L:$L,разходи!$E:$E,'ПП Декември'!$C$44,разходи!$M:$M,'ПП Декември'!V2)</f>
        <v>0</v>
      </c>
      <c r="W44" s="74">
        <f>SUMIFS(разходи!$L:$L,разходи!$E:$E,'ПП Декември'!$C$44,разходи!$M:$M,'ПП Декември'!W2)</f>
        <v>0</v>
      </c>
      <c r="X44" s="74">
        <f>SUMIFS(разходи!$L:$L,разходи!$E:$E,'ПП Декември'!$C$44,разходи!$M:$M,'ПП Декември'!X2)</f>
        <v>0</v>
      </c>
      <c r="Y44" s="76">
        <f>SUMIFS(разходи!$L:$L,разходи!$E:$E,'ПП Декември'!$C$44,разходи!$M:$M,'ПП Декември'!Y2)</f>
        <v>0</v>
      </c>
      <c r="Z44" s="76">
        <f>SUMIFS(разходи!$L:$L,разходи!$E:$E,'ПП Декември'!$C$44,разходи!$M:$M,'ПП Декември'!Z2)</f>
        <v>0</v>
      </c>
      <c r="AA44" s="74">
        <f>SUMIFS(разходи!$L:$L,разходи!$E:$E,'ПП Декември'!$C$44,разходи!$M:$M,'ПП Декември'!AA2)</f>
        <v>0</v>
      </c>
      <c r="AB44" s="76">
        <f>SUMIFS(разходи!$L:$L,разходи!$E:$E,'ПП Декември'!$C$44,разходи!$M:$M,'ПП Декември'!AB2)</f>
        <v>0</v>
      </c>
      <c r="AC44" s="76">
        <f>SUMIFS(разходи!$L:$L,разходи!$E:$E,'ПП Декември'!$C$44,разходи!$M:$M,'ПП Декември'!AC2)</f>
        <v>0</v>
      </c>
      <c r="AD44" s="76">
        <f>SUMIFS(разходи!$L:$L,разходи!$E:$E,'ПП Декември'!$C$44,разходи!$M:$M,'ПП Декември'!AD2)</f>
        <v>0</v>
      </c>
      <c r="AE44" s="74">
        <f>SUMIFS(разходи!$L:$L,разходи!$E:$E,'ПП Декември'!$C$44,разходи!$M:$M,'ПП Декември'!AE2)</f>
        <v>0</v>
      </c>
      <c r="AF44" s="76">
        <f>SUMIFS(разходи!$L:$L,разходи!$E:$E,'ПП Декември'!$C$44,разходи!$M:$M,'ПП Декември'!AF2)</f>
        <v>0</v>
      </c>
      <c r="AG44" s="76">
        <f>SUMIFS(разходи!$L:$L,разходи!$E:$E,'ПП Декември'!$C$44,разходи!$M:$M,'ПП Декември'!AG2)</f>
        <v>0</v>
      </c>
      <c r="AH44" s="74">
        <f>SUMIFS(разходи!$L:$L,разходи!$E:$E,'ПП Декември'!$C$44,разходи!$M:$M,'ПП Декември'!AH2)</f>
        <v>0</v>
      </c>
      <c r="AI44" s="74">
        <f>SUMIFS(разходи!$L:$L,разходи!$E:$E,'ПП Декември'!$C$44,разходи!$M:$M,'ПП Декември'!AI2)</f>
        <v>0</v>
      </c>
      <c r="AJ44" s="61">
        <f t="shared" si="16"/>
        <v>0</v>
      </c>
      <c r="AK44" s="69">
        <f t="shared" si="3"/>
        <v>0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Декември'!$C$45,разходи!$M:$M,'ПП Декември'!E2)</f>
        <v>0</v>
      </c>
      <c r="F45" s="74">
        <f>SUMIFS(разходи!$L:$L,разходи!$E:$E,'ПП Декември'!$C$45,разходи!$M:$M,'ПП Декември'!F2)</f>
        <v>0</v>
      </c>
      <c r="G45" s="74">
        <f>SUMIFS(разходи!$L:$L,разходи!$E:$E,'ПП Декември'!$C$45,разходи!$M:$M,'ПП Декември'!G2)</f>
        <v>0</v>
      </c>
      <c r="H45" s="74">
        <f>SUMIFS(разходи!$L:$L,разходи!$E:$E,'ПП Декември'!$C$45,разходи!$M:$M,'ПП Декември'!H2)</f>
        <v>0</v>
      </c>
      <c r="I45" s="74">
        <f>SUMIFS(разходи!$L:$L,разходи!$E:$E,'ПП Декември'!$C$45,разходи!$M:$M,'ПП Декември'!I2)</f>
        <v>0</v>
      </c>
      <c r="J45" s="74">
        <f>SUMIFS(разходи!$L:$L,разходи!$E:$E,'ПП Декември'!$C$45,разходи!$M:$M,'ПП Декември'!J2)</f>
        <v>0</v>
      </c>
      <c r="K45" s="76">
        <f>SUMIFS(разходи!$L:$L,разходи!$E:$E,'ПП Декември'!$C$45,разходи!$M:$M,'ПП Декември'!K2)</f>
        <v>0</v>
      </c>
      <c r="L45" s="76">
        <f>SUMIFS(разходи!$L:$L,разходи!$E:$E,'ПП Декември'!$C$45,разходи!$M:$M,'ПП Декември'!L2)</f>
        <v>0</v>
      </c>
      <c r="M45" s="74">
        <f>SUMIFS(разходи!$L:$L,разходи!$E:$E,'ПП Декември'!$C$45,разходи!$M:$M,'ПП Декември'!M2)</f>
        <v>0</v>
      </c>
      <c r="N45" s="74">
        <f>SUMIFS(разходи!$L:$L,разходи!$E:$E,'ПП Декември'!$C$45,разходи!$M:$M,'ПП Декември'!N2)</f>
        <v>0</v>
      </c>
      <c r="O45" s="74">
        <f>SUMIFS(разходи!$L:$L,разходи!$E:$E,'ПП Декември'!$C$45,разходи!$M:$M,'ПП Декември'!O2)</f>
        <v>0</v>
      </c>
      <c r="P45" s="74">
        <f>SUMIFS(разходи!$L:$L,разходи!$E:$E,'ПП Декември'!$C$45,разходи!$M:$M,'ПП Декември'!P2)</f>
        <v>0</v>
      </c>
      <c r="Q45" s="74">
        <f>SUMIFS(разходи!$L:$L,разходи!$E:$E,'ПП Декември'!$C$45,разходи!$M:$M,'ПП Декември'!Q2)</f>
        <v>0</v>
      </c>
      <c r="R45" s="76">
        <f>SUMIFS(разходи!$L:$L,разходи!$E:$E,'ПП Декември'!$C$45,разходи!$M:$M,'ПП Декември'!R2)</f>
        <v>0</v>
      </c>
      <c r="S45" s="76">
        <f>SUMIFS(разходи!$L:$L,разходи!$E:$E,'ПП Декември'!$C$45,разходи!$M:$M,'ПП Декември'!S2)</f>
        <v>0</v>
      </c>
      <c r="T45" s="74">
        <f>SUMIFS(разходи!$L:$L,разходи!$E:$E,'ПП Декември'!$C$45,разходи!$M:$M,'ПП Декември'!T2)</f>
        <v>0</v>
      </c>
      <c r="U45" s="74">
        <f>SUMIFS(разходи!$L:$L,разходи!$E:$E,'ПП Декември'!$C$45,разходи!$M:$M,'ПП Декември'!U2)</f>
        <v>0</v>
      </c>
      <c r="V45" s="74">
        <f>SUMIFS(разходи!$L:$L,разходи!$E:$E,'ПП Декември'!$C$45,разходи!$M:$M,'ПП Декември'!V2)</f>
        <v>0</v>
      </c>
      <c r="W45" s="74">
        <f>SUMIFS(разходи!$L:$L,разходи!$E:$E,'ПП Декември'!$C$45,разходи!$M:$M,'ПП Декември'!W2)</f>
        <v>0</v>
      </c>
      <c r="X45" s="74">
        <f>SUMIFS(разходи!$L:$L,разходи!$E:$E,'ПП Декември'!$C$45,разходи!$M:$M,'ПП Декември'!X2)</f>
        <v>0</v>
      </c>
      <c r="Y45" s="76">
        <f>SUMIFS(разходи!$L:$L,разходи!$E:$E,'ПП Декември'!$C$45,разходи!$M:$M,'ПП Декември'!Y2)</f>
        <v>0</v>
      </c>
      <c r="Z45" s="76">
        <f>SUMIFS(разходи!$L:$L,разходи!$E:$E,'ПП Декември'!$C$45,разходи!$M:$M,'ПП Декември'!Z2)</f>
        <v>0</v>
      </c>
      <c r="AA45" s="74">
        <f>SUMIFS(разходи!$L:$L,разходи!$E:$E,'ПП Декември'!$C$45,разходи!$M:$M,'ПП Декември'!AA2)</f>
        <v>0</v>
      </c>
      <c r="AB45" s="76">
        <f>SUMIFS(разходи!$L:$L,разходи!$E:$E,'ПП Декември'!$C$45,разходи!$M:$M,'ПП Декември'!AB2)</f>
        <v>0</v>
      </c>
      <c r="AC45" s="76">
        <f>SUMIFS(разходи!$L:$L,разходи!$E:$E,'ПП Декември'!$C$45,разходи!$M:$M,'ПП Декември'!AC2)</f>
        <v>0</v>
      </c>
      <c r="AD45" s="76">
        <f>SUMIFS(разходи!$L:$L,разходи!$E:$E,'ПП Декември'!$C$45,разходи!$M:$M,'ПП Декември'!AD2)</f>
        <v>0</v>
      </c>
      <c r="AE45" s="74">
        <f>SUMIFS(разходи!$L:$L,разходи!$E:$E,'ПП Декември'!$C$45,разходи!$M:$M,'ПП Декември'!AE2)</f>
        <v>0</v>
      </c>
      <c r="AF45" s="76">
        <f>SUMIFS(разходи!$L:$L,разходи!$E:$E,'ПП Декември'!$C$45,разходи!$M:$M,'ПП Декември'!AF2)</f>
        <v>0</v>
      </c>
      <c r="AG45" s="76">
        <f>SUMIFS(разходи!$L:$L,разходи!$E:$E,'ПП Декември'!$C$45,разходи!$M:$M,'ПП Декември'!AG2)</f>
        <v>0</v>
      </c>
      <c r="AH45" s="74">
        <f>SUMIFS(разходи!$L:$L,разходи!$E:$E,'ПП Декември'!$C$45,разходи!$M:$M,'ПП Декември'!AH2)</f>
        <v>0</v>
      </c>
      <c r="AI45" s="74">
        <f>SUMIFS(разходи!$L:$L,разходи!$E:$E,'ПП Декември'!$C$45,разходи!$M:$M,'ПП Декември'!AI2)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Декември'!$C$46,разходи!$M:$M,'ПП Декември'!E2)</f>
        <v>0</v>
      </c>
      <c r="F46" s="74">
        <f>SUMIFS(разходи!$L:$L,разходи!$E:$E,'ПП Декември'!$C$46,разходи!$M:$M,'ПП Декември'!F2)</f>
        <v>0</v>
      </c>
      <c r="G46" s="74">
        <f>SUMIFS(разходи!$L:$L,разходи!$E:$E,'ПП Декември'!$C$46,разходи!$M:$M,'ПП Декември'!G2)</f>
        <v>0</v>
      </c>
      <c r="H46" s="74">
        <f>SUMIFS(разходи!$L:$L,разходи!$E:$E,'ПП Декември'!$C$46,разходи!$M:$M,'ПП Декември'!H2)</f>
        <v>0</v>
      </c>
      <c r="I46" s="74">
        <f>SUMIFS(разходи!$L:$L,разходи!$E:$E,'ПП Декември'!$C$46,разходи!$M:$M,'ПП Декември'!I2)</f>
        <v>0</v>
      </c>
      <c r="J46" s="74">
        <f>SUMIFS(разходи!$L:$L,разходи!$E:$E,'ПП Декември'!$C$46,разходи!$M:$M,'ПП Декември'!J2)</f>
        <v>0</v>
      </c>
      <c r="K46" s="76">
        <f>SUMIFS(разходи!$L:$L,разходи!$E:$E,'ПП Декември'!$C$46,разходи!$M:$M,'ПП Декември'!K2)</f>
        <v>0</v>
      </c>
      <c r="L46" s="76">
        <f>SUMIFS(разходи!$L:$L,разходи!$E:$E,'ПП Декември'!$C$46,разходи!$M:$M,'ПП Декември'!L2)</f>
        <v>0</v>
      </c>
      <c r="M46" s="74">
        <f>SUMIFS(разходи!$L:$L,разходи!$E:$E,'ПП Декември'!$C$46,разходи!$M:$M,'ПП Декември'!M2)</f>
        <v>0</v>
      </c>
      <c r="N46" s="74">
        <f>SUMIFS(разходи!$L:$L,разходи!$E:$E,'ПП Декември'!$C$46,разходи!$M:$M,'ПП Декември'!N2)</f>
        <v>0</v>
      </c>
      <c r="O46" s="74">
        <f>SUMIFS(разходи!$L:$L,разходи!$E:$E,'ПП Декември'!$C$46,разходи!$M:$M,'ПП Декември'!O2)</f>
        <v>0</v>
      </c>
      <c r="P46" s="74">
        <f>SUMIFS(разходи!$L:$L,разходи!$E:$E,'ПП Декември'!$C$46,разходи!$M:$M,'ПП Декември'!P2)</f>
        <v>0</v>
      </c>
      <c r="Q46" s="74">
        <f>SUMIFS(разходи!$L:$L,разходи!$E:$E,'ПП Декември'!$C$46,разходи!$M:$M,'ПП Декември'!Q2)</f>
        <v>0</v>
      </c>
      <c r="R46" s="76">
        <f>SUMIFS(разходи!$L:$L,разходи!$E:$E,'ПП Декември'!$C$46,разходи!$M:$M,'ПП Декември'!R2)</f>
        <v>0</v>
      </c>
      <c r="S46" s="76">
        <f>SUMIFS(разходи!$L:$L,разходи!$E:$E,'ПП Декември'!$C$46,разходи!$M:$M,'ПП Декември'!S2)</f>
        <v>0</v>
      </c>
      <c r="T46" s="74">
        <f>SUMIFS(разходи!$L:$L,разходи!$E:$E,'ПП Декември'!$C$46,разходи!$M:$M,'ПП Декември'!T2)</f>
        <v>0</v>
      </c>
      <c r="U46" s="74">
        <f>SUMIFS(разходи!$L:$L,разходи!$E:$E,'ПП Декември'!$C$46,разходи!$M:$M,'ПП Декември'!U2)</f>
        <v>0</v>
      </c>
      <c r="V46" s="74">
        <f>SUMIFS(разходи!$L:$L,разходи!$E:$E,'ПП Декември'!$C$46,разходи!$M:$M,'ПП Декември'!V2)</f>
        <v>0</v>
      </c>
      <c r="W46" s="74">
        <f>SUMIFS(разходи!$L:$L,разходи!$E:$E,'ПП Декември'!$C$46,разходи!$M:$M,'ПП Декември'!W2)</f>
        <v>0</v>
      </c>
      <c r="X46" s="74">
        <f>SUMIFS(разходи!$L:$L,разходи!$E:$E,'ПП Декември'!$C$46,разходи!$M:$M,'ПП Декември'!X2)</f>
        <v>0</v>
      </c>
      <c r="Y46" s="76">
        <f>SUMIFS(разходи!$L:$L,разходи!$E:$E,'ПП Декември'!$C$46,разходи!$M:$M,'ПП Декември'!Y2)</f>
        <v>0</v>
      </c>
      <c r="Z46" s="76">
        <f>SUMIFS(разходи!$L:$L,разходи!$E:$E,'ПП Декември'!$C$46,разходи!$M:$M,'ПП Декември'!Z2)</f>
        <v>0</v>
      </c>
      <c r="AA46" s="74">
        <f>SUMIFS(разходи!$L:$L,разходи!$E:$E,'ПП Декември'!$C$46,разходи!$M:$M,'ПП Декември'!AA2)</f>
        <v>0</v>
      </c>
      <c r="AB46" s="76">
        <f>SUMIFS(разходи!$L:$L,разходи!$E:$E,'ПП Декември'!$C$46,разходи!$M:$M,'ПП Декември'!AB2)</f>
        <v>0</v>
      </c>
      <c r="AC46" s="76">
        <f>SUMIFS(разходи!$L:$L,разходи!$E:$E,'ПП Декември'!$C$46,разходи!$M:$M,'ПП Декември'!AC2)</f>
        <v>0</v>
      </c>
      <c r="AD46" s="76">
        <f>SUMIFS(разходи!$L:$L,разходи!$E:$E,'ПП Декември'!$C$46,разходи!$M:$M,'ПП Декември'!AD2)</f>
        <v>0</v>
      </c>
      <c r="AE46" s="74">
        <f>SUMIFS(разходи!$L:$L,разходи!$E:$E,'ПП Декември'!$C$46,разходи!$M:$M,'ПП Декември'!AE2)</f>
        <v>0</v>
      </c>
      <c r="AF46" s="76">
        <f>SUMIFS(разходи!$L:$L,разходи!$E:$E,'ПП Декември'!$C$46,разходи!$M:$M,'ПП Декември'!AF2)</f>
        <v>0</v>
      </c>
      <c r="AG46" s="76">
        <f>SUMIFS(разходи!$L:$L,разходи!$E:$E,'ПП Декември'!$C$46,разходи!$M:$M,'ПП Декември'!AG2)</f>
        <v>0</v>
      </c>
      <c r="AH46" s="74">
        <f>SUMIFS(разходи!$L:$L,разходи!$E:$E,'ПП Декември'!$C$46,разходи!$M:$M,'ПП Декември'!AH2)</f>
        <v>0</v>
      </c>
      <c r="AI46" s="74">
        <f>SUMIFS(разходи!$L:$L,разходи!$E:$E,'ПП Декември'!$C$46,разходи!$M:$M,'ПП Декември'!AI2)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Декември'!$C$47,разходи!$M:$M,'ПП Декември'!E2)</f>
        <v>0</v>
      </c>
      <c r="F47" s="74">
        <f>SUMIFS(разходи!$L:$L,разходи!$E:$E,'ПП Декември'!$C$47,разходи!$M:$M,'ПП Декември'!F2)</f>
        <v>0</v>
      </c>
      <c r="G47" s="74">
        <f>SUMIFS(разходи!$L:$L,разходи!$E:$E,'ПП Декември'!$C$47,разходи!$M:$M,'ПП Декември'!G2)</f>
        <v>0</v>
      </c>
      <c r="H47" s="74">
        <f>SUMIFS(разходи!$L:$L,разходи!$E:$E,'ПП Декември'!$C$47,разходи!$M:$M,'ПП Декември'!H2)</f>
        <v>0</v>
      </c>
      <c r="I47" s="74">
        <f>SUMIFS(разходи!$L:$L,разходи!$E:$E,'ПП Декември'!$C$47,разходи!$M:$M,'ПП Декември'!I2)</f>
        <v>0</v>
      </c>
      <c r="J47" s="74">
        <f>SUMIFS(разходи!$L:$L,разходи!$E:$E,'ПП Декември'!$C$47,разходи!$M:$M,'ПП Декември'!J2)</f>
        <v>0</v>
      </c>
      <c r="K47" s="76">
        <f>SUMIFS(разходи!$L:$L,разходи!$E:$E,'ПП Декември'!$C$47,разходи!$M:$M,'ПП Декември'!K2)</f>
        <v>0</v>
      </c>
      <c r="L47" s="76">
        <f>SUMIFS(разходи!$L:$L,разходи!$E:$E,'ПП Декември'!$C$47,разходи!$M:$M,'ПП Декември'!L2)</f>
        <v>0</v>
      </c>
      <c r="M47" s="74">
        <f>SUMIFS(разходи!$L:$L,разходи!$E:$E,'ПП Декември'!$C$47,разходи!$M:$M,'ПП Декември'!M2)</f>
        <v>0</v>
      </c>
      <c r="N47" s="74">
        <f>SUMIFS(разходи!$L:$L,разходи!$E:$E,'ПП Декември'!$C$47,разходи!$M:$M,'ПП Декември'!N2)</f>
        <v>0</v>
      </c>
      <c r="O47" s="74">
        <f>SUMIFS(разходи!$L:$L,разходи!$E:$E,'ПП Декември'!$C$47,разходи!$M:$M,'ПП Декември'!O2)</f>
        <v>0</v>
      </c>
      <c r="P47" s="74">
        <f>SUMIFS(разходи!$L:$L,разходи!$E:$E,'ПП Декември'!$C$47,разходи!$M:$M,'ПП Декември'!P2)</f>
        <v>0</v>
      </c>
      <c r="Q47" s="74">
        <f>SUMIFS(разходи!$L:$L,разходи!$E:$E,'ПП Декември'!$C$47,разходи!$M:$M,'ПП Декември'!Q2)</f>
        <v>0</v>
      </c>
      <c r="R47" s="76">
        <f>SUMIFS(разходи!$L:$L,разходи!$E:$E,'ПП Декември'!$C$47,разходи!$M:$M,'ПП Декември'!R2)</f>
        <v>0</v>
      </c>
      <c r="S47" s="76">
        <f>SUMIFS(разходи!$L:$L,разходи!$E:$E,'ПП Декември'!$C$47,разходи!$M:$M,'ПП Декември'!S2)</f>
        <v>0</v>
      </c>
      <c r="T47" s="74">
        <f>SUMIFS(разходи!$L:$L,разходи!$E:$E,'ПП Декември'!$C$47,разходи!$M:$M,'ПП Декември'!T2)</f>
        <v>0</v>
      </c>
      <c r="U47" s="74">
        <f>SUMIFS(разходи!$L:$L,разходи!$E:$E,'ПП Декември'!$C$47,разходи!$M:$M,'ПП Декември'!U2)</f>
        <v>0</v>
      </c>
      <c r="V47" s="74">
        <f>SUMIFS(разходи!$L:$L,разходи!$E:$E,'ПП Декември'!$C$47,разходи!$M:$M,'ПП Декември'!V2)</f>
        <v>0</v>
      </c>
      <c r="W47" s="74">
        <f>SUMIFS(разходи!$L:$L,разходи!$E:$E,'ПП Декември'!$C$47,разходи!$M:$M,'ПП Декември'!W2)</f>
        <v>0</v>
      </c>
      <c r="X47" s="74">
        <f>SUMIFS(разходи!$L:$L,разходи!$E:$E,'ПП Декември'!$C$47,разходи!$M:$M,'ПП Декември'!X2)</f>
        <v>0</v>
      </c>
      <c r="Y47" s="76">
        <f>SUMIFS(разходи!$L:$L,разходи!$E:$E,'ПП Декември'!$C$47,разходи!$M:$M,'ПП Декември'!Y2)</f>
        <v>0</v>
      </c>
      <c r="Z47" s="76">
        <f>SUMIFS(разходи!$L:$L,разходи!$E:$E,'ПП Декември'!$C$47,разходи!$M:$M,'ПП Декември'!Z2)</f>
        <v>0</v>
      </c>
      <c r="AA47" s="74">
        <f>SUMIFS(разходи!$L:$L,разходи!$E:$E,'ПП Декември'!$C$47,разходи!$M:$M,'ПП Декември'!AA2)</f>
        <v>0</v>
      </c>
      <c r="AB47" s="76">
        <f>SUMIFS(разходи!$L:$L,разходи!$E:$E,'ПП Декември'!$C$47,разходи!$M:$M,'ПП Декември'!AB2)</f>
        <v>0</v>
      </c>
      <c r="AC47" s="76">
        <f>SUMIFS(разходи!$L:$L,разходи!$E:$E,'ПП Декември'!$C$47,разходи!$M:$M,'ПП Декември'!AC2)</f>
        <v>0</v>
      </c>
      <c r="AD47" s="76">
        <f>SUMIFS(разходи!$L:$L,разходи!$E:$E,'ПП Декември'!$C$47,разходи!$M:$M,'ПП Декември'!AD2)</f>
        <v>0</v>
      </c>
      <c r="AE47" s="74">
        <f>SUMIFS(разходи!$L:$L,разходи!$E:$E,'ПП Декември'!$C$47,разходи!$M:$M,'ПП Декември'!AE2)</f>
        <v>0</v>
      </c>
      <c r="AF47" s="76">
        <f>SUMIFS(разходи!$L:$L,разходи!$E:$E,'ПП Декември'!$C$47,разходи!$M:$M,'ПП Декември'!AF2)</f>
        <v>0</v>
      </c>
      <c r="AG47" s="76">
        <f>SUMIFS(разходи!$L:$L,разходи!$E:$E,'ПП Декември'!$C$47,разходи!$M:$M,'ПП Декември'!AG2)</f>
        <v>0</v>
      </c>
      <c r="AH47" s="74">
        <f>SUMIFS(разходи!$L:$L,разходи!$E:$E,'ПП Декември'!$C$47,разходи!$M:$M,'ПП Декември'!AH2)</f>
        <v>0</v>
      </c>
      <c r="AI47" s="74">
        <f>SUMIFS(разходи!$L:$L,разходи!$E:$E,'ПП Декември'!$C$47,разходи!$M:$M,'ПП Декември'!AI2)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6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0</v>
      </c>
      <c r="J48" s="74">
        <f t="shared" si="20"/>
        <v>0</v>
      </c>
      <c r="K48" s="76">
        <f t="shared" si="20"/>
        <v>0</v>
      </c>
      <c r="L48" s="76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4">
        <f t="shared" si="20"/>
        <v>0</v>
      </c>
      <c r="R48" s="76">
        <f t="shared" si="20"/>
        <v>0</v>
      </c>
      <c r="S48" s="76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4">
        <f t="shared" si="20"/>
        <v>0</v>
      </c>
      <c r="Y48" s="76">
        <f t="shared" si="20"/>
        <v>0</v>
      </c>
      <c r="Z48" s="76">
        <f t="shared" si="20"/>
        <v>0</v>
      </c>
      <c r="AA48" s="74">
        <f t="shared" si="20"/>
        <v>0</v>
      </c>
      <c r="AB48" s="76">
        <f t="shared" si="20"/>
        <v>0</v>
      </c>
      <c r="AC48" s="76">
        <f t="shared" si="20"/>
        <v>0</v>
      </c>
      <c r="AD48" s="76">
        <f t="shared" si="20"/>
        <v>0</v>
      </c>
      <c r="AE48" s="74">
        <f t="shared" si="20"/>
        <v>0</v>
      </c>
      <c r="AF48" s="76">
        <f t="shared" si="20"/>
        <v>0</v>
      </c>
      <c r="AG48" s="76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0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/>
      <c r="E49" s="76">
        <f>SUMIFS(разходи!$L:$L,разходи!$E:$E,'ПП Декември'!$C$49,разходи!$M:$M,'ПП Декември'!E2)</f>
        <v>0</v>
      </c>
      <c r="F49" s="74">
        <f>SUMIFS(разходи!$L:$L,разходи!$E:$E,'ПП Декември'!$C$49,разходи!$M:$M,'ПП Декември'!F2)</f>
        <v>0</v>
      </c>
      <c r="G49" s="74">
        <f>SUMIFS(разходи!$L:$L,разходи!$E:$E,'ПП Декември'!$C$49,разходи!$M:$M,'ПП Декември'!G2)</f>
        <v>0</v>
      </c>
      <c r="H49" s="74">
        <f>SUMIFS(разходи!$L:$L,разходи!$E:$E,'ПП Декември'!$C$49,разходи!$M:$M,'ПП Декември'!H2)</f>
        <v>0</v>
      </c>
      <c r="I49" s="74">
        <f>SUMIFS(разходи!$L:$L,разходи!$E:$E,'ПП Декември'!$C$49,разходи!$M:$M,'ПП Декември'!I2)</f>
        <v>0</v>
      </c>
      <c r="J49" s="74">
        <f>SUMIFS(разходи!$L:$L,разходи!$E:$E,'ПП Декември'!$C$49,разходи!$M:$M,'ПП Декември'!J2)</f>
        <v>0</v>
      </c>
      <c r="K49" s="76">
        <f>SUMIFS(разходи!$L:$L,разходи!$E:$E,'ПП Декември'!$C$49,разходи!$M:$M,'ПП Декември'!K2)</f>
        <v>0</v>
      </c>
      <c r="L49" s="76">
        <f>SUMIFS(разходи!$L:$L,разходи!$E:$E,'ПП Декември'!$C$49,разходи!$M:$M,'ПП Декември'!L2)</f>
        <v>0</v>
      </c>
      <c r="M49" s="74">
        <f>SUMIFS(разходи!$L:$L,разходи!$E:$E,'ПП Декември'!$C$49,разходи!$M:$M,'ПП Декември'!M2)</f>
        <v>0</v>
      </c>
      <c r="N49" s="74">
        <f>SUMIFS(разходи!$L:$L,разходи!$E:$E,'ПП Декември'!$C$49,разходи!$M:$M,'ПП Декември'!N2)</f>
        <v>0</v>
      </c>
      <c r="O49" s="74">
        <f>SUMIFS(разходи!$L:$L,разходи!$E:$E,'ПП Декември'!$C$49,разходи!$M:$M,'ПП Декември'!O2)</f>
        <v>0</v>
      </c>
      <c r="P49" s="74">
        <f>SUMIFS(разходи!$L:$L,разходи!$E:$E,'ПП Декември'!$C$49,разходи!$M:$M,'ПП Декември'!P2)</f>
        <v>0</v>
      </c>
      <c r="Q49" s="74">
        <f>SUMIFS(разходи!$L:$L,разходи!$E:$E,'ПП Декември'!$C$49,разходи!$M:$M,'ПП Декември'!Q2)</f>
        <v>0</v>
      </c>
      <c r="R49" s="76">
        <f>SUMIFS(разходи!$L:$L,разходи!$E:$E,'ПП Декември'!$C$49,разходи!$M:$M,'ПП Декември'!R2)</f>
        <v>0</v>
      </c>
      <c r="S49" s="76">
        <f>SUMIFS(разходи!$L:$L,разходи!$E:$E,'ПП Декември'!$C$49,разходи!$M:$M,'ПП Декември'!S2)</f>
        <v>0</v>
      </c>
      <c r="T49" s="74">
        <f>SUMIFS(разходи!$L:$L,разходи!$E:$E,'ПП Декември'!$C$49,разходи!$M:$M,'ПП Декември'!T2)</f>
        <v>0</v>
      </c>
      <c r="U49" s="74">
        <f>SUMIFS(разходи!$L:$L,разходи!$E:$E,'ПП Декември'!$C$49,разходи!$M:$M,'ПП Декември'!U2)</f>
        <v>0</v>
      </c>
      <c r="V49" s="74">
        <f>SUMIFS(разходи!$L:$L,разходи!$E:$E,'ПП Декември'!$C$49,разходи!$M:$M,'ПП Декември'!V2)</f>
        <v>0</v>
      </c>
      <c r="W49" s="74">
        <f>SUMIFS(разходи!$L:$L,разходи!$E:$E,'ПП Декември'!$C$49,разходи!$M:$M,'ПП Декември'!W2)</f>
        <v>0</v>
      </c>
      <c r="X49" s="74">
        <f>SUMIFS(разходи!$L:$L,разходи!$E:$E,'ПП Декември'!$C$49,разходи!$M:$M,'ПП Декември'!X2)</f>
        <v>0</v>
      </c>
      <c r="Y49" s="76">
        <f>SUMIFS(разходи!$L:$L,разходи!$E:$E,'ПП Декември'!$C$49,разходи!$M:$M,'ПП Декември'!Y2)</f>
        <v>0</v>
      </c>
      <c r="Z49" s="76">
        <f>SUMIFS(разходи!$L:$L,разходи!$E:$E,'ПП Декември'!$C$49,разходи!$M:$M,'ПП Декември'!Z2)</f>
        <v>0</v>
      </c>
      <c r="AA49" s="74">
        <f>SUMIFS(разходи!$L:$L,разходи!$E:$E,'ПП Декември'!$C$49,разходи!$M:$M,'ПП Декември'!AA2)</f>
        <v>0</v>
      </c>
      <c r="AB49" s="76">
        <f>SUMIFS(разходи!$L:$L,разходи!$E:$E,'ПП Декември'!$C$49,разходи!$M:$M,'ПП Декември'!AB2)</f>
        <v>0</v>
      </c>
      <c r="AC49" s="76">
        <f>SUMIFS(разходи!$L:$L,разходи!$E:$E,'ПП Декември'!$C$49,разходи!$M:$M,'ПП Декември'!AC2)</f>
        <v>0</v>
      </c>
      <c r="AD49" s="76">
        <f>SUMIFS(разходи!$L:$L,разходи!$E:$E,'ПП Декември'!$C$49,разходи!$M:$M,'ПП Декември'!AD2)</f>
        <v>0</v>
      </c>
      <c r="AE49" s="74">
        <f>SUMIFS(разходи!$L:$L,разходи!$E:$E,'ПП Декември'!$C$49,разходи!$M:$M,'ПП Декември'!AE2)</f>
        <v>0</v>
      </c>
      <c r="AF49" s="76">
        <f>SUMIFS(разходи!$L:$L,разходи!$E:$E,'ПП Декември'!$C$49,разходи!$M:$M,'ПП Декември'!AF2)</f>
        <v>0</v>
      </c>
      <c r="AG49" s="76">
        <f>SUMIFS(разходи!$L:$L,разходи!$E:$E,'ПП Декември'!$C$49,разходи!$M:$M,'ПП Декември'!AG2)</f>
        <v>0</v>
      </c>
      <c r="AH49" s="74">
        <f>SUMIFS(разходи!$L:$L,разходи!$E:$E,'ПП Декември'!$C$49,разходи!$M:$M,'ПП Декември'!AH2)</f>
        <v>0</v>
      </c>
      <c r="AI49" s="74">
        <f>SUMIFS(разходи!$L:$L,разходи!$E:$E,'ПП Декември'!$C$49,разходи!$M:$M,'ПП Декември'!AI2)</f>
        <v>0</v>
      </c>
      <c r="AJ49" s="61">
        <f t="shared" si="16"/>
        <v>0</v>
      </c>
      <c r="AK49" s="69">
        <f t="shared" si="3"/>
        <v>0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Декември'!$C$50,разходи!$M:$M,'ПП Декември'!E2)</f>
        <v>0</v>
      </c>
      <c r="F50" s="74">
        <f>SUMIFS(разходи!$L:$L,разходи!$E:$E,'ПП Декември'!$C$50,разходи!$M:$M,'ПП Декември'!F2)</f>
        <v>0</v>
      </c>
      <c r="G50" s="74">
        <f>SUMIFS(разходи!$L:$L,разходи!$E:$E,'ПП Декември'!$C$50,разходи!$M:$M,'ПП Декември'!G2)</f>
        <v>0</v>
      </c>
      <c r="H50" s="74">
        <f>SUMIFS(разходи!$L:$L,разходи!$E:$E,'ПП Декември'!$C$50,разходи!$M:$M,'ПП Декември'!H2)</f>
        <v>0</v>
      </c>
      <c r="I50" s="74">
        <f>SUMIFS(разходи!$L:$L,разходи!$E:$E,'ПП Декември'!$C$50,разходи!$M:$M,'ПП Декември'!I2)</f>
        <v>0</v>
      </c>
      <c r="J50" s="74">
        <f>SUMIFS(разходи!$L:$L,разходи!$E:$E,'ПП Декември'!$C$50,разходи!$M:$M,'ПП Декември'!J2)</f>
        <v>0</v>
      </c>
      <c r="K50" s="76">
        <f>SUMIFS(разходи!$L:$L,разходи!$E:$E,'ПП Декември'!$C$50,разходи!$M:$M,'ПП Декември'!K2)</f>
        <v>0</v>
      </c>
      <c r="L50" s="76">
        <f>SUMIFS(разходи!$L:$L,разходи!$E:$E,'ПП Декември'!$C$50,разходи!$M:$M,'ПП Декември'!L2)</f>
        <v>0</v>
      </c>
      <c r="M50" s="74">
        <f>SUMIFS(разходи!$L:$L,разходи!$E:$E,'ПП Декември'!$C$50,разходи!$M:$M,'ПП Декември'!M2)</f>
        <v>0</v>
      </c>
      <c r="N50" s="74">
        <f>SUMIFS(разходи!$L:$L,разходи!$E:$E,'ПП Декември'!$C$50,разходи!$M:$M,'ПП Декември'!N2)</f>
        <v>0</v>
      </c>
      <c r="O50" s="74">
        <f>SUMIFS(разходи!$L:$L,разходи!$E:$E,'ПП Декември'!$C$50,разходи!$M:$M,'ПП Декември'!O2)</f>
        <v>0</v>
      </c>
      <c r="P50" s="74">
        <f>SUMIFS(разходи!$L:$L,разходи!$E:$E,'ПП Декември'!$C$50,разходи!$M:$M,'ПП Декември'!P2)</f>
        <v>0</v>
      </c>
      <c r="Q50" s="74">
        <f>SUMIFS(разходи!$L:$L,разходи!$E:$E,'ПП Декември'!$C$50,разходи!$M:$M,'ПП Декември'!Q2)</f>
        <v>0</v>
      </c>
      <c r="R50" s="76">
        <f>SUMIFS(разходи!$L:$L,разходи!$E:$E,'ПП Декември'!$C$50,разходи!$M:$M,'ПП Декември'!R2)</f>
        <v>0</v>
      </c>
      <c r="S50" s="76">
        <f>SUMIFS(разходи!$L:$L,разходи!$E:$E,'ПП Декември'!$C$50,разходи!$M:$M,'ПП Декември'!S2)</f>
        <v>0</v>
      </c>
      <c r="T50" s="74">
        <f>SUMIFS(разходи!$L:$L,разходи!$E:$E,'ПП Декември'!$C$50,разходи!$M:$M,'ПП Декември'!T2)</f>
        <v>0</v>
      </c>
      <c r="U50" s="74">
        <f>SUMIFS(разходи!$L:$L,разходи!$E:$E,'ПП Декември'!$C$50,разходи!$M:$M,'ПП Декември'!U2)</f>
        <v>0</v>
      </c>
      <c r="V50" s="74">
        <f>SUMIFS(разходи!$L:$L,разходи!$E:$E,'ПП Декември'!$C$50,разходи!$M:$M,'ПП Декември'!V2)</f>
        <v>0</v>
      </c>
      <c r="W50" s="74">
        <f>SUMIFS(разходи!$L:$L,разходи!$E:$E,'ПП Декември'!$C$50,разходи!$M:$M,'ПП Декември'!W2)</f>
        <v>0</v>
      </c>
      <c r="X50" s="74">
        <f>SUMIFS(разходи!$L:$L,разходи!$E:$E,'ПП Декември'!$C$50,разходи!$M:$M,'ПП Декември'!X2)</f>
        <v>0</v>
      </c>
      <c r="Y50" s="76">
        <f>SUMIFS(разходи!$L:$L,разходи!$E:$E,'ПП Декември'!$C$50,разходи!$M:$M,'ПП Декември'!Y2)</f>
        <v>0</v>
      </c>
      <c r="Z50" s="76">
        <f>SUMIFS(разходи!$L:$L,разходи!$E:$E,'ПП Декември'!$C$50,разходи!$M:$M,'ПП Декември'!Z2)</f>
        <v>0</v>
      </c>
      <c r="AA50" s="74">
        <f>SUMIFS(разходи!$L:$L,разходи!$E:$E,'ПП Декември'!$C$50,разходи!$M:$M,'ПП Декември'!AA2)</f>
        <v>0</v>
      </c>
      <c r="AB50" s="76">
        <f>SUMIFS(разходи!$L:$L,разходи!$E:$E,'ПП Декември'!$C$50,разходи!$M:$M,'ПП Декември'!AB2)</f>
        <v>0</v>
      </c>
      <c r="AC50" s="76">
        <f>SUMIFS(разходи!$L:$L,разходи!$E:$E,'ПП Декември'!$C$50,разходи!$M:$M,'ПП Декември'!AC2)</f>
        <v>0</v>
      </c>
      <c r="AD50" s="76">
        <f>SUMIFS(разходи!$L:$L,разходи!$E:$E,'ПП Декември'!$C$50,разходи!$M:$M,'ПП Декември'!AD2)</f>
        <v>0</v>
      </c>
      <c r="AE50" s="74">
        <f>SUMIFS(разходи!$L:$L,разходи!$E:$E,'ПП Декември'!$C$50,разходи!$M:$M,'ПП Декември'!AE2)</f>
        <v>0</v>
      </c>
      <c r="AF50" s="76">
        <f>SUMIFS(разходи!$L:$L,разходи!$E:$E,'ПП Декември'!$C$50,разходи!$M:$M,'ПП Декември'!AF2)</f>
        <v>0</v>
      </c>
      <c r="AG50" s="76">
        <f>SUMIFS(разходи!$L:$L,разходи!$E:$E,'ПП Декември'!$C$50,разходи!$M:$M,'ПП Декември'!AG2)</f>
        <v>0</v>
      </c>
      <c r="AH50" s="74">
        <f>SUMIFS(разходи!$L:$L,разходи!$E:$E,'ПП Декември'!$C$50,разходи!$M:$M,'ПП Декември'!AH2)</f>
        <v>0</v>
      </c>
      <c r="AI50" s="74">
        <f>SUMIFS(разходи!$L:$L,разходи!$E:$E,'ПП Декември'!$C$50,разходи!$M:$M,'ПП Декември'!AI2)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Декември'!$C$51,разходи!$M:$M,'ПП Декември'!E2)</f>
        <v>0</v>
      </c>
      <c r="F51" s="74">
        <f>SUMIFS(разходи!$L:$L,разходи!$E:$E,'ПП Декември'!$C$51,разходи!$M:$M,'ПП Декември'!F2)</f>
        <v>0</v>
      </c>
      <c r="G51" s="74">
        <f>SUMIFS(разходи!$L:$L,разходи!$E:$E,'ПП Декември'!$C$51,разходи!$M:$M,'ПП Декември'!G2)</f>
        <v>0</v>
      </c>
      <c r="H51" s="74">
        <f>SUMIFS(разходи!$L:$L,разходи!$E:$E,'ПП Декември'!$C$51,разходи!$M:$M,'ПП Декември'!H2)</f>
        <v>0</v>
      </c>
      <c r="I51" s="74">
        <f>SUMIFS(разходи!$L:$L,разходи!$E:$E,'ПП Декември'!$C$51,разходи!$M:$M,'ПП Декември'!I2)</f>
        <v>0</v>
      </c>
      <c r="J51" s="74">
        <f>SUMIFS(разходи!$L:$L,разходи!$E:$E,'ПП Декември'!$C$51,разходи!$M:$M,'ПП Декември'!J2)</f>
        <v>0</v>
      </c>
      <c r="K51" s="76">
        <f>SUMIFS(разходи!$L:$L,разходи!$E:$E,'ПП Декември'!$C$51,разходи!$M:$M,'ПП Декември'!K2)</f>
        <v>0</v>
      </c>
      <c r="L51" s="76">
        <f>SUMIFS(разходи!$L:$L,разходи!$E:$E,'ПП Декември'!$C$51,разходи!$M:$M,'ПП Декември'!L2)</f>
        <v>0</v>
      </c>
      <c r="M51" s="74">
        <f>SUMIFS(разходи!$L:$L,разходи!$E:$E,'ПП Декември'!$C$51,разходи!$M:$M,'ПП Декември'!M2)</f>
        <v>0</v>
      </c>
      <c r="N51" s="74">
        <f>SUMIFS(разходи!$L:$L,разходи!$E:$E,'ПП Декември'!$C$51,разходи!$M:$M,'ПП Декември'!N2)</f>
        <v>0</v>
      </c>
      <c r="O51" s="74">
        <f>SUMIFS(разходи!$L:$L,разходи!$E:$E,'ПП Декември'!$C$51,разходи!$M:$M,'ПП Декември'!O2)</f>
        <v>0</v>
      </c>
      <c r="P51" s="74">
        <f>SUMIFS(разходи!$L:$L,разходи!$E:$E,'ПП Декември'!$C$51,разходи!$M:$M,'ПП Декември'!P2)</f>
        <v>0</v>
      </c>
      <c r="Q51" s="74">
        <f>SUMIFS(разходи!$L:$L,разходи!$E:$E,'ПП Декември'!$C$51,разходи!$M:$M,'ПП Декември'!Q2)</f>
        <v>0</v>
      </c>
      <c r="R51" s="76">
        <f>SUMIFS(разходи!$L:$L,разходи!$E:$E,'ПП Декември'!$C$51,разходи!$M:$M,'ПП Декември'!R2)</f>
        <v>0</v>
      </c>
      <c r="S51" s="76">
        <f>SUMIFS(разходи!$L:$L,разходи!$E:$E,'ПП Декември'!$C$51,разходи!$M:$M,'ПП Декември'!S2)</f>
        <v>0</v>
      </c>
      <c r="T51" s="74">
        <f>SUMIFS(разходи!$L:$L,разходи!$E:$E,'ПП Декември'!$C$51,разходи!$M:$M,'ПП Декември'!T2)</f>
        <v>0</v>
      </c>
      <c r="U51" s="74">
        <f>SUMIFS(разходи!$L:$L,разходи!$E:$E,'ПП Декември'!$C$51,разходи!$M:$M,'ПП Декември'!U2)</f>
        <v>0</v>
      </c>
      <c r="V51" s="74">
        <f>SUMIFS(разходи!$L:$L,разходи!$E:$E,'ПП Декември'!$C$51,разходи!$M:$M,'ПП Декември'!V2)</f>
        <v>0</v>
      </c>
      <c r="W51" s="74">
        <f>SUMIFS(разходи!$L:$L,разходи!$E:$E,'ПП Декември'!$C$51,разходи!$M:$M,'ПП Декември'!W2)</f>
        <v>0</v>
      </c>
      <c r="X51" s="74">
        <f>SUMIFS(разходи!$L:$L,разходи!$E:$E,'ПП Декември'!$C$51,разходи!$M:$M,'ПП Декември'!X2)</f>
        <v>0</v>
      </c>
      <c r="Y51" s="76">
        <f>SUMIFS(разходи!$L:$L,разходи!$E:$E,'ПП Декември'!$C$51,разходи!$M:$M,'ПП Декември'!Y2)</f>
        <v>0</v>
      </c>
      <c r="Z51" s="76">
        <f>SUMIFS(разходи!$L:$L,разходи!$E:$E,'ПП Декември'!$C$51,разходи!$M:$M,'ПП Декември'!Z2)</f>
        <v>0</v>
      </c>
      <c r="AA51" s="74">
        <f>SUMIFS(разходи!$L:$L,разходи!$E:$E,'ПП Декември'!$C$51,разходи!$M:$M,'ПП Декември'!AA2)</f>
        <v>0</v>
      </c>
      <c r="AB51" s="76">
        <f>SUMIFS(разходи!$L:$L,разходи!$E:$E,'ПП Декември'!$C$51,разходи!$M:$M,'ПП Декември'!AB2)</f>
        <v>0</v>
      </c>
      <c r="AC51" s="76">
        <f>SUMIFS(разходи!$L:$L,разходи!$E:$E,'ПП Декември'!$C$51,разходи!$M:$M,'ПП Декември'!AC2)</f>
        <v>0</v>
      </c>
      <c r="AD51" s="76">
        <f>SUMIFS(разходи!$L:$L,разходи!$E:$E,'ПП Декември'!$C$51,разходи!$M:$M,'ПП Декември'!AD2)</f>
        <v>0</v>
      </c>
      <c r="AE51" s="74">
        <f>SUMIFS(разходи!$L:$L,разходи!$E:$E,'ПП Декември'!$C$51,разходи!$M:$M,'ПП Декември'!AE2)</f>
        <v>0</v>
      </c>
      <c r="AF51" s="76">
        <f>SUMIFS(разходи!$L:$L,разходи!$E:$E,'ПП Декември'!$C$51,разходи!$M:$M,'ПП Декември'!AF2)</f>
        <v>0</v>
      </c>
      <c r="AG51" s="76">
        <f>SUMIFS(разходи!$L:$L,разходи!$E:$E,'ПП Декември'!$C$51,разходи!$M:$M,'ПП Декември'!AG2)</f>
        <v>0</v>
      </c>
      <c r="AH51" s="74">
        <f>SUMIFS(разходи!$L:$L,разходи!$E:$E,'ПП Декември'!$C$51,разходи!$M:$M,'ПП Декември'!AH2)</f>
        <v>0</v>
      </c>
      <c r="AI51" s="74">
        <f>SUMIFS(разходи!$L:$L,разходи!$E:$E,'ПП Декември'!$C$51,разходи!$M:$M,'ПП Декември'!AI2)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Декември'!$C$52,разходи!$M:$M,'ПП Декември'!E2)</f>
        <v>0</v>
      </c>
      <c r="F52" s="74">
        <f>SUMIFS(разходи!$L:$L,разходи!$E:$E,'ПП Декември'!$C$52,разходи!$M:$M,'ПП Декември'!F2)</f>
        <v>0</v>
      </c>
      <c r="G52" s="74">
        <f>SUMIFS(разходи!$L:$L,разходи!$E:$E,'ПП Декември'!$C$52,разходи!$M:$M,'ПП Декември'!G2)</f>
        <v>0</v>
      </c>
      <c r="H52" s="74">
        <f>SUMIFS(разходи!$L:$L,разходи!$E:$E,'ПП Декември'!$C$52,разходи!$M:$M,'ПП Декември'!H2)</f>
        <v>0</v>
      </c>
      <c r="I52" s="74">
        <f>SUMIFS(разходи!$L:$L,разходи!$E:$E,'ПП Декември'!$C$52,разходи!$M:$M,'ПП Декември'!I2)</f>
        <v>0</v>
      </c>
      <c r="J52" s="74">
        <f>SUMIFS(разходи!$L:$L,разходи!$E:$E,'ПП Декември'!$C$52,разходи!$M:$M,'ПП Декември'!J2)</f>
        <v>0</v>
      </c>
      <c r="K52" s="76">
        <f>SUMIFS(разходи!$L:$L,разходи!$E:$E,'ПП Декември'!$C$52,разходи!$M:$M,'ПП Декември'!K2)</f>
        <v>0</v>
      </c>
      <c r="L52" s="76">
        <f>SUMIFS(разходи!$L:$L,разходи!$E:$E,'ПП Декември'!$C$52,разходи!$M:$M,'ПП Декември'!L2)</f>
        <v>0</v>
      </c>
      <c r="M52" s="74">
        <f>SUMIFS(разходи!$L:$L,разходи!$E:$E,'ПП Декември'!$C$52,разходи!$M:$M,'ПП Декември'!M2)</f>
        <v>0</v>
      </c>
      <c r="N52" s="74">
        <f>SUMIFS(разходи!$L:$L,разходи!$E:$E,'ПП Декември'!$C$52,разходи!$M:$M,'ПП Декември'!N2)</f>
        <v>0</v>
      </c>
      <c r="O52" s="74">
        <f>SUMIFS(разходи!$L:$L,разходи!$E:$E,'ПП Декември'!$C$52,разходи!$M:$M,'ПП Декември'!O2)</f>
        <v>0</v>
      </c>
      <c r="P52" s="74">
        <f>SUMIFS(разходи!$L:$L,разходи!$E:$E,'ПП Декември'!$C$52,разходи!$M:$M,'ПП Декември'!P2)</f>
        <v>0</v>
      </c>
      <c r="Q52" s="74">
        <f>SUMIFS(разходи!$L:$L,разходи!$E:$E,'ПП Декември'!$C$52,разходи!$M:$M,'ПП Декември'!Q2)</f>
        <v>0</v>
      </c>
      <c r="R52" s="76">
        <f>SUMIFS(разходи!$L:$L,разходи!$E:$E,'ПП Декември'!$C$52,разходи!$M:$M,'ПП Декември'!R2)</f>
        <v>0</v>
      </c>
      <c r="S52" s="76">
        <f>SUMIFS(разходи!$L:$L,разходи!$E:$E,'ПП Декември'!$C$52,разходи!$M:$M,'ПП Декември'!S2)</f>
        <v>0</v>
      </c>
      <c r="T52" s="74">
        <f>SUMIFS(разходи!$L:$L,разходи!$E:$E,'ПП Декември'!$C$52,разходи!$M:$M,'ПП Декември'!T2)</f>
        <v>0</v>
      </c>
      <c r="U52" s="74">
        <f>SUMIFS(разходи!$L:$L,разходи!$E:$E,'ПП Декември'!$C$52,разходи!$M:$M,'ПП Декември'!U2)</f>
        <v>0</v>
      </c>
      <c r="V52" s="74">
        <f>SUMIFS(разходи!$L:$L,разходи!$E:$E,'ПП Декември'!$C$52,разходи!$M:$M,'ПП Декември'!V2)</f>
        <v>0</v>
      </c>
      <c r="W52" s="74">
        <f>SUMIFS(разходи!$L:$L,разходи!$E:$E,'ПП Декември'!$C$52,разходи!$M:$M,'ПП Декември'!W2)</f>
        <v>0</v>
      </c>
      <c r="X52" s="74">
        <f>SUMIFS(разходи!$L:$L,разходи!$E:$E,'ПП Декември'!$C$52,разходи!$M:$M,'ПП Декември'!X2)</f>
        <v>0</v>
      </c>
      <c r="Y52" s="76">
        <f>SUMIFS(разходи!$L:$L,разходи!$E:$E,'ПП Декември'!$C$52,разходи!$M:$M,'ПП Декември'!Y2)</f>
        <v>0</v>
      </c>
      <c r="Z52" s="76">
        <f>SUMIFS(разходи!$L:$L,разходи!$E:$E,'ПП Декември'!$C$52,разходи!$M:$M,'ПП Декември'!Z2)</f>
        <v>0</v>
      </c>
      <c r="AA52" s="74">
        <f>SUMIFS(разходи!$L:$L,разходи!$E:$E,'ПП Декември'!$C$52,разходи!$M:$M,'ПП Декември'!AA2)</f>
        <v>0</v>
      </c>
      <c r="AB52" s="76">
        <f>SUMIFS(разходи!$L:$L,разходи!$E:$E,'ПП Декември'!$C$52,разходи!$M:$M,'ПП Декември'!AB2)</f>
        <v>0</v>
      </c>
      <c r="AC52" s="76">
        <f>SUMIFS(разходи!$L:$L,разходи!$E:$E,'ПП Декември'!$C$52,разходи!$M:$M,'ПП Декември'!AC2)</f>
        <v>0</v>
      </c>
      <c r="AD52" s="76">
        <f>SUMIFS(разходи!$L:$L,разходи!$E:$E,'ПП Декември'!$C$52,разходи!$M:$M,'ПП Декември'!AD2)</f>
        <v>0</v>
      </c>
      <c r="AE52" s="74">
        <f>SUMIFS(разходи!$L:$L,разходи!$E:$E,'ПП Декември'!$C$52,разходи!$M:$M,'ПП Декември'!AE2)</f>
        <v>0</v>
      </c>
      <c r="AF52" s="76">
        <f>SUMIFS(разходи!$L:$L,разходи!$E:$E,'ПП Декември'!$C$52,разходи!$M:$M,'ПП Декември'!AF2)</f>
        <v>0</v>
      </c>
      <c r="AG52" s="76">
        <f>SUMIFS(разходи!$L:$L,разходи!$E:$E,'ПП Декември'!$C$52,разходи!$M:$M,'ПП Декември'!AG2)</f>
        <v>0</v>
      </c>
      <c r="AH52" s="74">
        <f>SUMIFS(разходи!$L:$L,разходи!$E:$E,'ПП Декември'!$C$52,разходи!$M:$M,'ПП Декември'!AH2)</f>
        <v>0</v>
      </c>
      <c r="AI52" s="74">
        <f>SUMIFS(разходи!$L:$L,разходи!$E:$E,'ПП Декември'!$C$52,разходи!$M:$M,'ПП Декември'!AI2)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0</v>
      </c>
      <c r="E53" s="76">
        <f>SUMIFS(разходи!$L:$L,разходи!$E:$E,'ПП Декември'!$C$57,разходи!$M:$M,'ПП Декември'!E2)</f>
        <v>0</v>
      </c>
      <c r="F53" s="74">
        <f>SUMIFS(разходи!$L:$L,разходи!$E:$E,'ПП Декември'!$C$57,разходи!$M:$M,'ПП Декември'!F2)</f>
        <v>0</v>
      </c>
      <c r="G53" s="74">
        <f>SUMIFS(разходи!$L:$L,разходи!$E:$E,'ПП Декември'!$C$57,разходи!$M:$M,'ПП Декември'!G2)</f>
        <v>0</v>
      </c>
      <c r="H53" s="74">
        <f>SUMIFS(разходи!$L:$L,разходи!$E:$E,'ПП Декември'!$C$57,разходи!$M:$M,'ПП Декември'!H2)</f>
        <v>0</v>
      </c>
      <c r="I53" s="74">
        <f>SUMIFS(разходи!$L:$L,разходи!$E:$E,'ПП Декември'!$C$57,разходи!$M:$M,'ПП Декември'!I2)</f>
        <v>0</v>
      </c>
      <c r="J53" s="74">
        <f>SUMIFS(разходи!$L:$L,разходи!$E:$E,'ПП Декември'!$C$57,разходи!$M:$M,'ПП Декември'!J2)</f>
        <v>0</v>
      </c>
      <c r="K53" s="76">
        <f>SUMIFS(разходи!$L:$L,разходи!$E:$E,'ПП Декември'!$C$57,разходи!$M:$M,'ПП Декември'!K2)</f>
        <v>0</v>
      </c>
      <c r="L53" s="76">
        <f>SUMIFS(разходи!$L:$L,разходи!$E:$E,'ПП Декември'!$C$57,разходи!$M:$M,'ПП Декември'!L2)</f>
        <v>0</v>
      </c>
      <c r="M53" s="74">
        <f>SUMIFS(разходи!$L:$L,разходи!$E:$E,'ПП Декември'!$C$57,разходи!$M:$M,'ПП Декември'!M2)</f>
        <v>0</v>
      </c>
      <c r="N53" s="74">
        <f>SUMIFS(разходи!$L:$L,разходи!$E:$E,'ПП Декември'!$C$57,разходи!$M:$M,'ПП Декември'!N2)</f>
        <v>0</v>
      </c>
      <c r="O53" s="74">
        <f>SUMIFS(разходи!$L:$L,разходи!$E:$E,'ПП Декември'!$C$57,разходи!$M:$M,'ПП Декември'!O2)</f>
        <v>0</v>
      </c>
      <c r="P53" s="74">
        <f>SUMIFS(разходи!$L:$L,разходи!$E:$E,'ПП Декември'!$C$57,разходи!$M:$M,'ПП Декември'!P2)</f>
        <v>0</v>
      </c>
      <c r="Q53" s="74">
        <f>SUMIFS(разходи!$L:$L,разходи!$E:$E,'ПП Декември'!$C$57,разходи!$M:$M,'ПП Декември'!Q2)</f>
        <v>0</v>
      </c>
      <c r="R53" s="76">
        <f>SUMIFS(разходи!$L:$L,разходи!$E:$E,'ПП Декември'!$C$57,разходи!$M:$M,'ПП Декември'!R2)</f>
        <v>0</v>
      </c>
      <c r="S53" s="76">
        <f>SUMIFS(разходи!$L:$L,разходи!$E:$E,'ПП Декември'!$C$57,разходи!$M:$M,'ПП Декември'!S2)</f>
        <v>0</v>
      </c>
      <c r="T53" s="74">
        <f>SUMIFS(разходи!$L:$L,разходи!$E:$E,'ПП Декември'!$C$57,разходи!$M:$M,'ПП Декември'!T2)</f>
        <v>0</v>
      </c>
      <c r="U53" s="74">
        <f>SUMIFS(разходи!$L:$L,разходи!$E:$E,'ПП Декември'!$C$57,разходи!$M:$M,'ПП Декември'!U2)</f>
        <v>0</v>
      </c>
      <c r="V53" s="74">
        <f>SUMIFS(разходи!$L:$L,разходи!$E:$E,'ПП Декември'!$C$57,разходи!$M:$M,'ПП Декември'!V2)</f>
        <v>0</v>
      </c>
      <c r="W53" s="74">
        <f>SUMIFS(разходи!$L:$L,разходи!$E:$E,'ПП Декември'!$C$57,разходи!$M:$M,'ПП Декември'!W2)</f>
        <v>0</v>
      </c>
      <c r="X53" s="74">
        <f>SUMIFS(разходи!$L:$L,разходи!$E:$E,'ПП Декември'!$C$57,разходи!$M:$M,'ПП Декември'!X2)</f>
        <v>0</v>
      </c>
      <c r="Y53" s="76">
        <f>SUMIFS(разходи!$L:$L,разходи!$E:$E,'ПП Декември'!$C$57,разходи!$M:$M,'ПП Декември'!Y2)</f>
        <v>0</v>
      </c>
      <c r="Z53" s="76">
        <f>SUMIFS(разходи!$L:$L,разходи!$E:$E,'ПП Декември'!$C$57,разходи!$M:$M,'ПП Декември'!Z2)</f>
        <v>0</v>
      </c>
      <c r="AA53" s="74">
        <f>SUMIFS(разходи!$L:$L,разходи!$E:$E,'ПП Декември'!$C$57,разходи!$M:$M,'ПП Декември'!AA2)</f>
        <v>0</v>
      </c>
      <c r="AB53" s="76">
        <f>SUMIFS(разходи!$L:$L,разходи!$E:$E,'ПП Декември'!$C$57,разходи!$M:$M,'ПП Декември'!AB2)</f>
        <v>0</v>
      </c>
      <c r="AC53" s="76">
        <f>SUMIFS(разходи!$L:$L,разходи!$E:$E,'ПП Декември'!$C$57,разходи!$M:$M,'ПП Декември'!AC2)</f>
        <v>0</v>
      </c>
      <c r="AD53" s="76">
        <f>SUMIFS(разходи!$L:$L,разходи!$E:$E,'ПП Декември'!$C$57,разходи!$M:$M,'ПП Декември'!AD2)</f>
        <v>0</v>
      </c>
      <c r="AE53" s="74">
        <f>SUMIFS(разходи!$L:$L,разходи!$E:$E,'ПП Декември'!$C$57,разходи!$M:$M,'ПП Декември'!AE2)</f>
        <v>0</v>
      </c>
      <c r="AF53" s="76">
        <f>SUMIFS(разходи!$L:$L,разходи!$E:$E,'ПП Декември'!$C$57,разходи!$M:$M,'ПП Декември'!AF2)</f>
        <v>0</v>
      </c>
      <c r="AG53" s="76">
        <f>SUMIFS(разходи!$L:$L,разходи!$E:$E,'ПП Декември'!$C$57,разходи!$M:$M,'ПП Декември'!AG2)</f>
        <v>0</v>
      </c>
      <c r="AH53" s="74">
        <f>SUMIFS(разходи!$L:$L,разходи!$E:$E,'ПП Декември'!$C$57,разходи!$M:$M,'ПП Декември'!AH2)</f>
        <v>0</v>
      </c>
      <c r="AI53" s="74">
        <f>SUMIFS(разходи!$L:$L,разходи!$E:$E,'ПП Декември'!$C$57,разходи!$M:$M,'ПП Декември'!AI2)</f>
        <v>0</v>
      </c>
      <c r="AJ53" s="61">
        <f t="shared" si="16"/>
        <v>0</v>
      </c>
      <c r="AK53" s="69">
        <f t="shared" si="3"/>
        <v>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Декември'!$C$54,разходи!$M:$M,'ПП Декември'!E2)</f>
        <v>0</v>
      </c>
      <c r="F54" s="74">
        <f>SUMIFS(разходи!$L:$L,разходи!$E:$E,'ПП Декември'!$C$54,разходи!$M:$M,'ПП Декември'!F2)</f>
        <v>0</v>
      </c>
      <c r="G54" s="74">
        <f>SUMIFS(разходи!$L:$L,разходи!$E:$E,'ПП Декември'!$C$54,разходи!$M:$M,'ПП Декември'!G2)</f>
        <v>0</v>
      </c>
      <c r="H54" s="74">
        <f>SUMIFS(разходи!$L:$L,разходи!$E:$E,'ПП Декември'!$C$54,разходи!$M:$M,'ПП Декември'!H2)</f>
        <v>0</v>
      </c>
      <c r="I54" s="74">
        <f>SUMIFS(разходи!$L:$L,разходи!$E:$E,'ПП Декември'!$C$54,разходи!$M:$M,'ПП Декември'!I2)</f>
        <v>0</v>
      </c>
      <c r="J54" s="74">
        <f>SUMIFS(разходи!$L:$L,разходи!$E:$E,'ПП Декември'!$C$54,разходи!$M:$M,'ПП Декември'!J2)</f>
        <v>0</v>
      </c>
      <c r="K54" s="76">
        <f>SUMIFS(разходи!$L:$L,разходи!$E:$E,'ПП Декември'!$C$54,разходи!$M:$M,'ПП Декември'!K2)</f>
        <v>0</v>
      </c>
      <c r="L54" s="76">
        <f>SUMIFS(разходи!$L:$L,разходи!$E:$E,'ПП Декември'!$C$54,разходи!$M:$M,'ПП Декември'!L2)</f>
        <v>0</v>
      </c>
      <c r="M54" s="74">
        <f>SUMIFS(разходи!$L:$L,разходи!$E:$E,'ПП Декември'!$C$54,разходи!$M:$M,'ПП Декември'!M2)</f>
        <v>0</v>
      </c>
      <c r="N54" s="74">
        <f>SUMIFS(разходи!$L:$L,разходи!$E:$E,'ПП Декември'!$C$54,разходи!$M:$M,'ПП Декември'!N2)</f>
        <v>0</v>
      </c>
      <c r="O54" s="74">
        <f>SUMIFS(разходи!$L:$L,разходи!$E:$E,'ПП Декември'!$C$54,разходи!$M:$M,'ПП Декември'!O2)</f>
        <v>0</v>
      </c>
      <c r="P54" s="74">
        <f>SUMIFS(разходи!$L:$L,разходи!$E:$E,'ПП Декември'!$C$54,разходи!$M:$M,'ПП Декември'!P2)</f>
        <v>0</v>
      </c>
      <c r="Q54" s="74">
        <f>SUMIFS(разходи!$L:$L,разходи!$E:$E,'ПП Декември'!$C$54,разходи!$M:$M,'ПП Декември'!Q2)</f>
        <v>0</v>
      </c>
      <c r="R54" s="76">
        <f>SUMIFS(разходи!$L:$L,разходи!$E:$E,'ПП Декември'!$C$54,разходи!$M:$M,'ПП Декември'!R2)</f>
        <v>0</v>
      </c>
      <c r="S54" s="76">
        <f>SUMIFS(разходи!$L:$L,разходи!$E:$E,'ПП Декември'!$C$54,разходи!$M:$M,'ПП Декември'!S2)</f>
        <v>0</v>
      </c>
      <c r="T54" s="74">
        <f>SUMIFS(разходи!$L:$L,разходи!$E:$E,'ПП Декември'!$C$54,разходи!$M:$M,'ПП Декември'!T2)</f>
        <v>0</v>
      </c>
      <c r="U54" s="74">
        <f>SUMIFS(разходи!$L:$L,разходи!$E:$E,'ПП Декември'!$C$54,разходи!$M:$M,'ПП Декември'!U2)</f>
        <v>0</v>
      </c>
      <c r="V54" s="74">
        <f>SUMIFS(разходи!$L:$L,разходи!$E:$E,'ПП Декември'!$C$54,разходи!$M:$M,'ПП Декември'!V2)</f>
        <v>0</v>
      </c>
      <c r="W54" s="74">
        <f>SUMIFS(разходи!$L:$L,разходи!$E:$E,'ПП Декември'!$C$54,разходи!$M:$M,'ПП Декември'!W2)</f>
        <v>0</v>
      </c>
      <c r="X54" s="74">
        <f>SUMIFS(разходи!$L:$L,разходи!$E:$E,'ПП Декември'!$C$54,разходи!$M:$M,'ПП Декември'!X2)</f>
        <v>0</v>
      </c>
      <c r="Y54" s="76">
        <f>SUMIFS(разходи!$L:$L,разходи!$E:$E,'ПП Декември'!$C$54,разходи!$M:$M,'ПП Декември'!Y2)</f>
        <v>0</v>
      </c>
      <c r="Z54" s="76">
        <f>SUMIFS(разходи!$L:$L,разходи!$E:$E,'ПП Декември'!$C$54,разходи!$M:$M,'ПП Декември'!Z2)</f>
        <v>0</v>
      </c>
      <c r="AA54" s="74">
        <f>SUMIFS(разходи!$L:$L,разходи!$E:$E,'ПП Декември'!$C$54,разходи!$M:$M,'ПП Декември'!AA2)</f>
        <v>0</v>
      </c>
      <c r="AB54" s="76">
        <f>SUMIFS(разходи!$L:$L,разходи!$E:$E,'ПП Декември'!$C$54,разходи!$M:$M,'ПП Декември'!AB2)</f>
        <v>0</v>
      </c>
      <c r="AC54" s="76">
        <f>SUMIFS(разходи!$L:$L,разходи!$E:$E,'ПП Декември'!$C$54,разходи!$M:$M,'ПП Декември'!AC2)</f>
        <v>0</v>
      </c>
      <c r="AD54" s="76">
        <f>SUMIFS(разходи!$L:$L,разходи!$E:$E,'ПП Декември'!$C$54,разходи!$M:$M,'ПП Декември'!AD2)</f>
        <v>0</v>
      </c>
      <c r="AE54" s="74">
        <f>SUMIFS(разходи!$L:$L,разходи!$E:$E,'ПП Декември'!$C$54,разходи!$M:$M,'ПП Декември'!AE2)</f>
        <v>0</v>
      </c>
      <c r="AF54" s="76">
        <f>SUMIFS(разходи!$L:$L,разходи!$E:$E,'ПП Декември'!$C$54,разходи!$M:$M,'ПП Декември'!AF2)</f>
        <v>0</v>
      </c>
      <c r="AG54" s="76">
        <f>SUMIFS(разходи!$L:$L,разходи!$E:$E,'ПП Декември'!$C$54,разходи!$M:$M,'ПП Декември'!AG2)</f>
        <v>0</v>
      </c>
      <c r="AH54" s="74">
        <f>SUMIFS(разходи!$L:$L,разходи!$E:$E,'ПП Декември'!$C$54,разходи!$M:$M,'ПП Декември'!AH2)</f>
        <v>0</v>
      </c>
      <c r="AI54" s="74">
        <f>SUMIFS(разходи!$L:$L,разходи!$E:$E,'ПП Декември'!$C$54,разходи!$M:$M,'ПП Декември'!AI2)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/>
      <c r="E55" s="76">
        <f>SUMIFS(разходи!$L:$L,разходи!$E:$E,'ПП Декември'!$C$55,разходи!$M:$M,'ПП Декември'!E2)</f>
        <v>0</v>
      </c>
      <c r="F55" s="74">
        <f>SUMIFS(разходи!$L:$L,разходи!$E:$E,'ПП Декември'!$C$55,разходи!$M:$M,'ПП Декември'!F2)</f>
        <v>0</v>
      </c>
      <c r="G55" s="74">
        <f>SUMIFS(разходи!$L:$L,разходи!$E:$E,'ПП Декември'!$C$55,разходи!$M:$M,'ПП Декември'!G2)</f>
        <v>0</v>
      </c>
      <c r="H55" s="74">
        <f>SUMIFS(разходи!$L:$L,разходи!$E:$E,'ПП Декември'!$C$55,разходи!$M:$M,'ПП Декември'!H2)</f>
        <v>0</v>
      </c>
      <c r="I55" s="74">
        <f>SUMIFS(разходи!$L:$L,разходи!$E:$E,'ПП Декември'!$C$55,разходи!$M:$M,'ПП Декември'!I2)</f>
        <v>0</v>
      </c>
      <c r="J55" s="74">
        <f>SUMIFS(разходи!$L:$L,разходи!$E:$E,'ПП Декември'!$C$55,разходи!$M:$M,'ПП Декември'!J2)</f>
        <v>0</v>
      </c>
      <c r="K55" s="76">
        <f>SUMIFS(разходи!$L:$L,разходи!$E:$E,'ПП Декември'!$C$55,разходи!$M:$M,'ПП Декември'!K2)</f>
        <v>0</v>
      </c>
      <c r="L55" s="76">
        <f>SUMIFS(разходи!$L:$L,разходи!$E:$E,'ПП Декември'!$C$55,разходи!$M:$M,'ПП Декември'!L2)</f>
        <v>0</v>
      </c>
      <c r="M55" s="74">
        <f>SUMIFS(разходи!$L:$L,разходи!$E:$E,'ПП Декември'!$C$55,разходи!$M:$M,'ПП Декември'!M2)</f>
        <v>0</v>
      </c>
      <c r="N55" s="74">
        <f>SUMIFS(разходи!$L:$L,разходи!$E:$E,'ПП Декември'!$C$55,разходи!$M:$M,'ПП Декември'!N2)</f>
        <v>0</v>
      </c>
      <c r="O55" s="74">
        <f>SUMIFS(разходи!$L:$L,разходи!$E:$E,'ПП Декември'!$C$55,разходи!$M:$M,'ПП Декември'!O2)</f>
        <v>0</v>
      </c>
      <c r="P55" s="74">
        <f>SUMIFS(разходи!$L:$L,разходи!$E:$E,'ПП Декември'!$C$55,разходи!$M:$M,'ПП Декември'!P2)</f>
        <v>0</v>
      </c>
      <c r="Q55" s="74">
        <f>SUMIFS(разходи!$L:$L,разходи!$E:$E,'ПП Декември'!$C$55,разходи!$M:$M,'ПП Декември'!Q2)</f>
        <v>0</v>
      </c>
      <c r="R55" s="76">
        <f>SUMIFS(разходи!$L:$L,разходи!$E:$E,'ПП Декември'!$C$55,разходи!$M:$M,'ПП Декември'!R2)</f>
        <v>0</v>
      </c>
      <c r="S55" s="76">
        <f>SUMIFS(разходи!$L:$L,разходи!$E:$E,'ПП Декември'!$C$55,разходи!$M:$M,'ПП Декември'!S2)</f>
        <v>0</v>
      </c>
      <c r="T55" s="74">
        <f>SUMIFS(разходи!$L:$L,разходи!$E:$E,'ПП Декември'!$C$55,разходи!$M:$M,'ПП Декември'!T2)</f>
        <v>0</v>
      </c>
      <c r="U55" s="74">
        <f>SUMIFS(разходи!$L:$L,разходи!$E:$E,'ПП Декември'!$C$55,разходи!$M:$M,'ПП Декември'!U2)</f>
        <v>0</v>
      </c>
      <c r="V55" s="74">
        <f>SUMIFS(разходи!$L:$L,разходи!$E:$E,'ПП Декември'!$C$55,разходи!$M:$M,'ПП Декември'!V2)</f>
        <v>0</v>
      </c>
      <c r="W55" s="74">
        <f>SUMIFS(разходи!$L:$L,разходи!$E:$E,'ПП Декември'!$C$55,разходи!$M:$M,'ПП Декември'!W2)</f>
        <v>0</v>
      </c>
      <c r="X55" s="74">
        <f>SUMIFS(разходи!$L:$L,разходи!$E:$E,'ПП Декември'!$C$55,разходи!$M:$M,'ПП Декември'!X2)</f>
        <v>0</v>
      </c>
      <c r="Y55" s="76">
        <f>SUMIFS(разходи!$L:$L,разходи!$E:$E,'ПП Декември'!$C$55,разходи!$M:$M,'ПП Декември'!Y2)</f>
        <v>0</v>
      </c>
      <c r="Z55" s="76">
        <f>SUMIFS(разходи!$L:$L,разходи!$E:$E,'ПП Декември'!$C$55,разходи!$M:$M,'ПП Декември'!Z2)</f>
        <v>0</v>
      </c>
      <c r="AA55" s="74">
        <f>SUMIFS(разходи!$L:$L,разходи!$E:$E,'ПП Декември'!$C$55,разходи!$M:$M,'ПП Декември'!AA2)</f>
        <v>0</v>
      </c>
      <c r="AB55" s="76">
        <f>SUMIFS(разходи!$L:$L,разходи!$E:$E,'ПП Декември'!$C$55,разходи!$M:$M,'ПП Декември'!AB2)</f>
        <v>0</v>
      </c>
      <c r="AC55" s="76">
        <f>SUMIFS(разходи!$L:$L,разходи!$E:$E,'ПП Декември'!$C$55,разходи!$M:$M,'ПП Декември'!AC2)</f>
        <v>0</v>
      </c>
      <c r="AD55" s="76">
        <f>SUMIFS(разходи!$L:$L,разходи!$E:$E,'ПП Декември'!$C$55,разходи!$M:$M,'ПП Декември'!AD2)</f>
        <v>0</v>
      </c>
      <c r="AE55" s="74">
        <f>SUMIFS(разходи!$L:$L,разходи!$E:$E,'ПП Декември'!$C$55,разходи!$M:$M,'ПП Декември'!AE2)</f>
        <v>0</v>
      </c>
      <c r="AF55" s="76">
        <f>SUMIFS(разходи!$L:$L,разходи!$E:$E,'ПП Декември'!$C$55,разходи!$M:$M,'ПП Декември'!AF2)</f>
        <v>0</v>
      </c>
      <c r="AG55" s="76">
        <f>SUMIFS(разходи!$L:$L,разходи!$E:$E,'ПП Декември'!$C$55,разходи!$M:$M,'ПП Декември'!AG2)</f>
        <v>0</v>
      </c>
      <c r="AH55" s="74">
        <f>SUMIFS(разходи!$L:$L,разходи!$E:$E,'ПП Декември'!$C$55,разходи!$M:$M,'ПП Декември'!AH2)</f>
        <v>0</v>
      </c>
      <c r="AI55" s="74">
        <f>SUMIFS(разходи!$L:$L,разходи!$E:$E,'ПП Декември'!$C$55,разходи!$M:$M,'ПП Декември'!AI2)</f>
        <v>0</v>
      </c>
      <c r="AJ55" s="61">
        <f t="shared" si="16"/>
        <v>0</v>
      </c>
      <c r="AK55" s="69">
        <f t="shared" si="3"/>
        <v>0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80"/>
      <c r="E56" s="76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6">
        <f t="shared" si="21"/>
        <v>0</v>
      </c>
      <c r="L56" s="76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4">
        <f t="shared" si="21"/>
        <v>0</v>
      </c>
      <c r="R56" s="76">
        <f t="shared" si="21"/>
        <v>0</v>
      </c>
      <c r="S56" s="76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4">
        <f t="shared" si="21"/>
        <v>0</v>
      </c>
      <c r="Y56" s="76">
        <f t="shared" si="21"/>
        <v>0</v>
      </c>
      <c r="Z56" s="76">
        <f t="shared" si="21"/>
        <v>0</v>
      </c>
      <c r="AA56" s="74">
        <f t="shared" si="21"/>
        <v>0</v>
      </c>
      <c r="AB56" s="76">
        <f t="shared" si="21"/>
        <v>0</v>
      </c>
      <c r="AC56" s="76">
        <f t="shared" si="21"/>
        <v>0</v>
      </c>
      <c r="AD56" s="76">
        <f t="shared" si="21"/>
        <v>0</v>
      </c>
      <c r="AE56" s="74">
        <f t="shared" si="21"/>
        <v>0</v>
      </c>
      <c r="AF56" s="76">
        <f t="shared" si="21"/>
        <v>0</v>
      </c>
      <c r="AG56" s="76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0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Декември'!$C$57,разходи!$M:$M,'ПП Декември'!E2)</f>
        <v>0</v>
      </c>
      <c r="F57" s="74">
        <f>SUMIFS(разходи!$L:$L,разходи!$E:$E,'ПП Декември'!$C$57,разходи!$M:$M,'ПП Декември'!F2)</f>
        <v>0</v>
      </c>
      <c r="G57" s="74">
        <f>SUMIFS(разходи!$L:$L,разходи!$E:$E,'ПП Декември'!$C$57,разходи!$M:$M,'ПП Декември'!G2)</f>
        <v>0</v>
      </c>
      <c r="H57" s="74">
        <f>SUMIFS(разходи!$L:$L,разходи!$E:$E,'ПП Декември'!$C$57,разходи!$M:$M,'ПП Декември'!H2)</f>
        <v>0</v>
      </c>
      <c r="I57" s="74">
        <f>SUMIFS(разходи!$L:$L,разходи!$E:$E,'ПП Декември'!$C$57,разходи!$M:$M,'ПП Декември'!I2)</f>
        <v>0</v>
      </c>
      <c r="J57" s="74">
        <f>SUMIFS(разходи!$L:$L,разходи!$E:$E,'ПП Декември'!$C$57,разходи!$M:$M,'ПП Декември'!J2)</f>
        <v>0</v>
      </c>
      <c r="K57" s="76">
        <f>SUMIFS(разходи!$L:$L,разходи!$E:$E,'ПП Декември'!$C$57,разходи!$M:$M,'ПП Декември'!K2)</f>
        <v>0</v>
      </c>
      <c r="L57" s="76">
        <f>SUMIFS(разходи!$L:$L,разходи!$E:$E,'ПП Декември'!$C$57,разходи!$M:$M,'ПП Декември'!L2)</f>
        <v>0</v>
      </c>
      <c r="M57" s="74">
        <f>SUMIFS(разходи!$L:$L,разходи!$E:$E,'ПП Декември'!$C$57,разходи!$M:$M,'ПП Декември'!M2)</f>
        <v>0</v>
      </c>
      <c r="N57" s="74">
        <f>SUMIFS(разходи!$L:$L,разходи!$E:$E,'ПП Декември'!$C$57,разходи!$M:$M,'ПП Декември'!N2)</f>
        <v>0</v>
      </c>
      <c r="O57" s="74">
        <f>SUMIFS(разходи!$L:$L,разходи!$E:$E,'ПП Декември'!$C$57,разходи!$M:$M,'ПП Декември'!O2)</f>
        <v>0</v>
      </c>
      <c r="P57" s="74">
        <f>SUMIFS(разходи!$L:$L,разходи!$E:$E,'ПП Декември'!$C$57,разходи!$M:$M,'ПП Декември'!P2)</f>
        <v>0</v>
      </c>
      <c r="Q57" s="74">
        <f>SUMIFS(разходи!$L:$L,разходи!$E:$E,'ПП Декември'!$C$57,разходи!$M:$M,'ПП Декември'!Q2)</f>
        <v>0</v>
      </c>
      <c r="R57" s="76">
        <f>SUMIFS(разходи!$L:$L,разходи!$E:$E,'ПП Декември'!$C$57,разходи!$M:$M,'ПП Декември'!R2)</f>
        <v>0</v>
      </c>
      <c r="S57" s="76">
        <f>SUMIFS(разходи!$L:$L,разходи!$E:$E,'ПП Декември'!$C$57,разходи!$M:$M,'ПП Декември'!S2)</f>
        <v>0</v>
      </c>
      <c r="T57" s="74">
        <f>SUMIFS(разходи!$L:$L,разходи!$E:$E,'ПП Декември'!$C$57,разходи!$M:$M,'ПП Декември'!T2)</f>
        <v>0</v>
      </c>
      <c r="U57" s="74">
        <f>SUMIFS(разходи!$L:$L,разходи!$E:$E,'ПП Декември'!$C$57,разходи!$M:$M,'ПП Декември'!U2)</f>
        <v>0</v>
      </c>
      <c r="V57" s="74">
        <f>SUMIFS(разходи!$L:$L,разходи!$E:$E,'ПП Декември'!$C$57,разходи!$M:$M,'ПП Декември'!V2)</f>
        <v>0</v>
      </c>
      <c r="W57" s="74">
        <f>SUMIFS(разходи!$L:$L,разходи!$E:$E,'ПП Декември'!$C$57,разходи!$M:$M,'ПП Декември'!W2)</f>
        <v>0</v>
      </c>
      <c r="X57" s="74">
        <f>SUMIFS(разходи!$L:$L,разходи!$E:$E,'ПП Декември'!$C$57,разходи!$M:$M,'ПП Декември'!X2)</f>
        <v>0</v>
      </c>
      <c r="Y57" s="76">
        <f>SUMIFS(разходи!$L:$L,разходи!$E:$E,'ПП Декември'!$C$57,разходи!$M:$M,'ПП Декември'!Y2)</f>
        <v>0</v>
      </c>
      <c r="Z57" s="76">
        <f>SUMIFS(разходи!$L:$L,разходи!$E:$E,'ПП Декември'!$C$57,разходи!$M:$M,'ПП Декември'!Z2)</f>
        <v>0</v>
      </c>
      <c r="AA57" s="74">
        <f>SUMIFS(разходи!$L:$L,разходи!$E:$E,'ПП Декември'!$C$57,разходи!$M:$M,'ПП Декември'!AA2)</f>
        <v>0</v>
      </c>
      <c r="AB57" s="76">
        <f>SUMIFS(разходи!$L:$L,разходи!$E:$E,'ПП Декември'!$C$57,разходи!$M:$M,'ПП Декември'!AB2)</f>
        <v>0</v>
      </c>
      <c r="AC57" s="76">
        <f>SUMIFS(разходи!$L:$L,разходи!$E:$E,'ПП Декември'!$C$57,разходи!$M:$M,'ПП Декември'!AC2)</f>
        <v>0</v>
      </c>
      <c r="AD57" s="76">
        <f>SUMIFS(разходи!$L:$L,разходи!$E:$E,'ПП Декември'!$C$57,разходи!$M:$M,'ПП Декември'!AD2)</f>
        <v>0</v>
      </c>
      <c r="AE57" s="74">
        <f>SUMIFS(разходи!$L:$L,разходи!$E:$E,'ПП Декември'!$C$57,разходи!$M:$M,'ПП Декември'!AE2)</f>
        <v>0</v>
      </c>
      <c r="AF57" s="76">
        <f>SUMIFS(разходи!$L:$L,разходи!$E:$E,'ПП Декември'!$C$57,разходи!$M:$M,'ПП Декември'!AF2)</f>
        <v>0</v>
      </c>
      <c r="AG57" s="76">
        <f>SUMIFS(разходи!$L:$L,разходи!$E:$E,'ПП Декември'!$C$57,разходи!$M:$M,'ПП Декември'!AG2)</f>
        <v>0</v>
      </c>
      <c r="AH57" s="74">
        <f>SUMIFS(разходи!$L:$L,разходи!$E:$E,'ПП Декември'!$C$57,разходи!$M:$M,'ПП Декември'!AH2)</f>
        <v>0</v>
      </c>
      <c r="AI57" s="74">
        <f>SUMIFS(разходи!$L:$L,разходи!$E:$E,'ПП Декември'!$C$57,разходи!$M:$M,'ПП Декември'!AI2)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/>
      <c r="E58" s="76">
        <f>SUMIFS(разходи!$L:$L,разходи!$E:$E,'ПП Декември'!$C$58,разходи!$M:$M,'ПП Декември'!E2)</f>
        <v>0</v>
      </c>
      <c r="F58" s="74">
        <f>SUMIFS(разходи!$L:$L,разходи!$E:$E,'ПП Декември'!$C$58,разходи!$M:$M,'ПП Декември'!F2)</f>
        <v>0</v>
      </c>
      <c r="G58" s="74">
        <f>SUMIFS(разходи!$L:$L,разходи!$E:$E,'ПП Декември'!$C$58,разходи!$M:$M,'ПП Декември'!G2)</f>
        <v>0</v>
      </c>
      <c r="H58" s="74">
        <f>SUMIFS(разходи!$L:$L,разходи!$E:$E,'ПП Декември'!$C$58,разходи!$M:$M,'ПП Декември'!H2)</f>
        <v>0</v>
      </c>
      <c r="I58" s="74">
        <f>SUMIFS(разходи!$L:$L,разходи!$E:$E,'ПП Декември'!$C$58,разходи!$M:$M,'ПП Декември'!I2)</f>
        <v>0</v>
      </c>
      <c r="J58" s="74">
        <f>SUMIFS(разходи!$L:$L,разходи!$E:$E,'ПП Декември'!$C$58,разходи!$M:$M,'ПП Декември'!J2)</f>
        <v>0</v>
      </c>
      <c r="K58" s="76">
        <f>SUMIFS(разходи!$L:$L,разходи!$E:$E,'ПП Декември'!$C$58,разходи!$M:$M,'ПП Декември'!K2)</f>
        <v>0</v>
      </c>
      <c r="L58" s="76">
        <f>SUMIFS(разходи!$L:$L,разходи!$E:$E,'ПП Декември'!$C$58,разходи!$M:$M,'ПП Декември'!L2)</f>
        <v>0</v>
      </c>
      <c r="M58" s="74">
        <f>SUMIFS(разходи!$L:$L,разходи!$E:$E,'ПП Декември'!$C$58,разходи!$M:$M,'ПП Декември'!M2)</f>
        <v>0</v>
      </c>
      <c r="N58" s="74">
        <f>SUMIFS(разходи!$L:$L,разходи!$E:$E,'ПП Декември'!$C$58,разходи!$M:$M,'ПП Декември'!N2)</f>
        <v>0</v>
      </c>
      <c r="O58" s="74">
        <f>SUMIFS(разходи!$L:$L,разходи!$E:$E,'ПП Декември'!$C$58,разходи!$M:$M,'ПП Декември'!O2)</f>
        <v>0</v>
      </c>
      <c r="P58" s="74">
        <f>SUMIFS(разходи!$L:$L,разходи!$E:$E,'ПП Декември'!$C$58,разходи!$M:$M,'ПП Декември'!P2)</f>
        <v>0</v>
      </c>
      <c r="Q58" s="74">
        <f>SUMIFS(разходи!$L:$L,разходи!$E:$E,'ПП Декември'!$C$58,разходи!$M:$M,'ПП Декември'!Q2)</f>
        <v>0</v>
      </c>
      <c r="R58" s="76">
        <f>SUMIFS(разходи!$L:$L,разходи!$E:$E,'ПП Декември'!$C$58,разходи!$M:$M,'ПП Декември'!R2)</f>
        <v>0</v>
      </c>
      <c r="S58" s="76">
        <f>SUMIFS(разходи!$L:$L,разходи!$E:$E,'ПП Декември'!$C$58,разходи!$M:$M,'ПП Декември'!S2)</f>
        <v>0</v>
      </c>
      <c r="T58" s="74">
        <f>SUMIFS(разходи!$L:$L,разходи!$E:$E,'ПП Декември'!$C$58,разходи!$M:$M,'ПП Декември'!T2)</f>
        <v>0</v>
      </c>
      <c r="U58" s="74">
        <f>SUMIFS(разходи!$L:$L,разходи!$E:$E,'ПП Декември'!$C$58,разходи!$M:$M,'ПП Декември'!U2)</f>
        <v>0</v>
      </c>
      <c r="V58" s="74">
        <f>SUMIFS(разходи!$L:$L,разходи!$E:$E,'ПП Декември'!$C$58,разходи!$M:$M,'ПП Декември'!V2)</f>
        <v>0</v>
      </c>
      <c r="W58" s="74">
        <f>SUMIFS(разходи!$L:$L,разходи!$E:$E,'ПП Декември'!$C$58,разходи!$M:$M,'ПП Декември'!W2)</f>
        <v>0</v>
      </c>
      <c r="X58" s="74">
        <f>SUMIFS(разходи!$L:$L,разходи!$E:$E,'ПП Декември'!$C$58,разходи!$M:$M,'ПП Декември'!X2)</f>
        <v>0</v>
      </c>
      <c r="Y58" s="76">
        <f>SUMIFS(разходи!$L:$L,разходи!$E:$E,'ПП Декември'!$C$58,разходи!$M:$M,'ПП Декември'!Y2)</f>
        <v>0</v>
      </c>
      <c r="Z58" s="76">
        <f>SUMIFS(разходи!$L:$L,разходи!$E:$E,'ПП Декември'!$C$58,разходи!$M:$M,'ПП Декември'!Z2)</f>
        <v>0</v>
      </c>
      <c r="AA58" s="74">
        <f>SUMIFS(разходи!$L:$L,разходи!$E:$E,'ПП Декември'!$C$58,разходи!$M:$M,'ПП Декември'!AA2)</f>
        <v>0</v>
      </c>
      <c r="AB58" s="76">
        <f>SUMIFS(разходи!$L:$L,разходи!$E:$E,'ПП Декември'!$C$58,разходи!$M:$M,'ПП Декември'!AB2)</f>
        <v>0</v>
      </c>
      <c r="AC58" s="76">
        <f>SUMIFS(разходи!$L:$L,разходи!$E:$E,'ПП Декември'!$C$58,разходи!$M:$M,'ПП Декември'!AC2)</f>
        <v>0</v>
      </c>
      <c r="AD58" s="76">
        <f>SUMIFS(разходи!$L:$L,разходи!$E:$E,'ПП Декември'!$C$58,разходи!$M:$M,'ПП Декември'!AD2)</f>
        <v>0</v>
      </c>
      <c r="AE58" s="74">
        <f>SUMIFS(разходи!$L:$L,разходи!$E:$E,'ПП Декември'!$C$58,разходи!$M:$M,'ПП Декември'!AE2)</f>
        <v>0</v>
      </c>
      <c r="AF58" s="76">
        <f>SUMIFS(разходи!$L:$L,разходи!$E:$E,'ПП Декември'!$C$58,разходи!$M:$M,'ПП Декември'!AF2)</f>
        <v>0</v>
      </c>
      <c r="AG58" s="76">
        <f>SUMIFS(разходи!$L:$L,разходи!$E:$E,'ПП Декември'!$C$58,разходи!$M:$M,'ПП Декември'!AG2)</f>
        <v>0</v>
      </c>
      <c r="AH58" s="74">
        <f>SUMIFS(разходи!$L:$L,разходи!$E:$E,'ПП Декември'!$C$58,разходи!$M:$M,'ПП Декември'!AH2)</f>
        <v>0</v>
      </c>
      <c r="AI58" s="74">
        <f>SUMIFS(разходи!$L:$L,разходи!$E:$E,'ПП Декември'!$C$58,разходи!$M:$M,'ПП Декември'!AI2)</f>
        <v>0</v>
      </c>
      <c r="AJ58" s="61">
        <f t="shared" si="16"/>
        <v>0</v>
      </c>
      <c r="AK58" s="69">
        <f t="shared" si="3"/>
        <v>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/>
      <c r="E59" s="76">
        <f>SUMIFS(разходи!$L:$L,разходи!$E:$E,'ПП Декември'!$C$59,разходи!$M:$M,'ПП Декември'!E2)</f>
        <v>0</v>
      </c>
      <c r="F59" s="74">
        <f>SUMIFS(разходи!$L:$L,разходи!$E:$E,'ПП Декември'!$C$59,разходи!$M:$M,'ПП Декември'!F2)</f>
        <v>0</v>
      </c>
      <c r="G59" s="74">
        <f>SUMIFS(разходи!$L:$L,разходи!$E:$E,'ПП Декември'!$C$59,разходи!$M:$M,'ПП Декември'!G2)</f>
        <v>0</v>
      </c>
      <c r="H59" s="74">
        <f>SUMIFS(разходи!$L:$L,разходи!$E:$E,'ПП Декември'!$C$59,разходи!$M:$M,'ПП Декември'!H2)</f>
        <v>0</v>
      </c>
      <c r="I59" s="74">
        <f>SUMIFS(разходи!$L:$L,разходи!$E:$E,'ПП Декември'!$C$59,разходи!$M:$M,'ПП Декември'!I2)</f>
        <v>0</v>
      </c>
      <c r="J59" s="74">
        <f>SUMIFS(разходи!$L:$L,разходи!$E:$E,'ПП Декември'!$C$59,разходи!$M:$M,'ПП Декември'!J2)</f>
        <v>0</v>
      </c>
      <c r="K59" s="76">
        <f>SUMIFS(разходи!$L:$L,разходи!$E:$E,'ПП Декември'!$C$59,разходи!$M:$M,'ПП Декември'!K2)</f>
        <v>0</v>
      </c>
      <c r="L59" s="76">
        <f>SUMIFS(разходи!$L:$L,разходи!$E:$E,'ПП Декември'!$C$59,разходи!$M:$M,'ПП Декември'!L2)</f>
        <v>0</v>
      </c>
      <c r="M59" s="74">
        <f>SUMIFS(разходи!$L:$L,разходи!$E:$E,'ПП Декември'!$C$59,разходи!$M:$M,'ПП Декември'!M2)</f>
        <v>0</v>
      </c>
      <c r="N59" s="74">
        <f>SUMIFS(разходи!$L:$L,разходи!$E:$E,'ПП Декември'!$C$59,разходи!$M:$M,'ПП Декември'!N2)</f>
        <v>0</v>
      </c>
      <c r="O59" s="74">
        <f>SUMIFS(разходи!$L:$L,разходи!$E:$E,'ПП Декември'!$C$59,разходи!$M:$M,'ПП Декември'!O2)</f>
        <v>0</v>
      </c>
      <c r="P59" s="74">
        <f>SUMIFS(разходи!$L:$L,разходи!$E:$E,'ПП Декември'!$C$59,разходи!$M:$M,'ПП Декември'!P2)</f>
        <v>0</v>
      </c>
      <c r="Q59" s="74">
        <f>SUMIFS(разходи!$L:$L,разходи!$E:$E,'ПП Декември'!$C$59,разходи!$M:$M,'ПП Декември'!Q2)</f>
        <v>0</v>
      </c>
      <c r="R59" s="76">
        <f>SUMIFS(разходи!$L:$L,разходи!$E:$E,'ПП Декември'!$C$59,разходи!$M:$M,'ПП Декември'!R2)</f>
        <v>0</v>
      </c>
      <c r="S59" s="76">
        <f>SUMIFS(разходи!$L:$L,разходи!$E:$E,'ПП Декември'!$C$59,разходи!$M:$M,'ПП Декември'!S2)</f>
        <v>0</v>
      </c>
      <c r="T59" s="74">
        <f>SUMIFS(разходи!$L:$L,разходи!$E:$E,'ПП Декември'!$C$59,разходи!$M:$M,'ПП Декември'!T2)</f>
        <v>0</v>
      </c>
      <c r="U59" s="74">
        <f>SUMIFS(разходи!$L:$L,разходи!$E:$E,'ПП Декември'!$C$59,разходи!$M:$M,'ПП Декември'!U2)</f>
        <v>0</v>
      </c>
      <c r="V59" s="74">
        <f>SUMIFS(разходи!$L:$L,разходи!$E:$E,'ПП Декември'!$C$59,разходи!$M:$M,'ПП Декември'!V2)</f>
        <v>0</v>
      </c>
      <c r="W59" s="74">
        <f>SUMIFS(разходи!$L:$L,разходи!$E:$E,'ПП Декември'!$C$59,разходи!$M:$M,'ПП Декември'!W2)</f>
        <v>0</v>
      </c>
      <c r="X59" s="74">
        <f>SUMIFS(разходи!$L:$L,разходи!$E:$E,'ПП Декември'!$C$59,разходи!$M:$M,'ПП Декември'!X2)</f>
        <v>0</v>
      </c>
      <c r="Y59" s="76">
        <f>SUMIFS(разходи!$L:$L,разходи!$E:$E,'ПП Декември'!$C$59,разходи!$M:$M,'ПП Декември'!Y2)</f>
        <v>0</v>
      </c>
      <c r="Z59" s="76">
        <f>SUMIFS(разходи!$L:$L,разходи!$E:$E,'ПП Декември'!$C$59,разходи!$M:$M,'ПП Декември'!Z2)</f>
        <v>0</v>
      </c>
      <c r="AA59" s="74">
        <f>SUMIFS(разходи!$L:$L,разходи!$E:$E,'ПП Декември'!$C$59,разходи!$M:$M,'ПП Декември'!AA2)</f>
        <v>0</v>
      </c>
      <c r="AB59" s="76">
        <f>SUMIFS(разходи!$L:$L,разходи!$E:$E,'ПП Декември'!$C$59,разходи!$M:$M,'ПП Декември'!AB2)</f>
        <v>0</v>
      </c>
      <c r="AC59" s="76">
        <f>SUMIFS(разходи!$L:$L,разходи!$E:$E,'ПП Декември'!$C$59,разходи!$M:$M,'ПП Декември'!AC2)</f>
        <v>0</v>
      </c>
      <c r="AD59" s="76">
        <f>SUMIFS(разходи!$L:$L,разходи!$E:$E,'ПП Декември'!$C$59,разходи!$M:$M,'ПП Декември'!AD2)</f>
        <v>0</v>
      </c>
      <c r="AE59" s="74">
        <f>SUMIFS(разходи!$L:$L,разходи!$E:$E,'ПП Декември'!$C$59,разходи!$M:$M,'ПП Декември'!AE2)</f>
        <v>0</v>
      </c>
      <c r="AF59" s="76">
        <f>SUMIFS(разходи!$L:$L,разходи!$E:$E,'ПП Декември'!$C$59,разходи!$M:$M,'ПП Декември'!AF2)</f>
        <v>0</v>
      </c>
      <c r="AG59" s="76">
        <f>SUMIFS(разходи!$L:$L,разходи!$E:$E,'ПП Декември'!$C$59,разходи!$M:$M,'ПП Декември'!AG2)</f>
        <v>0</v>
      </c>
      <c r="AH59" s="74">
        <f>SUMIFS(разходи!$L:$L,разходи!$E:$E,'ПП Декември'!$C$59,разходи!$M:$M,'ПП Декември'!AH2)</f>
        <v>0</v>
      </c>
      <c r="AI59" s="74">
        <f>SUMIFS(разходи!$L:$L,разходи!$E:$E,'ПП Декември'!$C$59,разходи!$M:$M,'ПП Декември'!AI2)</f>
        <v>0</v>
      </c>
      <c r="AJ59" s="61">
        <f t="shared" si="16"/>
        <v>0</v>
      </c>
      <c r="AK59" s="69">
        <f t="shared" si="3"/>
        <v>0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Декември'!$C$60,разходи!$M:$M,'ПП Декември'!E2)</f>
        <v>0</v>
      </c>
      <c r="F60" s="74">
        <f>SUMIFS(разходи!$L:$L,разходи!$E:$E,'ПП Декември'!$C$60,разходи!$M:$M,'ПП Декември'!F2)</f>
        <v>0</v>
      </c>
      <c r="G60" s="74">
        <f>SUMIFS(разходи!$L:$L,разходи!$E:$E,'ПП Декември'!$C$60,разходи!$M:$M,'ПП Декември'!G2)</f>
        <v>0</v>
      </c>
      <c r="H60" s="74">
        <f>SUMIFS(разходи!$L:$L,разходи!$E:$E,'ПП Декември'!$C$60,разходи!$M:$M,'ПП Декември'!H2)</f>
        <v>0</v>
      </c>
      <c r="I60" s="74">
        <f>SUMIFS(разходи!$L:$L,разходи!$E:$E,'ПП Декември'!$C$60,разходи!$M:$M,'ПП Декември'!I2)</f>
        <v>0</v>
      </c>
      <c r="J60" s="74">
        <f>SUMIFS(разходи!$L:$L,разходи!$E:$E,'ПП Декември'!$C$60,разходи!$M:$M,'ПП Декември'!J2)</f>
        <v>0</v>
      </c>
      <c r="K60" s="76">
        <f>SUMIFS(разходи!$L:$L,разходи!$E:$E,'ПП Декември'!$C$60,разходи!$M:$M,'ПП Декември'!K2)</f>
        <v>0</v>
      </c>
      <c r="L60" s="76">
        <f>SUMIFS(разходи!$L:$L,разходи!$E:$E,'ПП Декември'!$C$60,разходи!$M:$M,'ПП Декември'!L2)</f>
        <v>0</v>
      </c>
      <c r="M60" s="74">
        <f>SUMIFS(разходи!$L:$L,разходи!$E:$E,'ПП Декември'!$C$60,разходи!$M:$M,'ПП Декември'!M2)</f>
        <v>0</v>
      </c>
      <c r="N60" s="74">
        <f>SUMIFS(разходи!$L:$L,разходи!$E:$E,'ПП Декември'!$C$60,разходи!$M:$M,'ПП Декември'!N2)</f>
        <v>0</v>
      </c>
      <c r="O60" s="74">
        <f>SUMIFS(разходи!$L:$L,разходи!$E:$E,'ПП Декември'!$C$60,разходи!$M:$M,'ПП Декември'!O2)</f>
        <v>0</v>
      </c>
      <c r="P60" s="74">
        <f>SUMIFS(разходи!$L:$L,разходи!$E:$E,'ПП Декември'!$C$60,разходи!$M:$M,'ПП Декември'!P2)</f>
        <v>0</v>
      </c>
      <c r="Q60" s="74">
        <f>SUMIFS(разходи!$L:$L,разходи!$E:$E,'ПП Декември'!$C$60,разходи!$M:$M,'ПП Декември'!Q2)</f>
        <v>0</v>
      </c>
      <c r="R60" s="76">
        <f>SUMIFS(разходи!$L:$L,разходи!$E:$E,'ПП Декември'!$C$60,разходи!$M:$M,'ПП Декември'!R2)</f>
        <v>0</v>
      </c>
      <c r="S60" s="76">
        <f>SUMIFS(разходи!$L:$L,разходи!$E:$E,'ПП Декември'!$C$60,разходи!$M:$M,'ПП Декември'!S2)</f>
        <v>0</v>
      </c>
      <c r="T60" s="74">
        <f>SUMIFS(разходи!$L:$L,разходи!$E:$E,'ПП Декември'!$C$60,разходи!$M:$M,'ПП Декември'!T2)</f>
        <v>0</v>
      </c>
      <c r="U60" s="74">
        <f>SUMIFS(разходи!$L:$L,разходи!$E:$E,'ПП Декември'!$C$60,разходи!$M:$M,'ПП Декември'!U2)</f>
        <v>0</v>
      </c>
      <c r="V60" s="74">
        <f>SUMIFS(разходи!$L:$L,разходи!$E:$E,'ПП Декември'!$C$60,разходи!$M:$M,'ПП Декември'!V2)</f>
        <v>0</v>
      </c>
      <c r="W60" s="74">
        <f>SUMIFS(разходи!$L:$L,разходи!$E:$E,'ПП Декември'!$C$60,разходи!$M:$M,'ПП Декември'!W2)</f>
        <v>0</v>
      </c>
      <c r="X60" s="74">
        <f>SUMIFS(разходи!$L:$L,разходи!$E:$E,'ПП Декември'!$C$60,разходи!$M:$M,'ПП Декември'!X2)</f>
        <v>0</v>
      </c>
      <c r="Y60" s="76">
        <f>SUMIFS(разходи!$L:$L,разходи!$E:$E,'ПП Декември'!$C$60,разходи!$M:$M,'ПП Декември'!Y2)</f>
        <v>0</v>
      </c>
      <c r="Z60" s="76">
        <f>SUMIFS(разходи!$L:$L,разходи!$E:$E,'ПП Декември'!$C$60,разходи!$M:$M,'ПП Декември'!Z2)</f>
        <v>0</v>
      </c>
      <c r="AA60" s="74">
        <f>SUMIFS(разходи!$L:$L,разходи!$E:$E,'ПП Декември'!$C$60,разходи!$M:$M,'ПП Декември'!AA2)</f>
        <v>0</v>
      </c>
      <c r="AB60" s="76">
        <f>SUMIFS(разходи!$L:$L,разходи!$E:$E,'ПП Декември'!$C$60,разходи!$M:$M,'ПП Декември'!AB2)</f>
        <v>0</v>
      </c>
      <c r="AC60" s="76">
        <f>SUMIFS(разходи!$L:$L,разходи!$E:$E,'ПП Декември'!$C$60,разходи!$M:$M,'ПП Декември'!AC2)</f>
        <v>0</v>
      </c>
      <c r="AD60" s="76">
        <f>SUMIFS(разходи!$L:$L,разходи!$E:$E,'ПП Декември'!$C$60,разходи!$M:$M,'ПП Декември'!AD2)</f>
        <v>0</v>
      </c>
      <c r="AE60" s="74">
        <f>SUMIFS(разходи!$L:$L,разходи!$E:$E,'ПП Декември'!$C$60,разходи!$M:$M,'ПП Декември'!AE2)</f>
        <v>0</v>
      </c>
      <c r="AF60" s="76">
        <f>SUMIFS(разходи!$L:$L,разходи!$E:$E,'ПП Декември'!$C$60,разходи!$M:$M,'ПП Декември'!AF2)</f>
        <v>0</v>
      </c>
      <c r="AG60" s="76">
        <f>SUMIFS(разходи!$L:$L,разходи!$E:$E,'ПП Декември'!$C$60,разходи!$M:$M,'ПП Декември'!AG2)</f>
        <v>0</v>
      </c>
      <c r="AH60" s="74">
        <f>SUMIFS(разходи!$L:$L,разходи!$E:$E,'ПП Декември'!$C$60,разходи!$M:$M,'ПП Декември'!AH2)</f>
        <v>0</v>
      </c>
      <c r="AI60" s="74">
        <f>SUMIFS(разходи!$L:$L,разходи!$E:$E,'ПП Декември'!$C$60,разходи!$M:$M,'ПП Декември'!AI2)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Декември'!$C$61,разходи!$M:$M,'ПП Декември'!E2)</f>
        <v>0</v>
      </c>
      <c r="F61" s="74">
        <f>SUMIFS(разходи!$L:$L,разходи!$E:$E,'ПП Декември'!$C$61,разходи!$M:$M,'ПП Декември'!F2)</f>
        <v>0</v>
      </c>
      <c r="G61" s="74">
        <f>SUMIFS(разходи!$L:$L,разходи!$E:$E,'ПП Декември'!$C$61,разходи!$M:$M,'ПП Декември'!G2)</f>
        <v>0</v>
      </c>
      <c r="H61" s="74">
        <f>SUMIFS(разходи!$L:$L,разходи!$E:$E,'ПП Декември'!$C$61,разходи!$M:$M,'ПП Декември'!H2)</f>
        <v>0</v>
      </c>
      <c r="I61" s="74">
        <f>SUMIFS(разходи!$L:$L,разходи!$E:$E,'ПП Декември'!$C$61,разходи!$M:$M,'ПП Декември'!I2)</f>
        <v>0</v>
      </c>
      <c r="J61" s="74">
        <f>SUMIFS(разходи!$L:$L,разходи!$E:$E,'ПП Декември'!$C$61,разходи!$M:$M,'ПП Декември'!J2)</f>
        <v>0</v>
      </c>
      <c r="K61" s="76">
        <f>SUMIFS(разходи!$L:$L,разходи!$E:$E,'ПП Декември'!$C$61,разходи!$M:$M,'ПП Декември'!K2)</f>
        <v>0</v>
      </c>
      <c r="L61" s="76">
        <f>SUMIFS(разходи!$L:$L,разходи!$E:$E,'ПП Декември'!$C$61,разходи!$M:$M,'ПП Декември'!L2)</f>
        <v>0</v>
      </c>
      <c r="M61" s="74">
        <f>SUMIFS(разходи!$L:$L,разходи!$E:$E,'ПП Декември'!$C$61,разходи!$M:$M,'ПП Декември'!M2)</f>
        <v>0</v>
      </c>
      <c r="N61" s="74">
        <f>SUMIFS(разходи!$L:$L,разходи!$E:$E,'ПП Декември'!$C$61,разходи!$M:$M,'ПП Декември'!N2)</f>
        <v>0</v>
      </c>
      <c r="O61" s="74">
        <f>SUMIFS(разходи!$L:$L,разходи!$E:$E,'ПП Декември'!$C$61,разходи!$M:$M,'ПП Декември'!O2)</f>
        <v>0</v>
      </c>
      <c r="P61" s="74">
        <f>SUMIFS(разходи!$L:$L,разходи!$E:$E,'ПП Декември'!$C$61,разходи!$M:$M,'ПП Декември'!P2)</f>
        <v>0</v>
      </c>
      <c r="Q61" s="74">
        <f>SUMIFS(разходи!$L:$L,разходи!$E:$E,'ПП Декември'!$C$61,разходи!$M:$M,'ПП Декември'!Q2)</f>
        <v>0</v>
      </c>
      <c r="R61" s="76">
        <f>SUMIFS(разходи!$L:$L,разходи!$E:$E,'ПП Декември'!$C$61,разходи!$M:$M,'ПП Декември'!R2)</f>
        <v>0</v>
      </c>
      <c r="S61" s="76">
        <f>SUMIFS(разходи!$L:$L,разходи!$E:$E,'ПП Декември'!$C$61,разходи!$M:$M,'ПП Декември'!S2)</f>
        <v>0</v>
      </c>
      <c r="T61" s="74">
        <f>SUMIFS(разходи!$L:$L,разходи!$E:$E,'ПП Декември'!$C$61,разходи!$M:$M,'ПП Декември'!T2)</f>
        <v>0</v>
      </c>
      <c r="U61" s="74">
        <f>SUMIFS(разходи!$L:$L,разходи!$E:$E,'ПП Декември'!$C$61,разходи!$M:$M,'ПП Декември'!U2)</f>
        <v>0</v>
      </c>
      <c r="V61" s="74">
        <f>SUMIFS(разходи!$L:$L,разходи!$E:$E,'ПП Декември'!$C$61,разходи!$M:$M,'ПП Декември'!V2)</f>
        <v>0</v>
      </c>
      <c r="W61" s="74">
        <f>SUMIFS(разходи!$L:$L,разходи!$E:$E,'ПП Декември'!$C$61,разходи!$M:$M,'ПП Декември'!W2)</f>
        <v>0</v>
      </c>
      <c r="X61" s="74">
        <f>SUMIFS(разходи!$L:$L,разходи!$E:$E,'ПП Декември'!$C$61,разходи!$M:$M,'ПП Декември'!X2)</f>
        <v>0</v>
      </c>
      <c r="Y61" s="76">
        <f>SUMIFS(разходи!$L:$L,разходи!$E:$E,'ПП Декември'!$C$61,разходи!$M:$M,'ПП Декември'!Y2)</f>
        <v>0</v>
      </c>
      <c r="Z61" s="76">
        <f>SUMIFS(разходи!$L:$L,разходи!$E:$E,'ПП Декември'!$C$61,разходи!$M:$M,'ПП Декември'!Z2)</f>
        <v>0</v>
      </c>
      <c r="AA61" s="74">
        <f>SUMIFS(разходи!$L:$L,разходи!$E:$E,'ПП Декември'!$C$61,разходи!$M:$M,'ПП Декември'!AA2)</f>
        <v>0</v>
      </c>
      <c r="AB61" s="76">
        <f>SUMIFS(разходи!$L:$L,разходи!$E:$E,'ПП Декември'!$C$61,разходи!$M:$M,'ПП Декември'!AB2)</f>
        <v>0</v>
      </c>
      <c r="AC61" s="76">
        <f>SUMIFS(разходи!$L:$L,разходи!$E:$E,'ПП Декември'!$C$61,разходи!$M:$M,'ПП Декември'!AC2)</f>
        <v>0</v>
      </c>
      <c r="AD61" s="76">
        <f>SUMIFS(разходи!$L:$L,разходи!$E:$E,'ПП Декември'!$C$61,разходи!$M:$M,'ПП Декември'!AD2)</f>
        <v>0</v>
      </c>
      <c r="AE61" s="74">
        <f>SUMIFS(разходи!$L:$L,разходи!$E:$E,'ПП Декември'!$C$61,разходи!$M:$M,'ПП Декември'!AE2)</f>
        <v>0</v>
      </c>
      <c r="AF61" s="76">
        <f>SUMIFS(разходи!$L:$L,разходи!$E:$E,'ПП Декември'!$C$61,разходи!$M:$M,'ПП Декември'!AF2)</f>
        <v>0</v>
      </c>
      <c r="AG61" s="76">
        <f>SUMIFS(разходи!$L:$L,разходи!$E:$E,'ПП Декември'!$C$61,разходи!$M:$M,'ПП Декември'!AG2)</f>
        <v>0</v>
      </c>
      <c r="AH61" s="74">
        <f>SUMIFS(разходи!$L:$L,разходи!$E:$E,'ПП Декември'!$C$61,разходи!$M:$M,'ПП Декември'!AH2)</f>
        <v>0</v>
      </c>
      <c r="AI61" s="74">
        <f>SUMIFS(разходи!$L:$L,разходи!$E:$E,'ПП Декември'!$C$61,разходи!$M:$M,'ПП Декември'!AI2)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80"/>
      <c r="E62" s="76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4">
        <f t="shared" si="22"/>
        <v>0</v>
      </c>
      <c r="K62" s="76">
        <f t="shared" si="22"/>
        <v>0</v>
      </c>
      <c r="L62" s="76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4">
        <f t="shared" si="22"/>
        <v>0</v>
      </c>
      <c r="R62" s="76">
        <f t="shared" si="22"/>
        <v>0</v>
      </c>
      <c r="S62" s="76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4">
        <f t="shared" si="22"/>
        <v>0</v>
      </c>
      <c r="Y62" s="76">
        <f t="shared" si="22"/>
        <v>0</v>
      </c>
      <c r="Z62" s="76">
        <f t="shared" si="22"/>
        <v>0</v>
      </c>
      <c r="AA62" s="74">
        <f t="shared" si="22"/>
        <v>0</v>
      </c>
      <c r="AB62" s="76">
        <f t="shared" si="22"/>
        <v>0</v>
      </c>
      <c r="AC62" s="76">
        <f t="shared" si="22"/>
        <v>0</v>
      </c>
      <c r="AD62" s="76">
        <f t="shared" si="22"/>
        <v>0</v>
      </c>
      <c r="AE62" s="74">
        <f t="shared" si="22"/>
        <v>0</v>
      </c>
      <c r="AF62" s="76">
        <f t="shared" si="22"/>
        <v>0</v>
      </c>
      <c r="AG62" s="76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0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/>
      <c r="E63" s="76">
        <f>SUMIFS(разходи!$L:$L,разходи!$E:$E,'ПП Декември'!$C$63,разходи!$M:$M,'ПП Декември'!E2)</f>
        <v>0</v>
      </c>
      <c r="F63" s="74">
        <f>SUMIFS(разходи!$L:$L,разходи!$E:$E,'ПП Декември'!$C$63,разходи!$M:$M,'ПП Декември'!F2)</f>
        <v>0</v>
      </c>
      <c r="G63" s="74">
        <f>SUMIFS(разходи!$L:$L,разходи!$E:$E,'ПП Декември'!$C$63,разходи!$M:$M,'ПП Декември'!G2)</f>
        <v>0</v>
      </c>
      <c r="H63" s="74">
        <f>SUMIFS(разходи!$L:$L,разходи!$E:$E,'ПП Декември'!$C$63,разходи!$M:$M,'ПП Декември'!H2)</f>
        <v>0</v>
      </c>
      <c r="I63" s="74">
        <f>SUMIFS(разходи!$L:$L,разходи!$E:$E,'ПП Декември'!$C$63,разходи!$M:$M,'ПП Декември'!I2)</f>
        <v>0</v>
      </c>
      <c r="J63" s="74">
        <f>SUMIFS(разходи!$L:$L,разходи!$E:$E,'ПП Декември'!$C$63,разходи!$M:$M,'ПП Декември'!J2)</f>
        <v>0</v>
      </c>
      <c r="K63" s="76">
        <f>SUMIFS(разходи!$L:$L,разходи!$E:$E,'ПП Декември'!$C$63,разходи!$M:$M,'ПП Декември'!K2)</f>
        <v>0</v>
      </c>
      <c r="L63" s="76">
        <f>SUMIFS(разходи!$L:$L,разходи!$E:$E,'ПП Декември'!$C$63,разходи!$M:$M,'ПП Декември'!L2)</f>
        <v>0</v>
      </c>
      <c r="M63" s="74">
        <f>SUMIFS(разходи!$L:$L,разходи!$E:$E,'ПП Декември'!$C$63,разходи!$M:$M,'ПП Декември'!M2)</f>
        <v>0</v>
      </c>
      <c r="N63" s="74">
        <f>SUMIFS(разходи!$L:$L,разходи!$E:$E,'ПП Декември'!$C$63,разходи!$M:$M,'ПП Декември'!N2)</f>
        <v>0</v>
      </c>
      <c r="O63" s="74">
        <f>SUMIFS(разходи!$L:$L,разходи!$E:$E,'ПП Декември'!$C$63,разходи!$M:$M,'ПП Декември'!O2)</f>
        <v>0</v>
      </c>
      <c r="P63" s="74">
        <f>SUMIFS(разходи!$L:$L,разходи!$E:$E,'ПП Декември'!$C$63,разходи!$M:$M,'ПП Декември'!P2)</f>
        <v>0</v>
      </c>
      <c r="Q63" s="74">
        <f>SUMIFS(разходи!$L:$L,разходи!$E:$E,'ПП Декември'!$C$63,разходи!$M:$M,'ПП Декември'!Q2)</f>
        <v>0</v>
      </c>
      <c r="R63" s="76">
        <f>SUMIFS(разходи!$L:$L,разходи!$E:$E,'ПП Декември'!$C$63,разходи!$M:$M,'ПП Декември'!R2)</f>
        <v>0</v>
      </c>
      <c r="S63" s="76">
        <f>SUMIFS(разходи!$L:$L,разходи!$E:$E,'ПП Декември'!$C$63,разходи!$M:$M,'ПП Декември'!S2)</f>
        <v>0</v>
      </c>
      <c r="T63" s="74">
        <f>SUMIFS(разходи!$L:$L,разходи!$E:$E,'ПП Декември'!$C$63,разходи!$M:$M,'ПП Декември'!T2)</f>
        <v>0</v>
      </c>
      <c r="U63" s="74">
        <f>SUMIFS(разходи!$L:$L,разходи!$E:$E,'ПП Декември'!$C$63,разходи!$M:$M,'ПП Декември'!U2)</f>
        <v>0</v>
      </c>
      <c r="V63" s="74">
        <f>SUMIFS(разходи!$L:$L,разходи!$E:$E,'ПП Декември'!$C$63,разходи!$M:$M,'ПП Декември'!V2)</f>
        <v>0</v>
      </c>
      <c r="W63" s="74">
        <f>SUMIFS(разходи!$L:$L,разходи!$E:$E,'ПП Декември'!$C$63,разходи!$M:$M,'ПП Декември'!W2)</f>
        <v>0</v>
      </c>
      <c r="X63" s="74">
        <f>SUMIFS(разходи!$L:$L,разходи!$E:$E,'ПП Декември'!$C$63,разходи!$M:$M,'ПП Декември'!X2)</f>
        <v>0</v>
      </c>
      <c r="Y63" s="76">
        <f>SUMIFS(разходи!$L:$L,разходи!$E:$E,'ПП Декември'!$C$63,разходи!$M:$M,'ПП Декември'!Y2)</f>
        <v>0</v>
      </c>
      <c r="Z63" s="76">
        <f>SUMIFS(разходи!$L:$L,разходи!$E:$E,'ПП Декември'!$C$63,разходи!$M:$M,'ПП Декември'!Z2)</f>
        <v>0</v>
      </c>
      <c r="AA63" s="74">
        <f>SUMIFS(разходи!$L:$L,разходи!$E:$E,'ПП Декември'!$C$63,разходи!$M:$M,'ПП Декември'!AA2)</f>
        <v>0</v>
      </c>
      <c r="AB63" s="76">
        <f>SUMIFS(разходи!$L:$L,разходи!$E:$E,'ПП Декември'!$C$63,разходи!$M:$M,'ПП Декември'!AB2)</f>
        <v>0</v>
      </c>
      <c r="AC63" s="76">
        <f>SUMIFS(разходи!$L:$L,разходи!$E:$E,'ПП Декември'!$C$63,разходи!$M:$M,'ПП Декември'!AC2)</f>
        <v>0</v>
      </c>
      <c r="AD63" s="76">
        <f>SUMIFS(разходи!$L:$L,разходи!$E:$E,'ПП Декември'!$C$63,разходи!$M:$M,'ПП Декември'!AD2)</f>
        <v>0</v>
      </c>
      <c r="AE63" s="74">
        <f>SUMIFS(разходи!$L:$L,разходи!$E:$E,'ПП Декември'!$C$63,разходи!$M:$M,'ПП Декември'!AE2)</f>
        <v>0</v>
      </c>
      <c r="AF63" s="76">
        <f>SUMIFS(разходи!$L:$L,разходи!$E:$E,'ПП Декември'!$C$63,разходи!$M:$M,'ПП Декември'!AF2)</f>
        <v>0</v>
      </c>
      <c r="AG63" s="76">
        <f>SUMIFS(разходи!$L:$L,разходи!$E:$E,'ПП Декември'!$C$63,разходи!$M:$M,'ПП Декември'!AG2)</f>
        <v>0</v>
      </c>
      <c r="AH63" s="74">
        <f>SUMIFS(разходи!$L:$L,разходи!$E:$E,'ПП Декември'!$C$63,разходи!$M:$M,'ПП Декември'!AH2)</f>
        <v>0</v>
      </c>
      <c r="AI63" s="74">
        <f>SUMIFS(разходи!$L:$L,разходи!$E:$E,'ПП Декември'!$C$63,разходи!$M:$M,'ПП Декември'!AI2)</f>
        <v>0</v>
      </c>
      <c r="AJ63" s="61">
        <f t="shared" si="16"/>
        <v>0</v>
      </c>
      <c r="AK63" s="69">
        <f t="shared" si="3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6">
        <f>SUMIFS(разходи!$L:$L,разходи!$E:$E,'ПП Декември'!$C$64,разходи!$M:$M,'ПП Декември'!E2)</f>
        <v>0</v>
      </c>
      <c r="F64" s="74">
        <f>SUMIFS(разходи!$L:$L,разходи!$E:$E,'ПП Декември'!$C$64,разходи!$M:$M,'ПП Декември'!F2)</f>
        <v>0</v>
      </c>
      <c r="G64" s="74">
        <f>SUMIFS(разходи!$L:$L,разходи!$E:$E,'ПП Декември'!$C$64,разходи!$M:$M,'ПП Декември'!G2)</f>
        <v>0</v>
      </c>
      <c r="H64" s="74">
        <f>SUMIFS(разходи!$L:$L,разходи!$E:$E,'ПП Декември'!$C$64,разходи!$M:$M,'ПП Декември'!H2)</f>
        <v>0</v>
      </c>
      <c r="I64" s="74">
        <f>SUMIFS(разходи!$L:$L,разходи!$E:$E,'ПП Декември'!$C$64,разходи!$M:$M,'ПП Декември'!I2)</f>
        <v>0</v>
      </c>
      <c r="J64" s="74">
        <f>SUMIFS(разходи!$L:$L,разходи!$E:$E,'ПП Декември'!$C$64,разходи!$M:$M,'ПП Декември'!J2)</f>
        <v>0</v>
      </c>
      <c r="K64" s="76">
        <f>SUMIFS(разходи!$L:$L,разходи!$E:$E,'ПП Декември'!$C$64,разходи!$M:$M,'ПП Декември'!K2)</f>
        <v>0</v>
      </c>
      <c r="L64" s="76">
        <f>SUMIFS(разходи!$L:$L,разходи!$E:$E,'ПП Декември'!$C$64,разходи!$M:$M,'ПП Декември'!L2)</f>
        <v>0</v>
      </c>
      <c r="M64" s="74">
        <f>SUMIFS(разходи!$L:$L,разходи!$E:$E,'ПП Декември'!$C$64,разходи!$M:$M,'ПП Декември'!M2)</f>
        <v>0</v>
      </c>
      <c r="N64" s="74">
        <f>SUMIFS(разходи!$L:$L,разходи!$E:$E,'ПП Декември'!$C$64,разходи!$M:$M,'ПП Декември'!N2)</f>
        <v>0</v>
      </c>
      <c r="O64" s="74">
        <f>SUMIFS(разходи!$L:$L,разходи!$E:$E,'ПП Декември'!$C$64,разходи!$M:$M,'ПП Декември'!O2)</f>
        <v>0</v>
      </c>
      <c r="P64" s="74">
        <f>SUMIFS(разходи!$L:$L,разходи!$E:$E,'ПП Декември'!$C$64,разходи!$M:$M,'ПП Декември'!P2)</f>
        <v>0</v>
      </c>
      <c r="Q64" s="74">
        <f>SUMIFS(разходи!$L:$L,разходи!$E:$E,'ПП Декември'!$C$64,разходи!$M:$M,'ПП Декември'!Q2)</f>
        <v>0</v>
      </c>
      <c r="R64" s="76">
        <f>SUMIFS(разходи!$L:$L,разходи!$E:$E,'ПП Декември'!$C$64,разходи!$M:$M,'ПП Декември'!R2)</f>
        <v>0</v>
      </c>
      <c r="S64" s="76">
        <f>SUMIFS(разходи!$L:$L,разходи!$E:$E,'ПП Декември'!$C$64,разходи!$M:$M,'ПП Декември'!S2)</f>
        <v>0</v>
      </c>
      <c r="T64" s="74">
        <f>SUMIFS(разходи!$L:$L,разходи!$E:$E,'ПП Декември'!$C$64,разходи!$M:$M,'ПП Декември'!T2)</f>
        <v>0</v>
      </c>
      <c r="U64" s="74">
        <f>SUMIFS(разходи!$L:$L,разходи!$E:$E,'ПП Декември'!$C$64,разходи!$M:$M,'ПП Декември'!U2)</f>
        <v>0</v>
      </c>
      <c r="V64" s="74">
        <f>SUMIFS(разходи!$L:$L,разходи!$E:$E,'ПП Декември'!$C$64,разходи!$M:$M,'ПП Декември'!V2)</f>
        <v>0</v>
      </c>
      <c r="W64" s="74">
        <f>SUMIFS(разходи!$L:$L,разходи!$E:$E,'ПП Декември'!$C$64,разходи!$M:$M,'ПП Декември'!W2)</f>
        <v>0</v>
      </c>
      <c r="X64" s="74">
        <f>SUMIFS(разходи!$L:$L,разходи!$E:$E,'ПП Декември'!$C$64,разходи!$M:$M,'ПП Декември'!X2)</f>
        <v>0</v>
      </c>
      <c r="Y64" s="76">
        <f>SUMIFS(разходи!$L:$L,разходи!$E:$E,'ПП Декември'!$C$64,разходи!$M:$M,'ПП Декември'!Y2)</f>
        <v>0</v>
      </c>
      <c r="Z64" s="76">
        <f>SUMIFS(разходи!$L:$L,разходи!$E:$E,'ПП Декември'!$C$64,разходи!$M:$M,'ПП Декември'!Z2)</f>
        <v>0</v>
      </c>
      <c r="AA64" s="74">
        <f>SUMIFS(разходи!$L:$L,разходи!$E:$E,'ПП Декември'!$C$64,разходи!$M:$M,'ПП Декември'!AA2)</f>
        <v>0</v>
      </c>
      <c r="AB64" s="76">
        <f>SUMIFS(разходи!$L:$L,разходи!$E:$E,'ПП Декември'!$C$64,разходи!$M:$M,'ПП Декември'!AB2)</f>
        <v>0</v>
      </c>
      <c r="AC64" s="76">
        <f>SUMIFS(разходи!$L:$L,разходи!$E:$E,'ПП Декември'!$C$64,разходи!$M:$M,'ПП Декември'!AC2)</f>
        <v>0</v>
      </c>
      <c r="AD64" s="76">
        <f>SUMIFS(разходи!$L:$L,разходи!$E:$E,'ПП Декември'!$C$64,разходи!$M:$M,'ПП Декември'!AD2)</f>
        <v>0</v>
      </c>
      <c r="AE64" s="74">
        <f>SUMIFS(разходи!$L:$L,разходи!$E:$E,'ПП Декември'!$C$64,разходи!$M:$M,'ПП Декември'!AE2)</f>
        <v>0</v>
      </c>
      <c r="AF64" s="76">
        <f>SUMIFS(разходи!$L:$L,разходи!$E:$E,'ПП Декември'!$C$64,разходи!$M:$M,'ПП Декември'!AF2)</f>
        <v>0</v>
      </c>
      <c r="AG64" s="76">
        <f>SUMIFS(разходи!$L:$L,разходи!$E:$E,'ПП Декември'!$C$64,разходи!$M:$M,'ПП Декември'!AG2)</f>
        <v>0</v>
      </c>
      <c r="AH64" s="74">
        <f>SUMIFS(разходи!$L:$L,разходи!$E:$E,'ПП Декември'!$C$64,разходи!$M:$M,'ПП Декември'!AH2)</f>
        <v>0</v>
      </c>
      <c r="AI64" s="74">
        <f>SUMIFS(разходи!$L:$L,разходи!$E:$E,'ПП Декември'!$C$64,разходи!$M:$M,'ПП Декември'!AI2)</f>
        <v>0</v>
      </c>
      <c r="AJ64" s="61">
        <f t="shared" si="16"/>
        <v>0</v>
      </c>
      <c r="AK64" s="69">
        <f t="shared" si="3"/>
        <v>0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Декември'!$C$65,разходи!$M:$M,'ПП Декември'!E2)</f>
        <v>0</v>
      </c>
      <c r="F65" s="74">
        <f>SUMIFS(разходи!$L:$L,разходи!$E:$E,'ПП Декември'!$C$65,разходи!$M:$M,'ПП Декември'!F2)</f>
        <v>0</v>
      </c>
      <c r="G65" s="74">
        <f>SUMIFS(разходи!$L:$L,разходи!$E:$E,'ПП Декември'!$C$65,разходи!$M:$M,'ПП Декември'!G2)</f>
        <v>0</v>
      </c>
      <c r="H65" s="74">
        <f>SUMIFS(разходи!$L:$L,разходи!$E:$E,'ПП Декември'!$C$65,разходи!$M:$M,'ПП Декември'!H2)</f>
        <v>0</v>
      </c>
      <c r="I65" s="74">
        <f>SUMIFS(разходи!$L:$L,разходи!$E:$E,'ПП Декември'!$C$65,разходи!$M:$M,'ПП Декември'!I2)</f>
        <v>0</v>
      </c>
      <c r="J65" s="74">
        <f>SUMIFS(разходи!$L:$L,разходи!$E:$E,'ПП Декември'!$C$65,разходи!$M:$M,'ПП Декември'!J2)</f>
        <v>0</v>
      </c>
      <c r="K65" s="76">
        <f>SUMIFS(разходи!$L:$L,разходи!$E:$E,'ПП Декември'!$C$65,разходи!$M:$M,'ПП Декември'!K2)</f>
        <v>0</v>
      </c>
      <c r="L65" s="76">
        <f>SUMIFS(разходи!$L:$L,разходи!$E:$E,'ПП Декември'!$C$65,разходи!$M:$M,'ПП Декември'!L2)</f>
        <v>0</v>
      </c>
      <c r="M65" s="74">
        <f>SUMIFS(разходи!$L:$L,разходи!$E:$E,'ПП Декември'!$C$65,разходи!$M:$M,'ПП Декември'!M2)</f>
        <v>0</v>
      </c>
      <c r="N65" s="74">
        <f>SUMIFS(разходи!$L:$L,разходи!$E:$E,'ПП Декември'!$C$65,разходи!$M:$M,'ПП Декември'!N2)</f>
        <v>0</v>
      </c>
      <c r="O65" s="74">
        <f>SUMIFS(разходи!$L:$L,разходи!$E:$E,'ПП Декември'!$C$65,разходи!$M:$M,'ПП Декември'!O2)</f>
        <v>0</v>
      </c>
      <c r="P65" s="74">
        <f>SUMIFS(разходи!$L:$L,разходи!$E:$E,'ПП Декември'!$C$65,разходи!$M:$M,'ПП Декември'!P2)</f>
        <v>0</v>
      </c>
      <c r="Q65" s="74">
        <f>SUMIFS(разходи!$L:$L,разходи!$E:$E,'ПП Декември'!$C$65,разходи!$M:$M,'ПП Декември'!Q2)</f>
        <v>0</v>
      </c>
      <c r="R65" s="76">
        <f>SUMIFS(разходи!$L:$L,разходи!$E:$E,'ПП Декември'!$C$65,разходи!$M:$M,'ПП Декември'!R2)</f>
        <v>0</v>
      </c>
      <c r="S65" s="76">
        <f>SUMIFS(разходи!$L:$L,разходи!$E:$E,'ПП Декември'!$C$65,разходи!$M:$M,'ПП Декември'!S2)</f>
        <v>0</v>
      </c>
      <c r="T65" s="74">
        <f>SUMIFS(разходи!$L:$L,разходи!$E:$E,'ПП Декември'!$C$65,разходи!$M:$M,'ПП Декември'!T2)</f>
        <v>0</v>
      </c>
      <c r="U65" s="74">
        <f>SUMIFS(разходи!$L:$L,разходи!$E:$E,'ПП Декември'!$C$65,разходи!$M:$M,'ПП Декември'!U2)</f>
        <v>0</v>
      </c>
      <c r="V65" s="74">
        <f>SUMIFS(разходи!$L:$L,разходи!$E:$E,'ПП Декември'!$C$65,разходи!$M:$M,'ПП Декември'!V2)</f>
        <v>0</v>
      </c>
      <c r="W65" s="74">
        <f>SUMIFS(разходи!$L:$L,разходи!$E:$E,'ПП Декември'!$C$65,разходи!$M:$M,'ПП Декември'!W2)</f>
        <v>0</v>
      </c>
      <c r="X65" s="74">
        <f>SUMIFS(разходи!$L:$L,разходи!$E:$E,'ПП Декември'!$C$65,разходи!$M:$M,'ПП Декември'!X2)</f>
        <v>0</v>
      </c>
      <c r="Y65" s="76">
        <f>SUMIFS(разходи!$L:$L,разходи!$E:$E,'ПП Декември'!$C$65,разходи!$M:$M,'ПП Декември'!Y2)</f>
        <v>0</v>
      </c>
      <c r="Z65" s="76">
        <f>SUMIFS(разходи!$L:$L,разходи!$E:$E,'ПП Декември'!$C$65,разходи!$M:$M,'ПП Декември'!Z2)</f>
        <v>0</v>
      </c>
      <c r="AA65" s="74">
        <f>SUMIFS(разходи!$L:$L,разходи!$E:$E,'ПП Декември'!$C$65,разходи!$M:$M,'ПП Декември'!AA2)</f>
        <v>0</v>
      </c>
      <c r="AB65" s="76">
        <f>SUMIFS(разходи!$L:$L,разходи!$E:$E,'ПП Декември'!$C$65,разходи!$M:$M,'ПП Декември'!AB2)</f>
        <v>0</v>
      </c>
      <c r="AC65" s="76">
        <f>SUMIFS(разходи!$L:$L,разходи!$E:$E,'ПП Декември'!$C$65,разходи!$M:$M,'ПП Декември'!AC2)</f>
        <v>0</v>
      </c>
      <c r="AD65" s="76">
        <f>SUMIFS(разходи!$L:$L,разходи!$E:$E,'ПП Декември'!$C$65,разходи!$M:$M,'ПП Декември'!AD2)</f>
        <v>0</v>
      </c>
      <c r="AE65" s="74">
        <f>SUMIFS(разходи!$L:$L,разходи!$E:$E,'ПП Декември'!$C$65,разходи!$M:$M,'ПП Декември'!AE2)</f>
        <v>0</v>
      </c>
      <c r="AF65" s="76">
        <f>SUMIFS(разходи!$L:$L,разходи!$E:$E,'ПП Декември'!$C$65,разходи!$M:$M,'ПП Декември'!AF2)</f>
        <v>0</v>
      </c>
      <c r="AG65" s="76">
        <f>SUMIFS(разходи!$L:$L,разходи!$E:$E,'ПП Декември'!$C$65,разходи!$M:$M,'ПП Декември'!AG2)</f>
        <v>0</v>
      </c>
      <c r="AH65" s="74">
        <f>SUMIFS(разходи!$L:$L,разходи!$E:$E,'ПП Декември'!$C$65,разходи!$M:$M,'ПП Декември'!AH2)</f>
        <v>0</v>
      </c>
      <c r="AI65" s="74">
        <f>SUMIFS(разходи!$L:$L,разходи!$E:$E,'ПП Декември'!$C$65,разходи!$M:$M,'ПП Декември'!AI2)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3">D3-D23</f>
        <v>0</v>
      </c>
      <c r="E66" s="54">
        <f t="shared" si="23"/>
        <v>0</v>
      </c>
      <c r="F66" s="54">
        <f t="shared" si="23"/>
        <v>0</v>
      </c>
      <c r="G66" s="54">
        <f t="shared" si="23"/>
        <v>0</v>
      </c>
      <c r="H66" s="54">
        <f t="shared" si="23"/>
        <v>0</v>
      </c>
      <c r="I66" s="54">
        <f t="shared" si="23"/>
        <v>0</v>
      </c>
      <c r="J66" s="54">
        <f t="shared" si="23"/>
        <v>0</v>
      </c>
      <c r="K66" s="54">
        <f t="shared" si="23"/>
        <v>0</v>
      </c>
      <c r="L66" s="54">
        <f t="shared" si="23"/>
        <v>0</v>
      </c>
      <c r="M66" s="54">
        <f t="shared" si="23"/>
        <v>0</v>
      </c>
      <c r="N66" s="54">
        <f t="shared" si="23"/>
        <v>0</v>
      </c>
      <c r="O66" s="54">
        <f t="shared" si="23"/>
        <v>0</v>
      </c>
      <c r="P66" s="54">
        <f t="shared" si="23"/>
        <v>0</v>
      </c>
      <c r="Q66" s="54">
        <f t="shared" si="23"/>
        <v>0</v>
      </c>
      <c r="R66" s="54">
        <f t="shared" si="23"/>
        <v>0</v>
      </c>
      <c r="S66" s="54">
        <f t="shared" si="23"/>
        <v>0</v>
      </c>
      <c r="T66" s="54">
        <f t="shared" si="23"/>
        <v>0</v>
      </c>
      <c r="U66" s="54">
        <f t="shared" si="23"/>
        <v>0</v>
      </c>
      <c r="V66" s="54">
        <f t="shared" si="23"/>
        <v>0</v>
      </c>
      <c r="W66" s="54">
        <f t="shared" si="23"/>
        <v>0</v>
      </c>
      <c r="X66" s="54">
        <f t="shared" si="23"/>
        <v>0</v>
      </c>
      <c r="Y66" s="54">
        <f t="shared" si="23"/>
        <v>0</v>
      </c>
      <c r="Z66" s="54">
        <f t="shared" si="23"/>
        <v>0</v>
      </c>
      <c r="AA66" s="54">
        <f t="shared" si="23"/>
        <v>0</v>
      </c>
      <c r="AB66" s="54">
        <f t="shared" si="23"/>
        <v>0</v>
      </c>
      <c r="AC66" s="54">
        <f t="shared" si="23"/>
        <v>0</v>
      </c>
      <c r="AD66" s="54">
        <f t="shared" si="23"/>
        <v>0</v>
      </c>
      <c r="AE66" s="54">
        <f t="shared" si="23"/>
        <v>0</v>
      </c>
      <c r="AF66" s="54">
        <f t="shared" si="23"/>
        <v>0</v>
      </c>
      <c r="AG66" s="54">
        <f t="shared" si="23"/>
        <v>0</v>
      </c>
      <c r="AH66" s="54">
        <f t="shared" si="23"/>
        <v>0</v>
      </c>
      <c r="AI66" s="54">
        <f t="shared" si="23"/>
        <v>0</v>
      </c>
      <c r="AJ66" s="54">
        <f t="shared" si="16"/>
        <v>0</v>
      </c>
      <c r="AK66" s="54">
        <f t="shared" si="3"/>
        <v>0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1B27-17D1-4419-A8BD-4C790DF6AE28}">
  <sheetPr>
    <tabColor theme="7" tint="0.79998168889431442"/>
  </sheetPr>
  <dimension ref="A1:P67"/>
  <sheetViews>
    <sheetView zoomScale="70" zoomScaleNormal="7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E38" sqref="E38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16" width="19.5703125" style="14" customWidth="1"/>
    <col min="17" max="16384" width="8.85546875" style="14"/>
  </cols>
  <sheetData>
    <row r="1" spans="1:16" x14ac:dyDescent="0.25">
      <c r="A1" s="11"/>
      <c r="B1" s="11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25">
      <c r="A2" s="15"/>
      <c r="B2" s="16"/>
      <c r="C2" s="17" t="s">
        <v>842</v>
      </c>
      <c r="D2" s="81" t="s">
        <v>1192</v>
      </c>
      <c r="E2" s="81" t="s">
        <v>1193</v>
      </c>
      <c r="F2" s="81" t="s">
        <v>1194</v>
      </c>
      <c r="G2" s="81" t="s">
        <v>1195</v>
      </c>
      <c r="H2" s="81" t="s">
        <v>1196</v>
      </c>
      <c r="I2" s="81" t="s">
        <v>1197</v>
      </c>
      <c r="J2" s="81" t="s">
        <v>1198</v>
      </c>
      <c r="K2" s="81" t="s">
        <v>1199</v>
      </c>
      <c r="L2" s="81" t="s">
        <v>1200</v>
      </c>
      <c r="M2" s="81" t="s">
        <v>1201</v>
      </c>
      <c r="N2" s="81" t="s">
        <v>1202</v>
      </c>
      <c r="O2" s="81" t="s">
        <v>1203</v>
      </c>
      <c r="P2" s="81" t="s">
        <v>1204</v>
      </c>
    </row>
    <row r="3" spans="1:1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P3" si="0">SUM(D4,D11)</f>
        <v>9153373.4900000002</v>
      </c>
      <c r="E3" s="54">
        <f t="shared" si="0"/>
        <v>15452841.159999998</v>
      </c>
      <c r="F3" s="54">
        <f t="shared" si="0"/>
        <v>9638396.6560000014</v>
      </c>
      <c r="G3" s="54">
        <f t="shared" si="0"/>
        <v>4167477.0279999999</v>
      </c>
      <c r="H3" s="54">
        <f t="shared" si="0"/>
        <v>2634200.3640000001</v>
      </c>
      <c r="I3" s="54">
        <f t="shared" si="0"/>
        <v>6031361.1410727892</v>
      </c>
      <c r="J3" s="54">
        <f t="shared" si="0"/>
        <v>2009461.308</v>
      </c>
      <c r="K3" s="54">
        <f t="shared" si="0"/>
        <v>58405.067999999999</v>
      </c>
      <c r="L3" s="54">
        <f t="shared" si="0"/>
        <v>1680571.3579999998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50826087.573072784</v>
      </c>
    </row>
    <row r="4" spans="1:16" s="4" customFormat="1" ht="20.100000000000001" customHeight="1" x14ac:dyDescent="0.3">
      <c r="B4" s="5" t="s">
        <v>848</v>
      </c>
      <c r="C4" s="6" t="s">
        <v>849</v>
      </c>
      <c r="D4" s="73">
        <f>SUM(D5,D9,D10)</f>
        <v>8817861</v>
      </c>
      <c r="E4" s="73">
        <f>SUM(E5,E9,E10)</f>
        <v>13953249.049999999</v>
      </c>
      <c r="F4" s="73">
        <f>SUM(F5,F9,F10)</f>
        <v>8890050.6520000007</v>
      </c>
      <c r="G4" s="73">
        <f>+G5+G9+G10</f>
        <v>3868798.5079999999</v>
      </c>
      <c r="H4" s="73">
        <f t="shared" ref="H4:P4" si="1">SUM(H5,H9,H10)</f>
        <v>2490555.0840000003</v>
      </c>
      <c r="I4" s="73">
        <f t="shared" si="1"/>
        <v>6030620.4890727894</v>
      </c>
      <c r="J4" s="73">
        <f t="shared" si="1"/>
        <v>2005898.7120000001</v>
      </c>
      <c r="K4" s="73">
        <f t="shared" si="1"/>
        <v>57303.767999999996</v>
      </c>
      <c r="L4" s="73">
        <f t="shared" si="1"/>
        <v>1678639.4299999997</v>
      </c>
      <c r="M4" s="73">
        <f t="shared" si="1"/>
        <v>0</v>
      </c>
      <c r="N4" s="73">
        <f t="shared" si="1"/>
        <v>0</v>
      </c>
      <c r="O4" s="73">
        <f t="shared" si="1"/>
        <v>0</v>
      </c>
      <c r="P4" s="73">
        <f t="shared" si="1"/>
        <v>47792976.693072781</v>
      </c>
    </row>
    <row r="5" spans="1:16" s="4" customFormat="1" ht="20.100000000000001" customHeight="1" x14ac:dyDescent="0.3">
      <c r="B5" s="7">
        <v>1</v>
      </c>
      <c r="C5" s="8" t="s">
        <v>850</v>
      </c>
      <c r="D5" s="74">
        <f t="shared" ref="D5" si="2">SUM(D6:D8)</f>
        <v>8776114.5600000005</v>
      </c>
      <c r="E5" s="74">
        <f>SUM(E6:E8)</f>
        <v>13858874.939999999</v>
      </c>
      <c r="F5" s="74">
        <f>SUM(F6:F8)</f>
        <v>8871638</v>
      </c>
      <c r="G5" s="74">
        <f>+G6+G7+G8</f>
        <v>3771901.5920000002</v>
      </c>
      <c r="H5" s="74">
        <f t="shared" ref="H5:P5" si="3">SUM(H6:H8)</f>
        <v>2490555.0840000003</v>
      </c>
      <c r="I5" s="74">
        <f t="shared" si="3"/>
        <v>5674262.9752647895</v>
      </c>
      <c r="J5" s="74">
        <f t="shared" si="3"/>
        <v>1949987.496</v>
      </c>
      <c r="K5" s="74">
        <f t="shared" si="3"/>
        <v>43525.667999999998</v>
      </c>
      <c r="L5" s="74">
        <f t="shared" si="3"/>
        <v>64995.683999999987</v>
      </c>
      <c r="M5" s="74">
        <f t="shared" si="3"/>
        <v>0</v>
      </c>
      <c r="N5" s="74">
        <f t="shared" si="3"/>
        <v>0</v>
      </c>
      <c r="O5" s="74">
        <f t="shared" si="3"/>
        <v>0</v>
      </c>
      <c r="P5" s="74">
        <f t="shared" si="3"/>
        <v>45501855.999264784</v>
      </c>
    </row>
    <row r="6" spans="1:16" s="23" customFormat="1" ht="20.100000000000001" customHeight="1" outlineLevel="1" x14ac:dyDescent="0.3">
      <c r="B6" s="24"/>
      <c r="C6" s="25" t="s">
        <v>851</v>
      </c>
      <c r="D6" s="75">
        <f>+'ПП Януари'!AJ6</f>
        <v>0</v>
      </c>
      <c r="E6" s="75">
        <f>+'ПП Февруари'!AH6</f>
        <v>0</v>
      </c>
      <c r="F6" s="75">
        <f>+'ПП Март'!AJ6</f>
        <v>0</v>
      </c>
      <c r="G6" s="75">
        <f>+'ПП Април'!AI6</f>
        <v>0</v>
      </c>
      <c r="H6" s="75">
        <f>+'ПП Май'!AJ6</f>
        <v>0</v>
      </c>
      <c r="I6" s="75">
        <f>+'ПП Юни'!AI6</f>
        <v>0</v>
      </c>
      <c r="J6" s="75">
        <f>+'ПП Юли'!AJ6</f>
        <v>0</v>
      </c>
      <c r="K6" s="75">
        <f>+'ПП Август'!AJ6</f>
        <v>0</v>
      </c>
      <c r="L6" s="75">
        <f>+'ПП Септември'!AI6</f>
        <v>0</v>
      </c>
      <c r="M6" s="75">
        <f>+'ПП Октомври'!AJ6</f>
        <v>0</v>
      </c>
      <c r="N6" s="75">
        <f>+'ПП Ноември'!AI6</f>
        <v>0</v>
      </c>
      <c r="O6" s="75">
        <f>+'ПП Декември'!AJ6</f>
        <v>0</v>
      </c>
      <c r="P6" s="75">
        <f>SUM(D6:O6)</f>
        <v>0</v>
      </c>
    </row>
    <row r="7" spans="1:16" s="21" customFormat="1" ht="20.100000000000001" customHeight="1" outlineLevel="1" x14ac:dyDescent="0.3">
      <c r="B7" s="22"/>
      <c r="C7" s="8" t="s">
        <v>53</v>
      </c>
      <c r="D7" s="74">
        <f>+'ПП Януари'!AJ7</f>
        <v>8650452.2599999998</v>
      </c>
      <c r="E7" s="74">
        <f>+'ПП Февруари'!AH7</f>
        <v>13291193</v>
      </c>
      <c r="F7" s="74">
        <f>+'ПП Март'!AJ7</f>
        <v>8068918.3739999998</v>
      </c>
      <c r="G7" s="74">
        <f>+'ПП Април'!AI7</f>
        <v>3363570.5240000002</v>
      </c>
      <c r="H7" s="74">
        <f>+'ПП Май'!AJ7</f>
        <v>2469683.148</v>
      </c>
      <c r="I7" s="74">
        <f>+'ПП Юни'!AI26</f>
        <v>4506488.3484999994</v>
      </c>
      <c r="J7" s="74">
        <f>+'ПП Юли'!AJ7</f>
        <v>1812238.176</v>
      </c>
      <c r="K7" s="74">
        <f>+'ПП Август'!AJ7</f>
        <v>36042.383999999998</v>
      </c>
      <c r="L7" s="74">
        <f>+'ПП Септември'!AI7</f>
        <v>54121.45199999999</v>
      </c>
      <c r="M7" s="74">
        <f>+'ПП Октомври'!AJ7</f>
        <v>0</v>
      </c>
      <c r="N7" s="74">
        <f>+'ПП Ноември'!AI7</f>
        <v>0</v>
      </c>
      <c r="O7" s="74">
        <f>+'ПП Декември'!AJ7</f>
        <v>0</v>
      </c>
      <c r="P7" s="74">
        <f t="shared" ref="P7:P10" si="4">SUM(D7:O7)</f>
        <v>42252707.666499995</v>
      </c>
    </row>
    <row r="8" spans="1:16" s="21" customFormat="1" ht="20.100000000000001" customHeight="1" outlineLevel="1" x14ac:dyDescent="0.3">
      <c r="B8" s="22"/>
      <c r="C8" s="8" t="s">
        <v>33</v>
      </c>
      <c r="D8" s="74">
        <f>+'ПП Януари'!AJ8</f>
        <v>125662.3</v>
      </c>
      <c r="E8" s="74">
        <f>+'ПП Февруари'!AH8</f>
        <v>567681.93999999994</v>
      </c>
      <c r="F8" s="74">
        <f>+'ПП Март'!AJ8</f>
        <v>802719.62599999993</v>
      </c>
      <c r="G8" s="74">
        <f>+'ПП Април'!AI8</f>
        <v>408331.06800000003</v>
      </c>
      <c r="H8" s="74">
        <f>+'ПП Май'!AJ8</f>
        <v>20871.936000000002</v>
      </c>
      <c r="I8" s="74">
        <f>+'ПП Юни'!AI27</f>
        <v>1167774.6267647899</v>
      </c>
      <c r="J8" s="74">
        <f>+'ПП Юли'!AJ8</f>
        <v>137749.31999999998</v>
      </c>
      <c r="K8" s="74">
        <f>+'ПП Август'!AJ8</f>
        <v>7483.2839999999997</v>
      </c>
      <c r="L8" s="74">
        <f>+'ПП Септември'!AI8</f>
        <v>10874.231999999998</v>
      </c>
      <c r="M8" s="74">
        <f>+'ПП Октомври'!AJ8</f>
        <v>0</v>
      </c>
      <c r="N8" s="74">
        <f>+'ПП Ноември'!AI8</f>
        <v>0</v>
      </c>
      <c r="O8" s="74">
        <f>+'ПП Декември'!AJ8</f>
        <v>0</v>
      </c>
      <c r="P8" s="74">
        <f t="shared" si="4"/>
        <v>3249148.3327647895</v>
      </c>
    </row>
    <row r="9" spans="1:16" s="4" customFormat="1" ht="20.100000000000001" customHeight="1" x14ac:dyDescent="0.3">
      <c r="B9" s="7">
        <v>2</v>
      </c>
      <c r="C9" s="8" t="s">
        <v>36</v>
      </c>
      <c r="D9" s="74">
        <f>+'ПП Януари'!AJ9</f>
        <v>41746.44</v>
      </c>
      <c r="E9" s="74">
        <f>+'ПП Февруари'!AH9</f>
        <v>94374.11</v>
      </c>
      <c r="F9" s="74">
        <f>+'ПП Март'!AJ9</f>
        <v>18412.651999999998</v>
      </c>
      <c r="G9" s="74">
        <f>+'ПП Април'!AI9</f>
        <v>71674.399999999994</v>
      </c>
      <c r="H9" s="74">
        <f>+'ПП Май'!AJ9</f>
        <v>0</v>
      </c>
      <c r="I9" s="74">
        <f>+'ПП Юни'!AI28</f>
        <v>38850.972000000002</v>
      </c>
      <c r="J9" s="74">
        <f>+'ПП Юли'!AJ9</f>
        <v>34927.152000000002</v>
      </c>
      <c r="K9" s="74">
        <f>+'ПП Август'!AJ9</f>
        <v>13778.099999999999</v>
      </c>
      <c r="L9" s="74">
        <f>+'ПП Септември'!AI9</f>
        <v>1613643.7459999998</v>
      </c>
      <c r="M9" s="74">
        <f>+'ПП Октомври'!AJ9</f>
        <v>0</v>
      </c>
      <c r="N9" s="74">
        <f>+'ПП Ноември'!AI9</f>
        <v>0</v>
      </c>
      <c r="O9" s="74">
        <f>+'ПП Декември'!AJ9</f>
        <v>0</v>
      </c>
      <c r="P9" s="74">
        <f t="shared" si="4"/>
        <v>1927407.5719999997</v>
      </c>
    </row>
    <row r="10" spans="1:16" s="4" customFormat="1" ht="20.100000000000001" customHeight="1" x14ac:dyDescent="0.3">
      <c r="B10" s="7">
        <v>3</v>
      </c>
      <c r="C10" s="8" t="s">
        <v>119</v>
      </c>
      <c r="D10" s="74">
        <f>+'ПП Януари'!AJ10</f>
        <v>0</v>
      </c>
      <c r="E10" s="74">
        <f>+'ПП Февруари'!AH10</f>
        <v>0</v>
      </c>
      <c r="F10" s="74">
        <f>+'ПП Март'!AJ10</f>
        <v>0</v>
      </c>
      <c r="G10" s="74">
        <f>+'ПП Април'!AI10</f>
        <v>25222.516</v>
      </c>
      <c r="H10" s="74">
        <f>+'ПП Май'!AJ10</f>
        <v>0</v>
      </c>
      <c r="I10" s="74">
        <f>+'ПП Юни'!AI29</f>
        <v>317506.54180799995</v>
      </c>
      <c r="J10" s="74">
        <f>+'ПП Юли'!AJ10</f>
        <v>20984.064000000002</v>
      </c>
      <c r="K10" s="74">
        <f>+'ПП Август'!AJ26</f>
        <v>0</v>
      </c>
      <c r="L10" s="74">
        <f>+'ПП Септември'!AI10</f>
        <v>0</v>
      </c>
      <c r="M10" s="74">
        <f>+'ПП Октомври'!AJ10</f>
        <v>0</v>
      </c>
      <c r="N10" s="74">
        <f>+'ПП Ноември'!AI10</f>
        <v>0</v>
      </c>
      <c r="O10" s="74">
        <f>+'ПП Декември'!AJ10</f>
        <v>0</v>
      </c>
      <c r="P10" s="74">
        <f t="shared" si="4"/>
        <v>363713.12180799997</v>
      </c>
    </row>
    <row r="11" spans="1:16" s="4" customFormat="1" ht="20.100000000000001" customHeight="1" x14ac:dyDescent="0.3">
      <c r="B11" s="5" t="s">
        <v>852</v>
      </c>
      <c r="C11" s="6" t="s">
        <v>853</v>
      </c>
      <c r="D11" s="73">
        <f t="shared" ref="D11:P11" si="5">SUM(D12:D13,D20,D21,D22)</f>
        <v>335512.49000000005</v>
      </c>
      <c r="E11" s="73">
        <f t="shared" si="5"/>
        <v>1499592.11</v>
      </c>
      <c r="F11" s="73">
        <f t="shared" si="5"/>
        <v>748346.00400000007</v>
      </c>
      <c r="G11" s="73">
        <f t="shared" si="5"/>
        <v>298678.52</v>
      </c>
      <c r="H11" s="73">
        <f t="shared" si="5"/>
        <v>143645.28</v>
      </c>
      <c r="I11" s="73">
        <f t="shared" si="5"/>
        <v>740.65200000000004</v>
      </c>
      <c r="J11" s="73">
        <f t="shared" si="5"/>
        <v>3562.5959999999995</v>
      </c>
      <c r="K11" s="73">
        <f t="shared" si="5"/>
        <v>1101.3</v>
      </c>
      <c r="L11" s="73">
        <f t="shared" si="5"/>
        <v>1931.9279999999999</v>
      </c>
      <c r="M11" s="73">
        <f t="shared" si="5"/>
        <v>0</v>
      </c>
      <c r="N11" s="73">
        <f t="shared" si="5"/>
        <v>0</v>
      </c>
      <c r="O11" s="73">
        <f t="shared" si="5"/>
        <v>0</v>
      </c>
      <c r="P11" s="73">
        <f t="shared" si="5"/>
        <v>3033110.88</v>
      </c>
    </row>
    <row r="12" spans="1:16" s="4" customFormat="1" ht="20.100000000000001" customHeight="1" x14ac:dyDescent="0.3">
      <c r="B12" s="7">
        <v>1</v>
      </c>
      <c r="C12" s="8" t="s">
        <v>58</v>
      </c>
      <c r="D12" s="74">
        <f>+'ПП Януари'!AJ12</f>
        <v>2098.34</v>
      </c>
      <c r="E12" s="74">
        <f>+'ПП Февруари'!AH12</f>
        <v>190495.84</v>
      </c>
      <c r="F12" s="74">
        <f>+'ПП Март'!AJ12</f>
        <v>169864.09400000001</v>
      </c>
      <c r="G12" s="74">
        <f>+'ПП Април'!AI12</f>
        <v>129623.39</v>
      </c>
      <c r="H12" s="74">
        <f>+'ПП Май'!AJ12</f>
        <v>0</v>
      </c>
      <c r="I12" s="74">
        <f>+'ПП Юни'!AI12</f>
        <v>366.76800000000003</v>
      </c>
      <c r="J12" s="74">
        <f>+'ПП Юли'!AJ12</f>
        <v>690.56399999999996</v>
      </c>
      <c r="K12" s="74">
        <f>+'ПП Август'!AJ28</f>
        <v>680.45999999999992</v>
      </c>
      <c r="L12" s="74">
        <f>+'ПП Септември'!AI12</f>
        <v>290.25599999999997</v>
      </c>
      <c r="M12" s="74">
        <f>+'ПП Октомври'!AJ12</f>
        <v>0</v>
      </c>
      <c r="N12" s="74">
        <f>+'ПП Ноември'!AI12</f>
        <v>0</v>
      </c>
      <c r="O12" s="74">
        <f>+'ПП Декември'!AJ12</f>
        <v>0</v>
      </c>
      <c r="P12" s="74">
        <f>SUM(D12:O12)</f>
        <v>494109.712</v>
      </c>
    </row>
    <row r="13" spans="1:16" s="4" customFormat="1" ht="20.100000000000001" customHeight="1" x14ac:dyDescent="0.3">
      <c r="B13" s="7">
        <v>2</v>
      </c>
      <c r="C13" s="8" t="s">
        <v>854</v>
      </c>
      <c r="D13" s="74">
        <f t="shared" ref="D13:P13" si="6">SUM(D14:D19)</f>
        <v>333414.15000000002</v>
      </c>
      <c r="E13" s="74">
        <f t="shared" si="6"/>
        <v>1173855.76</v>
      </c>
      <c r="F13" s="74">
        <f t="shared" si="6"/>
        <v>443405.92599999998</v>
      </c>
      <c r="G13" s="74">
        <f t="shared" si="6"/>
        <v>162001.60399999999</v>
      </c>
      <c r="H13" s="74">
        <f t="shared" si="6"/>
        <v>143645.28</v>
      </c>
      <c r="I13" s="74">
        <f t="shared" si="6"/>
        <v>373.88400000000001</v>
      </c>
      <c r="J13" s="74">
        <f t="shared" si="6"/>
        <v>2872.0319999999997</v>
      </c>
      <c r="K13" s="74">
        <f t="shared" si="6"/>
        <v>420.84000000000003</v>
      </c>
      <c r="L13" s="74">
        <f t="shared" si="6"/>
        <v>1641.672</v>
      </c>
      <c r="M13" s="74">
        <f t="shared" si="6"/>
        <v>0</v>
      </c>
      <c r="N13" s="74">
        <f t="shared" si="6"/>
        <v>0</v>
      </c>
      <c r="O13" s="74">
        <f t="shared" si="6"/>
        <v>0</v>
      </c>
      <c r="P13" s="74">
        <f t="shared" si="6"/>
        <v>2261631.148</v>
      </c>
    </row>
    <row r="14" spans="1:16" s="21" customFormat="1" ht="20.100000000000001" customHeight="1" outlineLevel="1" x14ac:dyDescent="0.3">
      <c r="B14" s="22"/>
      <c r="C14" s="8" t="s">
        <v>76</v>
      </c>
      <c r="D14" s="74">
        <f>+'ПП Януари'!AJ14</f>
        <v>615.80999999999995</v>
      </c>
      <c r="E14" s="74">
        <f>+'ПП Февруари'!AH14</f>
        <v>172192.33</v>
      </c>
      <c r="F14" s="74">
        <f>+'ПП Март'!AJ14</f>
        <v>16161.563999999998</v>
      </c>
      <c r="G14" s="74">
        <f>+'ПП Април'!AI14</f>
        <v>46818.228000000003</v>
      </c>
      <c r="H14" s="74">
        <f>+'ПП Май'!AJ14</f>
        <v>88646.195999999996</v>
      </c>
      <c r="I14" s="74">
        <f>+'ПП Юни'!AI14</f>
        <v>0</v>
      </c>
      <c r="J14" s="74">
        <f>+'ПП Юли'!AJ14</f>
        <v>2433.1679999999997</v>
      </c>
      <c r="K14" s="74">
        <f>+'ПП Август'!AJ30</f>
        <v>0</v>
      </c>
      <c r="L14" s="74">
        <f>+'ПП Септември'!AI14</f>
        <v>1237.3920000000001</v>
      </c>
      <c r="M14" s="74">
        <f>+'ПП Октомври'!AJ14</f>
        <v>0</v>
      </c>
      <c r="N14" s="74">
        <f>+'ПП Ноември'!AI14</f>
        <v>0</v>
      </c>
      <c r="O14" s="74">
        <f>+'ПП Декември'!AJ14</f>
        <v>0</v>
      </c>
      <c r="P14" s="74">
        <f t="shared" ref="P14:P22" si="7">SUM(D14:O14)</f>
        <v>328104.68799999997</v>
      </c>
    </row>
    <row r="15" spans="1:16" s="21" customFormat="1" ht="20.100000000000001" customHeight="1" outlineLevel="1" x14ac:dyDescent="0.3">
      <c r="B15" s="22"/>
      <c r="C15" s="8" t="s">
        <v>71</v>
      </c>
      <c r="D15" s="74">
        <f>+'ПП Януари'!AJ15</f>
        <v>18.59</v>
      </c>
      <c r="E15" s="74">
        <f>+'ПП Февруари'!AH15</f>
        <v>5677.65</v>
      </c>
      <c r="F15" s="74">
        <f>+'ПП Март'!AJ15</f>
        <v>135310.05599999998</v>
      </c>
      <c r="G15" s="74">
        <f>+'ПП Април'!AI15</f>
        <v>0</v>
      </c>
      <c r="H15" s="74">
        <f>+'ПП Май'!AJ15</f>
        <v>0</v>
      </c>
      <c r="I15" s="74">
        <f>+'ПП Юни'!AI15</f>
        <v>0</v>
      </c>
      <c r="J15" s="74">
        <f>+'ПП Юли'!AJ15</f>
        <v>0</v>
      </c>
      <c r="K15" s="74">
        <f>+'ПП Август'!AJ31</f>
        <v>0</v>
      </c>
      <c r="L15" s="74">
        <f>+'ПП Септември'!AI15</f>
        <v>0</v>
      </c>
      <c r="M15" s="74">
        <f>+'ПП Октомври'!AJ15</f>
        <v>0</v>
      </c>
      <c r="N15" s="74">
        <f>+'ПП Ноември'!AI15</f>
        <v>0</v>
      </c>
      <c r="O15" s="74">
        <f>+'ПП Декември'!AJ15</f>
        <v>0</v>
      </c>
      <c r="P15" s="74">
        <f t="shared" si="7"/>
        <v>141006.29599999997</v>
      </c>
    </row>
    <row r="16" spans="1:16" s="21" customFormat="1" ht="20.100000000000001" customHeight="1" outlineLevel="1" x14ac:dyDescent="0.3">
      <c r="B16" s="22"/>
      <c r="C16" s="8" t="s">
        <v>63</v>
      </c>
      <c r="D16" s="74">
        <f>+'ПП Януари'!AJ16</f>
        <v>319323.16000000003</v>
      </c>
      <c r="E16" s="74">
        <f>+'ПП Февруари'!AH16</f>
        <v>705075.28</v>
      </c>
      <c r="F16" s="74">
        <f>+'ПП Март'!AJ16</f>
        <v>171546.15</v>
      </c>
      <c r="G16" s="74">
        <f>+'ПП Април'!AI16</f>
        <v>28774.175999999999</v>
      </c>
      <c r="H16" s="74">
        <f>+'ПП Май'!AJ16</f>
        <v>54999.084000000003</v>
      </c>
      <c r="I16" s="74">
        <f>+'ПП Юни'!AI16</f>
        <v>0</v>
      </c>
      <c r="J16" s="74">
        <f>+'ПП Юли'!AJ16</f>
        <v>115.17599999999999</v>
      </c>
      <c r="K16" s="74">
        <f>+'ПП Август'!AJ32</f>
        <v>0</v>
      </c>
      <c r="L16" s="74">
        <f>+'ПП Септември'!AI16</f>
        <v>189.93600000000001</v>
      </c>
      <c r="M16" s="74">
        <f>+'ПП Октомври'!AJ16</f>
        <v>0</v>
      </c>
      <c r="N16" s="74">
        <f>+'ПП Ноември'!AI16</f>
        <v>0</v>
      </c>
      <c r="O16" s="74">
        <f>+'ПП Декември'!AJ16</f>
        <v>0</v>
      </c>
      <c r="P16" s="74">
        <f t="shared" si="7"/>
        <v>1280022.9620000001</v>
      </c>
    </row>
    <row r="17" spans="1:16" s="21" customFormat="1" ht="20.100000000000001" customHeight="1" outlineLevel="1" x14ac:dyDescent="0.3">
      <c r="B17" s="22"/>
      <c r="C17" s="8" t="s">
        <v>57</v>
      </c>
      <c r="D17" s="74">
        <f>+'ПП Януари'!AJ17</f>
        <v>13230.73</v>
      </c>
      <c r="E17" s="74">
        <f>+'ПП Февруари'!AH17</f>
        <v>276936.26</v>
      </c>
      <c r="F17" s="74">
        <f>+'ПП Март'!AJ17</f>
        <v>115412.00399999999</v>
      </c>
      <c r="G17" s="74">
        <f>+'ПП Април'!AI17</f>
        <v>36443.015999999996</v>
      </c>
      <c r="H17" s="74">
        <f>+'ПП Май'!AJ17</f>
        <v>0</v>
      </c>
      <c r="I17" s="74">
        <f>+'ПП Юни'!AI17</f>
        <v>0</v>
      </c>
      <c r="J17" s="74">
        <f>+'ПП Юли'!AJ17</f>
        <v>183</v>
      </c>
      <c r="K17" s="74">
        <f>+'ПП Август'!AJ33</f>
        <v>197.18400000000003</v>
      </c>
      <c r="L17" s="74">
        <f>+'ПП Септември'!AI17</f>
        <v>92.616</v>
      </c>
      <c r="M17" s="74">
        <f>+'ПП Октомври'!AJ17</f>
        <v>0</v>
      </c>
      <c r="N17" s="74">
        <f>+'ПП Ноември'!AI17</f>
        <v>0</v>
      </c>
      <c r="O17" s="74">
        <f>+'ПП Декември'!AJ17</f>
        <v>0</v>
      </c>
      <c r="P17" s="74">
        <f t="shared" si="7"/>
        <v>442494.80999999994</v>
      </c>
    </row>
    <row r="18" spans="1:16" s="21" customFormat="1" ht="20.100000000000001" customHeight="1" outlineLevel="1" x14ac:dyDescent="0.3">
      <c r="B18" s="22"/>
      <c r="C18" s="8" t="s">
        <v>120</v>
      </c>
      <c r="D18" s="74">
        <f>+'ПП Януари'!AJ18</f>
        <v>0</v>
      </c>
      <c r="E18" s="74">
        <f>+'ПП Февруари'!AH18</f>
        <v>0</v>
      </c>
      <c r="F18" s="74">
        <f>+'ПП Март'!AJ18</f>
        <v>0</v>
      </c>
      <c r="G18" s="74">
        <f>+'ПП Април'!AI18</f>
        <v>38501.428</v>
      </c>
      <c r="H18" s="74">
        <f>+'ПП Май'!AJ18</f>
        <v>0</v>
      </c>
      <c r="I18" s="74">
        <f>+'ПП Юни'!AI18</f>
        <v>0</v>
      </c>
      <c r="J18" s="74">
        <f>+'ПП Юли'!AJ18</f>
        <v>19.956</v>
      </c>
      <c r="K18" s="74">
        <f>+'ПП Август'!AJ34</f>
        <v>0</v>
      </c>
      <c r="L18" s="74">
        <f>+'ПП Септември'!AI18</f>
        <v>9.5399999999999991</v>
      </c>
      <c r="M18" s="74">
        <f>+'ПП Октомври'!AJ18</f>
        <v>0</v>
      </c>
      <c r="N18" s="74">
        <f>+'ПП Ноември'!AI18</f>
        <v>0</v>
      </c>
      <c r="O18" s="74">
        <f>+'ПП Декември'!AJ18</f>
        <v>0</v>
      </c>
      <c r="P18" s="74">
        <f t="shared" si="7"/>
        <v>38530.923999999999</v>
      </c>
    </row>
    <row r="19" spans="1:16" s="21" customFormat="1" ht="20.100000000000001" customHeight="1" outlineLevel="1" x14ac:dyDescent="0.3">
      <c r="A19" s="26"/>
      <c r="B19" s="22"/>
      <c r="C19" s="8" t="s">
        <v>56</v>
      </c>
      <c r="D19" s="74">
        <f>+'ПП Януари'!AJ19</f>
        <v>225.86</v>
      </c>
      <c r="E19" s="74">
        <f>+'ПП Февруари'!AH19</f>
        <v>13974.24</v>
      </c>
      <c r="F19" s="74">
        <f>+'ПП Март'!AJ19</f>
        <v>4976.152000000001</v>
      </c>
      <c r="G19" s="74">
        <f>+'ПП Април'!AI19</f>
        <v>11464.755999999999</v>
      </c>
      <c r="H19" s="74">
        <f>+'ПП Май'!AJ19</f>
        <v>0</v>
      </c>
      <c r="I19" s="74">
        <f>+'ПП Юни'!AI19</f>
        <v>373.88400000000001</v>
      </c>
      <c r="J19" s="74">
        <f>+'ПП Юли'!AJ19</f>
        <v>120.73199999999999</v>
      </c>
      <c r="K19" s="74">
        <f>+'ПП Август'!AJ35</f>
        <v>223.65599999999998</v>
      </c>
      <c r="L19" s="74">
        <f>+'ПП Септември'!AI19</f>
        <v>112.18799999999999</v>
      </c>
      <c r="M19" s="74">
        <f>+'ПП Октомври'!AJ19</f>
        <v>0</v>
      </c>
      <c r="N19" s="74">
        <f>+'ПП Ноември'!AI19</f>
        <v>0</v>
      </c>
      <c r="O19" s="74">
        <f>+'ПП Декември'!AJ19</f>
        <v>0</v>
      </c>
      <c r="P19" s="74">
        <f t="shared" si="7"/>
        <v>31471.467999999997</v>
      </c>
    </row>
    <row r="20" spans="1:16" s="4" customFormat="1" ht="20.100000000000001" customHeight="1" x14ac:dyDescent="0.3">
      <c r="B20" s="7">
        <v>3</v>
      </c>
      <c r="C20" s="8" t="s">
        <v>54</v>
      </c>
      <c r="D20" s="74">
        <f>+'ПП Януари'!AJ20</f>
        <v>0</v>
      </c>
      <c r="E20" s="74">
        <f>+'ПП Февруари'!AH20</f>
        <v>135240.51</v>
      </c>
      <c r="F20" s="74">
        <f>+'ПП Март'!AJ20</f>
        <v>129526.128</v>
      </c>
      <c r="G20" s="74">
        <f>+'ПП Април'!AI20</f>
        <v>0</v>
      </c>
      <c r="H20" s="74">
        <f>+'ПП Май'!AJ20</f>
        <v>0</v>
      </c>
      <c r="I20" s="74">
        <f>+'ПП Юни'!AI20</f>
        <v>0</v>
      </c>
      <c r="J20" s="74">
        <f>+'ПП Юли'!AJ20</f>
        <v>0</v>
      </c>
      <c r="K20" s="74">
        <f>+'ПП Август'!AJ36</f>
        <v>0</v>
      </c>
      <c r="L20" s="74">
        <f>+'ПП Септември'!AI20</f>
        <v>0</v>
      </c>
      <c r="M20" s="74">
        <f>+'ПП Октомври'!AJ20</f>
        <v>0</v>
      </c>
      <c r="N20" s="74">
        <f>+'ПП Ноември'!AI20</f>
        <v>0</v>
      </c>
      <c r="O20" s="74">
        <f>+'ПП Декември'!AJ20</f>
        <v>0</v>
      </c>
      <c r="P20" s="74">
        <f t="shared" si="7"/>
        <v>264766.63800000004</v>
      </c>
    </row>
    <row r="21" spans="1:16" s="4" customFormat="1" ht="20.100000000000001" customHeight="1" x14ac:dyDescent="0.3">
      <c r="B21" s="7">
        <v>4</v>
      </c>
      <c r="C21" s="8" t="s">
        <v>855</v>
      </c>
      <c r="D21" s="74">
        <f>+'ПП Януари'!AJ21</f>
        <v>0</v>
      </c>
      <c r="E21" s="74">
        <f>+'ПП Февруари'!AH21</f>
        <v>0</v>
      </c>
      <c r="F21" s="74">
        <f>+'ПП Март'!AJ21</f>
        <v>0</v>
      </c>
      <c r="G21" s="74">
        <f>+'ПП Април'!AI21</f>
        <v>0</v>
      </c>
      <c r="H21" s="74">
        <f>+'ПП Май'!AJ21</f>
        <v>0</v>
      </c>
      <c r="I21" s="74">
        <f>+'ПП Юни'!AI21</f>
        <v>0</v>
      </c>
      <c r="J21" s="74">
        <f>+'ПП Юли'!AJ21</f>
        <v>0</v>
      </c>
      <c r="K21" s="74">
        <f>+'ПП Август'!AJ37</f>
        <v>0</v>
      </c>
      <c r="L21" s="74">
        <f>+'ПП Септември'!AI21</f>
        <v>0</v>
      </c>
      <c r="M21" s="74">
        <f>+'ПП Октомври'!AJ21</f>
        <v>0</v>
      </c>
      <c r="N21" s="74">
        <f>+'ПП Ноември'!AI21</f>
        <v>0</v>
      </c>
      <c r="O21" s="74">
        <f>+'ПП Декември'!AJ21</f>
        <v>0</v>
      </c>
      <c r="P21" s="74">
        <f t="shared" si="7"/>
        <v>0</v>
      </c>
    </row>
    <row r="22" spans="1:16" s="4" customFormat="1" ht="20.100000000000001" customHeight="1" x14ac:dyDescent="0.3">
      <c r="B22" s="7">
        <v>5</v>
      </c>
      <c r="C22" s="8" t="s">
        <v>108</v>
      </c>
      <c r="D22" s="74">
        <f>+'ПП Януари'!AJ22</f>
        <v>0</v>
      </c>
      <c r="E22" s="74">
        <f>+'ПП Февруари'!AH22</f>
        <v>0</v>
      </c>
      <c r="F22" s="74">
        <f>+'ПП Март'!AJ22</f>
        <v>5549.8559999999998</v>
      </c>
      <c r="G22" s="74">
        <f>+'ПП Април'!AI22</f>
        <v>7053.5259999999998</v>
      </c>
      <c r="H22" s="74">
        <f>+'ПП Май'!AJ22</f>
        <v>0</v>
      </c>
      <c r="I22" s="74">
        <f>+'ПП Юни'!AI22</f>
        <v>0</v>
      </c>
      <c r="J22" s="74">
        <f>+'ПП Юли'!AJ22</f>
        <v>0</v>
      </c>
      <c r="K22" s="74">
        <f>+'ПП Август'!AJ38</f>
        <v>0</v>
      </c>
      <c r="L22" s="74">
        <f>+'ПП Септември'!AI22</f>
        <v>0</v>
      </c>
      <c r="M22" s="74">
        <f>+'ПП Октомври'!AJ22</f>
        <v>0</v>
      </c>
      <c r="N22" s="74">
        <f>+'ПП Ноември'!AI22</f>
        <v>0</v>
      </c>
      <c r="O22" s="74">
        <f>+'ПП Декември'!AJ22</f>
        <v>0</v>
      </c>
      <c r="P22" s="74">
        <f t="shared" si="7"/>
        <v>12603.382</v>
      </c>
    </row>
    <row r="23" spans="1:16" s="4" customFormat="1" ht="20.100000000000001" customHeight="1" x14ac:dyDescent="0.3">
      <c r="B23" s="2" t="s">
        <v>856</v>
      </c>
      <c r="C23" s="3" t="s">
        <v>857</v>
      </c>
      <c r="D23" s="54">
        <f t="shared" ref="D23:P23" si="8">SUM(D24,D29,D36,D41,D42)</f>
        <v>0</v>
      </c>
      <c r="E23" s="54">
        <f t="shared" si="8"/>
        <v>7056</v>
      </c>
      <c r="F23" s="54">
        <f t="shared" si="8"/>
        <v>2020080.5</v>
      </c>
      <c r="G23" s="54">
        <f t="shared" si="8"/>
        <v>1895156.1039031362</v>
      </c>
      <c r="H23" s="54">
        <f t="shared" si="8"/>
        <v>7822992.4211614011</v>
      </c>
      <c r="I23" s="54">
        <f t="shared" si="8"/>
        <v>6382298.7339307889</v>
      </c>
      <c r="J23" s="54">
        <f t="shared" si="8"/>
        <v>9752218.8298297636</v>
      </c>
      <c r="K23" s="54">
        <f t="shared" si="8"/>
        <v>7511720.0043256907</v>
      </c>
      <c r="L23" s="54">
        <f t="shared" si="8"/>
        <v>4289325.0644863686</v>
      </c>
      <c r="M23" s="54">
        <f t="shared" si="8"/>
        <v>0</v>
      </c>
      <c r="N23" s="54">
        <f t="shared" si="8"/>
        <v>0</v>
      </c>
      <c r="O23" s="54">
        <f t="shared" si="8"/>
        <v>0</v>
      </c>
      <c r="P23" s="54">
        <f t="shared" si="8"/>
        <v>39680847.657637149</v>
      </c>
    </row>
    <row r="24" spans="1:16" s="4" customFormat="1" ht="20.100000000000001" customHeight="1" x14ac:dyDescent="0.3">
      <c r="B24" s="7">
        <v>1</v>
      </c>
      <c r="C24" s="8" t="s">
        <v>858</v>
      </c>
      <c r="D24" s="73">
        <f t="shared" ref="D24:P24" si="9">SUM(D25:D28)</f>
        <v>0</v>
      </c>
      <c r="E24" s="73">
        <f t="shared" si="9"/>
        <v>7056</v>
      </c>
      <c r="F24" s="73">
        <f t="shared" si="9"/>
        <v>1379819.01</v>
      </c>
      <c r="G24" s="73">
        <f t="shared" si="9"/>
        <v>1448940.2339031361</v>
      </c>
      <c r="H24" s="73">
        <f t="shared" si="9"/>
        <v>7301288.9331614003</v>
      </c>
      <c r="I24" s="73">
        <f t="shared" si="9"/>
        <v>5713113.9472647896</v>
      </c>
      <c r="J24" s="73">
        <f t="shared" si="9"/>
        <v>9297490.6606137641</v>
      </c>
      <c r="K24" s="73">
        <f t="shared" si="9"/>
        <v>6878280.0557656903</v>
      </c>
      <c r="L24" s="73">
        <f t="shared" si="9"/>
        <v>3758571.023446369</v>
      </c>
      <c r="M24" s="73">
        <f t="shared" si="9"/>
        <v>0</v>
      </c>
      <c r="N24" s="73">
        <f t="shared" si="9"/>
        <v>0</v>
      </c>
      <c r="O24" s="73">
        <f t="shared" si="9"/>
        <v>0</v>
      </c>
      <c r="P24" s="73">
        <f t="shared" si="9"/>
        <v>35784559.864155143</v>
      </c>
    </row>
    <row r="25" spans="1:16" s="36" customFormat="1" ht="20.100000000000001" customHeight="1" outlineLevel="1" x14ac:dyDescent="0.3">
      <c r="A25" s="33"/>
      <c r="B25" s="34"/>
      <c r="C25" s="35" t="s">
        <v>859</v>
      </c>
      <c r="D25" s="75">
        <f>+'ПП Януари'!AJ25</f>
        <v>0</v>
      </c>
      <c r="E25" s="75">
        <f>+'ПП Февруари'!AH25</f>
        <v>0</v>
      </c>
      <c r="F25" s="75">
        <f>+'ПП Март'!AJ25</f>
        <v>0</v>
      </c>
      <c r="G25" s="75">
        <f>+'ПП Април'!AI25</f>
        <v>0</v>
      </c>
      <c r="H25" s="75">
        <f>+'ПП Май'!AJ25</f>
        <v>0</v>
      </c>
      <c r="I25" s="75">
        <f>+'ПП Юни'!AI25</f>
        <v>0</v>
      </c>
      <c r="J25" s="75">
        <f>+'ПП Юли'!AJ25</f>
        <v>0</v>
      </c>
      <c r="K25" s="75">
        <f>+'ПП Август'!AJ41</f>
        <v>0</v>
      </c>
      <c r="L25" s="75">
        <f>+'ПП Септември'!AI25</f>
        <v>0</v>
      </c>
      <c r="M25" s="75">
        <f>+'ПП Октомври'!AJ25</f>
        <v>0</v>
      </c>
      <c r="N25" s="75">
        <f>+'ПП Ноември'!AI25</f>
        <v>0</v>
      </c>
      <c r="O25" s="75">
        <f>+'ПП Декември'!AJ25</f>
        <v>0</v>
      </c>
      <c r="P25" s="75">
        <f t="shared" ref="P25:P28" si="10">SUM(D25:O25)</f>
        <v>0</v>
      </c>
    </row>
    <row r="26" spans="1:16" s="21" customFormat="1" ht="20.100000000000001" customHeight="1" outlineLevel="1" x14ac:dyDescent="0.3">
      <c r="A26" s="27"/>
      <c r="B26" s="22"/>
      <c r="C26" s="8" t="s">
        <v>263</v>
      </c>
      <c r="D26" s="74">
        <f>+'ПП Януари'!AJ26</f>
        <v>0</v>
      </c>
      <c r="E26" s="74">
        <f>+'ПП Февруари'!AH26</f>
        <v>0</v>
      </c>
      <c r="F26" s="74">
        <f>+'ПП Март'!AJ26</f>
        <v>18600</v>
      </c>
      <c r="G26" s="74">
        <f>+'ПП Април'!AI26</f>
        <v>91469.5</v>
      </c>
      <c r="H26" s="74">
        <f>+'ПП Май'!AJ26</f>
        <v>767337.0675</v>
      </c>
      <c r="I26" s="74">
        <f>+'ПП Юни'!AI26</f>
        <v>4506488.3484999994</v>
      </c>
      <c r="J26" s="74">
        <f>+'ПП Юли'!AJ26</f>
        <v>6413831.1730000004</v>
      </c>
      <c r="K26" s="74">
        <f>+'ПП Август'!AJ42</f>
        <v>6052860.0560000008</v>
      </c>
      <c r="L26" s="74">
        <f>+'ПП Септември'!AI26</f>
        <v>1914390.6930000002</v>
      </c>
      <c r="M26" s="74">
        <f>+'ПП Октомври'!AJ26</f>
        <v>0</v>
      </c>
      <c r="N26" s="74">
        <f>+'ПП Ноември'!AI26</f>
        <v>0</v>
      </c>
      <c r="O26" s="74">
        <f>+'ПП Декември'!AJ26</f>
        <v>0</v>
      </c>
      <c r="P26" s="74">
        <f t="shared" si="10"/>
        <v>19764976.838</v>
      </c>
    </row>
    <row r="27" spans="1:16" s="21" customFormat="1" ht="20.100000000000001" customHeight="1" outlineLevel="1" x14ac:dyDescent="0.3">
      <c r="A27" s="27"/>
      <c r="B27" s="22"/>
      <c r="C27" s="8" t="s">
        <v>131</v>
      </c>
      <c r="D27" s="74">
        <f>+'ПП Януари'!AJ27</f>
        <v>0</v>
      </c>
      <c r="E27" s="74">
        <f>+'ПП Февруари'!AH27</f>
        <v>7056</v>
      </c>
      <c r="F27" s="74">
        <f>+'ПП Март'!AJ27</f>
        <v>1124026.02</v>
      </c>
      <c r="G27" s="74">
        <f>+'ПП Април'!AI27</f>
        <v>1357470.7339031361</v>
      </c>
      <c r="H27" s="74">
        <f>+'ПП Май'!AJ27</f>
        <v>6237580.4456614004</v>
      </c>
      <c r="I27" s="74">
        <f>+'ПП Юни'!AI27</f>
        <v>1167774.6267647899</v>
      </c>
      <c r="J27" s="74">
        <f>+'ПП Юли'!AJ27</f>
        <v>2748283.4436137648</v>
      </c>
      <c r="K27" s="74">
        <f>+'ПП Август'!AJ43</f>
        <v>739935.50376568898</v>
      </c>
      <c r="L27" s="74">
        <f>+'ПП Септември'!AI27</f>
        <v>1745944.334446369</v>
      </c>
      <c r="M27" s="74">
        <f>+'ПП Октомври'!AJ27</f>
        <v>0</v>
      </c>
      <c r="N27" s="74">
        <f>+'ПП Ноември'!AI27</f>
        <v>0</v>
      </c>
      <c r="O27" s="74">
        <f>+'ПП Декември'!AJ27</f>
        <v>0</v>
      </c>
      <c r="P27" s="74">
        <f t="shared" si="10"/>
        <v>15128071.10815515</v>
      </c>
    </row>
    <row r="28" spans="1:16" s="21" customFormat="1" ht="20.100000000000001" customHeight="1" outlineLevel="1" x14ac:dyDescent="0.3">
      <c r="A28" s="27"/>
      <c r="B28" s="22"/>
      <c r="C28" s="8" t="s">
        <v>328</v>
      </c>
      <c r="D28" s="74">
        <f>+'ПП Януари'!AJ28</f>
        <v>0</v>
      </c>
      <c r="E28" s="74">
        <f>+'ПП Февруари'!AH28</f>
        <v>0</v>
      </c>
      <c r="F28" s="74">
        <f>+'ПП Март'!AJ28</f>
        <v>237192.99</v>
      </c>
      <c r="G28" s="74">
        <f>+'ПП Април'!AI28</f>
        <v>0</v>
      </c>
      <c r="H28" s="74">
        <f>+'ПП Май'!AJ28</f>
        <v>296371.42000000004</v>
      </c>
      <c r="I28" s="74">
        <f>+'ПП Юни'!AI28</f>
        <v>38850.972000000002</v>
      </c>
      <c r="J28" s="74">
        <f>+'ПП Юли'!AJ28</f>
        <v>135376.04399999999</v>
      </c>
      <c r="K28" s="74">
        <f>+'ПП Август'!AJ44</f>
        <v>85484.495999999999</v>
      </c>
      <c r="L28" s="74">
        <f>+'ПП Септември'!AI28</f>
        <v>98235.995999999999</v>
      </c>
      <c r="M28" s="74">
        <f>+'ПП Октомври'!AJ28</f>
        <v>0</v>
      </c>
      <c r="N28" s="74">
        <f>+'ПП Ноември'!AI28</f>
        <v>0</v>
      </c>
      <c r="O28" s="74">
        <f>+'ПП Декември'!AJ28</f>
        <v>0</v>
      </c>
      <c r="P28" s="74">
        <f t="shared" si="10"/>
        <v>891511.91800000006</v>
      </c>
    </row>
    <row r="29" spans="1:1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:P29" si="11">SUM(D30:D35)</f>
        <v>0</v>
      </c>
      <c r="E29" s="74">
        <f t="shared" si="11"/>
        <v>0</v>
      </c>
      <c r="F29" s="74">
        <f t="shared" si="11"/>
        <v>372834.81999999995</v>
      </c>
      <c r="G29" s="74">
        <f t="shared" si="11"/>
        <v>324407.62</v>
      </c>
      <c r="H29" s="74">
        <f t="shared" si="11"/>
        <v>252398.592</v>
      </c>
      <c r="I29" s="74">
        <f t="shared" si="11"/>
        <v>317506.54180799989</v>
      </c>
      <c r="J29" s="74">
        <f t="shared" si="11"/>
        <v>360065.950916</v>
      </c>
      <c r="K29" s="74">
        <f t="shared" si="11"/>
        <v>420552.37679999997</v>
      </c>
      <c r="L29" s="74">
        <f t="shared" si="11"/>
        <v>222167.508</v>
      </c>
      <c r="M29" s="74">
        <f t="shared" si="11"/>
        <v>0</v>
      </c>
      <c r="N29" s="74">
        <f t="shared" si="11"/>
        <v>0</v>
      </c>
      <c r="O29" s="74">
        <f t="shared" si="11"/>
        <v>0</v>
      </c>
      <c r="P29" s="74">
        <f t="shared" si="11"/>
        <v>2269933.4095240002</v>
      </c>
    </row>
    <row r="30" spans="1:16" s="21" customFormat="1" ht="20.100000000000001" customHeight="1" outlineLevel="1" x14ac:dyDescent="0.3">
      <c r="A30" s="27"/>
      <c r="B30" s="22"/>
      <c r="C30" s="8" t="s">
        <v>458</v>
      </c>
      <c r="D30" s="74">
        <f>+'ПП Януари'!AJ30</f>
        <v>0</v>
      </c>
      <c r="E30" s="74">
        <f>+'ПП Февруари'!AH30</f>
        <v>0</v>
      </c>
      <c r="F30" s="74">
        <f>+'ПП Март'!AJ30</f>
        <v>183781.58</v>
      </c>
      <c r="G30" s="74">
        <f>+'ПП Април'!AI30</f>
        <v>276695.92000000004</v>
      </c>
      <c r="H30" s="74">
        <f>+'ПП Май'!AJ30</f>
        <v>248223.96</v>
      </c>
      <c r="I30" s="74">
        <f>+'ПП Юни'!AI30</f>
        <v>210185.42399999997</v>
      </c>
      <c r="J30" s="74">
        <f>+'ПП Юли'!AJ30</f>
        <v>356770.06400000001</v>
      </c>
      <c r="K30" s="74">
        <f>+'ПП Август'!AJ46</f>
        <v>372388.85279999999</v>
      </c>
      <c r="L30" s="74">
        <f>+'ПП Септември'!AI30</f>
        <v>209581.212</v>
      </c>
      <c r="M30" s="74">
        <f>+'ПП Октомври'!AJ30</f>
        <v>0</v>
      </c>
      <c r="N30" s="74">
        <f>+'ПП Ноември'!AI30</f>
        <v>0</v>
      </c>
      <c r="O30" s="74">
        <f>+'ПП Декември'!AJ30</f>
        <v>0</v>
      </c>
      <c r="P30" s="74">
        <f>SUM(D30:O30)</f>
        <v>1857627.0127999999</v>
      </c>
    </row>
    <row r="31" spans="1:16" s="21" customFormat="1" ht="20.100000000000001" customHeight="1" outlineLevel="1" x14ac:dyDescent="0.3">
      <c r="A31" s="27"/>
      <c r="B31" s="22"/>
      <c r="C31" s="8" t="s">
        <v>459</v>
      </c>
      <c r="D31" s="74">
        <f>+'ПП Януари'!AJ31</f>
        <v>0</v>
      </c>
      <c r="E31" s="74">
        <f>+'ПП Февруари'!AH31</f>
        <v>0</v>
      </c>
      <c r="F31" s="74">
        <f>+'ПП Март'!AJ31</f>
        <v>1221.76</v>
      </c>
      <c r="G31" s="74">
        <f>+'ПП Април'!AI31</f>
        <v>0</v>
      </c>
      <c r="H31" s="74">
        <f>+'ПП Май'!AJ31</f>
        <v>0</v>
      </c>
      <c r="I31" s="74">
        <f>+'ПП Юни'!AI50</f>
        <v>0</v>
      </c>
      <c r="J31" s="74">
        <f>+'ПП Юли'!AJ31</f>
        <v>0</v>
      </c>
      <c r="K31" s="74">
        <f>+'ПП Август'!AJ47</f>
        <v>0</v>
      </c>
      <c r="L31" s="74">
        <f>+'ПП Септември'!AI31</f>
        <v>0</v>
      </c>
      <c r="M31" s="74">
        <f>+'ПП Октомври'!AJ31</f>
        <v>0</v>
      </c>
      <c r="N31" s="74">
        <f>+'ПП Ноември'!AI31</f>
        <v>0</v>
      </c>
      <c r="O31" s="74">
        <f>+'ПП Декември'!AJ31</f>
        <v>0</v>
      </c>
      <c r="P31" s="74">
        <f t="shared" ref="P31:P35" si="12">SUM(D31:O31)</f>
        <v>1221.76</v>
      </c>
    </row>
    <row r="32" spans="1:16" s="21" customFormat="1" ht="20.100000000000001" customHeight="1" outlineLevel="1" x14ac:dyDescent="0.3">
      <c r="A32" s="27"/>
      <c r="B32" s="22"/>
      <c r="C32" s="8" t="s">
        <v>460</v>
      </c>
      <c r="D32" s="74">
        <f>+'ПП Януари'!AJ32</f>
        <v>0</v>
      </c>
      <c r="E32" s="74">
        <f>+'ПП Февруари'!AH32</f>
        <v>0</v>
      </c>
      <c r="F32" s="74">
        <f>+'ПП Март'!AJ32</f>
        <v>120341.09</v>
      </c>
      <c r="G32" s="74">
        <f>+'ПП Април'!AI32</f>
        <v>12101.72</v>
      </c>
      <c r="H32" s="74">
        <f>+'ПП Май'!AJ32</f>
        <v>0</v>
      </c>
      <c r="I32" s="74">
        <f>+'ПП Юни'!AI32</f>
        <v>14592.732</v>
      </c>
      <c r="J32" s="74">
        <f>+'ПП Юли'!AJ32</f>
        <v>0</v>
      </c>
      <c r="K32" s="74">
        <f>+'ПП Август'!AJ48</f>
        <v>13679.58</v>
      </c>
      <c r="L32" s="74">
        <f>+'ПП Септември'!AI32</f>
        <v>1675.3079999999998</v>
      </c>
      <c r="M32" s="74">
        <f>+'ПП Октомври'!AJ32</f>
        <v>0</v>
      </c>
      <c r="N32" s="74">
        <f>+'ПП Ноември'!AI32</f>
        <v>0</v>
      </c>
      <c r="O32" s="74">
        <f>+'ПП Декември'!AJ32</f>
        <v>0</v>
      </c>
      <c r="P32" s="74">
        <f t="shared" si="12"/>
        <v>162390.42999999996</v>
      </c>
    </row>
    <row r="33" spans="1:16" s="21" customFormat="1" ht="20.100000000000001" customHeight="1" outlineLevel="1" x14ac:dyDescent="0.3">
      <c r="A33" s="27"/>
      <c r="B33" s="22"/>
      <c r="C33" s="8" t="s">
        <v>121</v>
      </c>
      <c r="D33" s="74">
        <f>+'ПП Януари'!AJ33</f>
        <v>0</v>
      </c>
      <c r="E33" s="74">
        <f>+'ПП Февруари'!AH33</f>
        <v>0</v>
      </c>
      <c r="F33" s="74">
        <f>+'ПП Март'!AJ33</f>
        <v>47259.19</v>
      </c>
      <c r="G33" s="74">
        <f>+'ПП Април'!AI33</f>
        <v>19494.79</v>
      </c>
      <c r="H33" s="74">
        <f>+'ПП Май'!AJ33</f>
        <v>0</v>
      </c>
      <c r="I33" s="74">
        <f>+'ПП Юни'!AI33</f>
        <v>86284.109807999994</v>
      </c>
      <c r="J33" s="74">
        <f>+'ПП Юли'!AJ33</f>
        <v>1190.2439999999999</v>
      </c>
      <c r="K33" s="74">
        <f>+'ПП Август'!AJ49</f>
        <v>32956.572</v>
      </c>
      <c r="L33" s="74">
        <f>+'ПП Септември'!AI33</f>
        <v>5682.5399999999991</v>
      </c>
      <c r="M33" s="74">
        <f>+'ПП Октомври'!AJ33</f>
        <v>0</v>
      </c>
      <c r="N33" s="74">
        <f>+'ПП Ноември'!AI33</f>
        <v>0</v>
      </c>
      <c r="O33" s="74">
        <f>+'ПП Декември'!AJ33</f>
        <v>0</v>
      </c>
      <c r="P33" s="74">
        <f t="shared" si="12"/>
        <v>192867.44580800002</v>
      </c>
    </row>
    <row r="34" spans="1:16" s="21" customFormat="1" ht="20.100000000000001" customHeight="1" outlineLevel="1" x14ac:dyDescent="0.3">
      <c r="A34" s="27"/>
      <c r="B34" s="22"/>
      <c r="C34" s="8" t="s">
        <v>461</v>
      </c>
      <c r="D34" s="74">
        <f>+'ПП Януари'!AJ34</f>
        <v>0</v>
      </c>
      <c r="E34" s="74">
        <f>+'ПП Февруари'!AH34</f>
        <v>0</v>
      </c>
      <c r="F34" s="74">
        <f>+'ПП Март'!AJ34</f>
        <v>18382.099999999999</v>
      </c>
      <c r="G34" s="74">
        <f>+'ПП Април'!AI34</f>
        <v>12780.5</v>
      </c>
      <c r="H34" s="74">
        <f>+'ПП Май'!AJ34</f>
        <v>3337.9199999999996</v>
      </c>
      <c r="I34" s="74">
        <f>+'ПП Юни'!AI34</f>
        <v>6127.2960000000003</v>
      </c>
      <c r="J34" s="74">
        <f>+'ПП Юли'!AJ34</f>
        <v>1362.0989160000001</v>
      </c>
      <c r="K34" s="74">
        <f>+'ПП Август'!AJ50</f>
        <v>0</v>
      </c>
      <c r="L34" s="74">
        <f>+'ПП Септември'!AI34</f>
        <v>5228.4479999999994</v>
      </c>
      <c r="M34" s="74">
        <f>+'ПП Октомври'!AJ34</f>
        <v>0</v>
      </c>
      <c r="N34" s="74">
        <f>+'ПП Ноември'!AI34</f>
        <v>0</v>
      </c>
      <c r="O34" s="74">
        <f>+'ПП Декември'!AJ34</f>
        <v>0</v>
      </c>
      <c r="P34" s="74">
        <f t="shared" si="12"/>
        <v>47218.362915999998</v>
      </c>
    </row>
    <row r="35" spans="1:16" s="21" customFormat="1" ht="20.100000000000001" customHeight="1" outlineLevel="1" x14ac:dyDescent="0.3">
      <c r="A35" s="27"/>
      <c r="B35" s="22"/>
      <c r="C35" s="8" t="s">
        <v>466</v>
      </c>
      <c r="D35" s="74">
        <f>+'ПП Януари'!AJ35</f>
        <v>0</v>
      </c>
      <c r="E35" s="74">
        <f>+'ПП Февруари'!AH35</f>
        <v>0</v>
      </c>
      <c r="F35" s="74">
        <f>+'ПП Март'!AJ35</f>
        <v>1849.1</v>
      </c>
      <c r="G35" s="74">
        <f>+'ПП Април'!AI35</f>
        <v>3334.69</v>
      </c>
      <c r="H35" s="74">
        <f>+'ПП Май'!AJ35</f>
        <v>836.71199999999999</v>
      </c>
      <c r="I35" s="74">
        <f>+'ПП Юни'!AI35</f>
        <v>316.97999999999996</v>
      </c>
      <c r="J35" s="74">
        <f>+'ПП Юли'!AJ35</f>
        <v>743.54399999999998</v>
      </c>
      <c r="K35" s="74">
        <f>+'ПП Август'!AJ51</f>
        <v>1527.3719999999998</v>
      </c>
      <c r="L35" s="74">
        <f>+'ПП Септември'!AI35</f>
        <v>0</v>
      </c>
      <c r="M35" s="74">
        <f>+'ПП Октомври'!AJ35</f>
        <v>0</v>
      </c>
      <c r="N35" s="74">
        <f>+'ПП Ноември'!AI35</f>
        <v>0</v>
      </c>
      <c r="O35" s="74">
        <f>+'ПП Декември'!AJ35</f>
        <v>0</v>
      </c>
      <c r="P35" s="74">
        <f t="shared" si="12"/>
        <v>8608.3979999999992</v>
      </c>
    </row>
    <row r="36" spans="1:16" s="4" customFormat="1" ht="20.100000000000001" customHeight="1" x14ac:dyDescent="0.3">
      <c r="A36" s="9"/>
      <c r="B36" s="7">
        <v>3</v>
      </c>
      <c r="C36" s="10" t="s">
        <v>861</v>
      </c>
      <c r="D36" s="74">
        <f t="shared" ref="D36:P36" si="13">SUM(D37:D40)</f>
        <v>0</v>
      </c>
      <c r="E36" s="74">
        <f t="shared" si="13"/>
        <v>0</v>
      </c>
      <c r="F36" s="74">
        <f t="shared" si="13"/>
        <v>116959.06999999999</v>
      </c>
      <c r="G36" s="74">
        <f t="shared" si="13"/>
        <v>72774.37999999999</v>
      </c>
      <c r="H36" s="74">
        <f t="shared" si="13"/>
        <v>13607.832</v>
      </c>
      <c r="I36" s="74">
        <f t="shared" si="13"/>
        <v>144688.55039999998</v>
      </c>
      <c r="J36" s="74">
        <f t="shared" si="13"/>
        <v>28846.991999999998</v>
      </c>
      <c r="K36" s="74">
        <f t="shared" si="13"/>
        <v>94077.335999999981</v>
      </c>
      <c r="L36" s="74">
        <f t="shared" si="13"/>
        <v>58635.756000000001</v>
      </c>
      <c r="M36" s="74">
        <f t="shared" si="13"/>
        <v>0</v>
      </c>
      <c r="N36" s="74">
        <f t="shared" si="13"/>
        <v>0</v>
      </c>
      <c r="O36" s="74">
        <f t="shared" si="13"/>
        <v>0</v>
      </c>
      <c r="P36" s="74">
        <f t="shared" si="13"/>
        <v>529589.91639999999</v>
      </c>
    </row>
    <row r="37" spans="1:16" s="21" customFormat="1" ht="20.100000000000001" customHeight="1" outlineLevel="1" x14ac:dyDescent="0.3">
      <c r="A37" s="27"/>
      <c r="B37" s="22"/>
      <c r="C37" s="8" t="s">
        <v>462</v>
      </c>
      <c r="D37" s="74">
        <f>+'ПП Януари'!AJ37</f>
        <v>0</v>
      </c>
      <c r="E37" s="74">
        <f>+'ПП Февруари'!AH37</f>
        <v>0</v>
      </c>
      <c r="F37" s="74">
        <f>+'ПП Март'!AJ37</f>
        <v>48251.12</v>
      </c>
      <c r="G37" s="74">
        <f>+'ПП Април'!AI37</f>
        <v>30014.89</v>
      </c>
      <c r="H37" s="74">
        <f>+'ПП Май'!AJ37</f>
        <v>5736.0839999999998</v>
      </c>
      <c r="I37" s="74">
        <f>+'ПП Юни'!AI37</f>
        <v>97461.698399999994</v>
      </c>
      <c r="J37" s="74">
        <f>+'ПП Юли'!AJ37</f>
        <v>12488.051999999998</v>
      </c>
      <c r="K37" s="74">
        <f>+'ПП Август'!AJ53</f>
        <v>99665.603999999992</v>
      </c>
      <c r="L37" s="74">
        <f>+'ПП Септември'!AI37</f>
        <v>25622.484</v>
      </c>
      <c r="M37" s="74">
        <f>+'ПП Октомври'!AJ37</f>
        <v>0</v>
      </c>
      <c r="N37" s="74">
        <f>+'ПП Ноември'!AI37</f>
        <v>0</v>
      </c>
      <c r="O37" s="74">
        <f>+'ПП Декември'!AJ37</f>
        <v>0</v>
      </c>
      <c r="P37" s="74">
        <f t="shared" ref="P37:P41" si="14">SUM(D37:O37)</f>
        <v>319239.93239999999</v>
      </c>
    </row>
    <row r="38" spans="1:16" s="21" customFormat="1" ht="20.100000000000001" customHeight="1" outlineLevel="1" x14ac:dyDescent="0.3">
      <c r="A38" s="27"/>
      <c r="B38" s="22"/>
      <c r="C38" s="8" t="s">
        <v>463</v>
      </c>
      <c r="D38" s="74">
        <f>+'ПП Януари'!AJ38</f>
        <v>0</v>
      </c>
      <c r="E38" s="74">
        <f>+'ПП Февруари'!AH38</f>
        <v>0</v>
      </c>
      <c r="F38" s="74">
        <f>+'ПП Март'!AJ38</f>
        <v>68213.03</v>
      </c>
      <c r="G38" s="74">
        <f>+'ПП Април'!AI38</f>
        <v>42432.32</v>
      </c>
      <c r="H38" s="74">
        <f>+'ПП Май'!AJ38</f>
        <v>8109.1679999999997</v>
      </c>
      <c r="I38" s="74">
        <f>+'ПП Юни'!AI38</f>
        <v>51400.139999999992</v>
      </c>
      <c r="J38" s="74">
        <f>+'ПП Юли'!AJ38</f>
        <v>17654.471999999998</v>
      </c>
      <c r="K38" s="74">
        <f>+'ПП Август'!AJ54</f>
        <v>0</v>
      </c>
      <c r="L38" s="74">
        <f>+'ПП Септември'!AI38</f>
        <v>36222.743999999999</v>
      </c>
      <c r="M38" s="74">
        <f>+'ПП Октомври'!AJ38</f>
        <v>0</v>
      </c>
      <c r="N38" s="74">
        <f>+'ПП Ноември'!AI38</f>
        <v>0</v>
      </c>
      <c r="O38" s="74">
        <f>+'ПП Декември'!AJ38</f>
        <v>0</v>
      </c>
      <c r="P38" s="74">
        <f t="shared" si="14"/>
        <v>224031.87400000001</v>
      </c>
    </row>
    <row r="39" spans="1:16" s="21" customFormat="1" ht="20.100000000000001" customHeight="1" outlineLevel="1" x14ac:dyDescent="0.3">
      <c r="A39" s="27"/>
      <c r="B39" s="22"/>
      <c r="C39" s="8" t="s">
        <v>464</v>
      </c>
      <c r="D39" s="74">
        <f>+'ПП Януари'!AJ39</f>
        <v>0</v>
      </c>
      <c r="E39" s="74">
        <f>+'ПП Февруари'!AH39</f>
        <v>0</v>
      </c>
      <c r="F39" s="74">
        <f>+'ПП Март'!AJ39</f>
        <v>4412.24</v>
      </c>
      <c r="G39" s="74">
        <f>+'ПП Април'!AI39</f>
        <v>2763.95</v>
      </c>
      <c r="H39" s="74">
        <f>+'ПП Май'!AJ39</f>
        <v>733.00800000000004</v>
      </c>
      <c r="I39" s="74">
        <f>+'ПП Юни'!AI39</f>
        <v>1977.768</v>
      </c>
      <c r="J39" s="74">
        <f>+'ПП Юли'!AJ39</f>
        <v>817.16399999999999</v>
      </c>
      <c r="K39" s="74">
        <f>+'ПП Август'!AJ55</f>
        <v>1397.34</v>
      </c>
      <c r="L39" s="74">
        <f>+'ПП Септември'!AI39</f>
        <v>1125.288</v>
      </c>
      <c r="M39" s="74">
        <f>+'ПП Октомври'!AJ39</f>
        <v>0</v>
      </c>
      <c r="N39" s="74">
        <f>+'ПП Ноември'!AI39</f>
        <v>0</v>
      </c>
      <c r="O39" s="74">
        <f>+'ПП Декември'!AJ39</f>
        <v>0</v>
      </c>
      <c r="P39" s="74">
        <f t="shared" si="14"/>
        <v>13226.758000000002</v>
      </c>
    </row>
    <row r="40" spans="1:16" s="21" customFormat="1" ht="20.100000000000001" customHeight="1" outlineLevel="1" x14ac:dyDescent="0.3">
      <c r="A40" s="27"/>
      <c r="B40" s="22"/>
      <c r="C40" s="8" t="s">
        <v>465</v>
      </c>
      <c r="D40" s="74">
        <f>+'ПП Януари'!AJ40</f>
        <v>0</v>
      </c>
      <c r="E40" s="74">
        <f>+'ПП Февруари'!AH40</f>
        <v>0</v>
      </c>
      <c r="F40" s="74">
        <f>+'ПП Март'!AJ40</f>
        <v>-3917.32</v>
      </c>
      <c r="G40" s="74">
        <f>+'ПП Април'!AI40</f>
        <v>-2436.7800000000002</v>
      </c>
      <c r="H40" s="74">
        <f>+'ПП Май'!AJ40</f>
        <v>-970.428</v>
      </c>
      <c r="I40" s="74">
        <f>+'ПП Юни'!AI40</f>
        <v>-6151.0559999999996</v>
      </c>
      <c r="J40" s="74">
        <f>+'ПП Юли'!AJ40</f>
        <v>-2112.6959999999999</v>
      </c>
      <c r="K40" s="74">
        <f>+'ПП Август'!AJ56</f>
        <v>-6985.6080000000002</v>
      </c>
      <c r="L40" s="74">
        <f>+'ПП Септември'!AI40</f>
        <v>-4334.76</v>
      </c>
      <c r="M40" s="74">
        <f>+'ПП Октомври'!AJ40</f>
        <v>0</v>
      </c>
      <c r="N40" s="74">
        <f>+'ПП Ноември'!AI40</f>
        <v>0</v>
      </c>
      <c r="O40" s="74">
        <f>+'ПП Декември'!AJ40</f>
        <v>0</v>
      </c>
      <c r="P40" s="74">
        <f t="shared" si="14"/>
        <v>-26908.648000000001</v>
      </c>
    </row>
    <row r="41" spans="1:16" s="4" customFormat="1" ht="20.100000000000001" customHeight="1" x14ac:dyDescent="0.3">
      <c r="A41" s="9"/>
      <c r="B41" s="7">
        <v>4</v>
      </c>
      <c r="C41" s="8" t="s">
        <v>54</v>
      </c>
      <c r="D41" s="74">
        <f>+'ПП Януари'!AJ41</f>
        <v>0</v>
      </c>
      <c r="E41" s="74">
        <f>+'ПП Февруари'!AH41</f>
        <v>0</v>
      </c>
      <c r="F41" s="74">
        <f>+'ПП Март'!AJ41</f>
        <v>109756.9</v>
      </c>
      <c r="G41" s="74">
        <f>+'ПП Април'!AI41</f>
        <v>0</v>
      </c>
      <c r="H41" s="74">
        <f>+'ПП Май'!AJ41</f>
        <v>222437.57</v>
      </c>
      <c r="I41" s="74">
        <f>+'ПП Юни'!AI41</f>
        <v>177190.13999999998</v>
      </c>
      <c r="J41" s="74">
        <f>+'ПП Юли'!AJ41</f>
        <v>29238.907439999995</v>
      </c>
      <c r="K41" s="74">
        <f>+'ПП Август'!AJ57</f>
        <v>88575.647759999993</v>
      </c>
      <c r="L41" s="74">
        <f>+'ПП Септември'!AI41</f>
        <v>49162.63104</v>
      </c>
      <c r="M41" s="74">
        <f>+'ПП Октомври'!AJ41</f>
        <v>0</v>
      </c>
      <c r="N41" s="74">
        <f>+'ПП Ноември'!AI41</f>
        <v>0</v>
      </c>
      <c r="O41" s="74">
        <f>+'ПП Декември'!AJ41</f>
        <v>0</v>
      </c>
      <c r="P41" s="74">
        <f t="shared" si="14"/>
        <v>676361.79623999994</v>
      </c>
    </row>
    <row r="42" spans="1:16" s="4" customFormat="1" ht="20.100000000000001" customHeight="1" x14ac:dyDescent="0.3">
      <c r="A42" s="9"/>
      <c r="B42" s="7">
        <v>5</v>
      </c>
      <c r="C42" s="8" t="s">
        <v>862</v>
      </c>
      <c r="D42" s="74">
        <f t="shared" ref="D42:P42" si="15">+D43+D48+D53+D56+D62</f>
        <v>0</v>
      </c>
      <c r="E42" s="74">
        <f t="shared" si="15"/>
        <v>0</v>
      </c>
      <c r="F42" s="74">
        <f t="shared" si="15"/>
        <v>40710.700000000004</v>
      </c>
      <c r="G42" s="74">
        <f t="shared" si="15"/>
        <v>49033.869999999995</v>
      </c>
      <c r="H42" s="74">
        <f t="shared" si="15"/>
        <v>33259.493999999999</v>
      </c>
      <c r="I42" s="74">
        <f t="shared" si="15"/>
        <v>29799.554457999999</v>
      </c>
      <c r="J42" s="74">
        <f t="shared" si="15"/>
        <v>36576.318859999999</v>
      </c>
      <c r="K42" s="74">
        <f t="shared" si="15"/>
        <v>30234.588000000003</v>
      </c>
      <c r="L42" s="74">
        <f t="shared" si="15"/>
        <v>200788.14600000001</v>
      </c>
      <c r="M42" s="74">
        <f t="shared" si="15"/>
        <v>0</v>
      </c>
      <c r="N42" s="74">
        <f t="shared" si="15"/>
        <v>0</v>
      </c>
      <c r="O42" s="74">
        <f t="shared" si="15"/>
        <v>0</v>
      </c>
      <c r="P42" s="74">
        <f t="shared" si="15"/>
        <v>420402.67131800001</v>
      </c>
    </row>
    <row r="43" spans="1:16" s="21" customFormat="1" ht="20.100000000000001" customHeight="1" outlineLevel="1" x14ac:dyDescent="0.3">
      <c r="A43" s="27"/>
      <c r="B43" s="22"/>
      <c r="C43" s="8" t="s">
        <v>863</v>
      </c>
      <c r="D43" s="74">
        <f t="shared" ref="D43:P43" si="16">SUM(D44:D47)</f>
        <v>0</v>
      </c>
      <c r="E43" s="74">
        <f t="shared" si="16"/>
        <v>0</v>
      </c>
      <c r="F43" s="74">
        <f t="shared" si="16"/>
        <v>1685.9</v>
      </c>
      <c r="G43" s="74">
        <f t="shared" si="16"/>
        <v>19647.129999999997</v>
      </c>
      <c r="H43" s="74">
        <f t="shared" si="16"/>
        <v>10220.710000000001</v>
      </c>
      <c r="I43" s="74">
        <f t="shared" si="16"/>
        <v>1687.8632670000002</v>
      </c>
      <c r="J43" s="74">
        <f t="shared" si="16"/>
        <v>13891.436000000002</v>
      </c>
      <c r="K43" s="74">
        <f t="shared" si="16"/>
        <v>3528.0320000000002</v>
      </c>
      <c r="L43" s="74">
        <f t="shared" si="16"/>
        <v>1703.19</v>
      </c>
      <c r="M43" s="74">
        <f t="shared" si="16"/>
        <v>0</v>
      </c>
      <c r="N43" s="74">
        <f t="shared" si="16"/>
        <v>0</v>
      </c>
      <c r="O43" s="74">
        <f t="shared" si="16"/>
        <v>0</v>
      </c>
      <c r="P43" s="74">
        <f t="shared" si="16"/>
        <v>52364.261267000009</v>
      </c>
    </row>
    <row r="44" spans="1:16" s="21" customFormat="1" ht="20.100000000000001" customHeight="1" outlineLevel="2" x14ac:dyDescent="0.3">
      <c r="A44" s="27"/>
      <c r="B44" s="22"/>
      <c r="C44" s="49" t="s">
        <v>422</v>
      </c>
      <c r="D44" s="74">
        <f>+'ПП Януари'!AJ44</f>
        <v>0</v>
      </c>
      <c r="E44" s="74">
        <f>+'ПП Февруари'!AH44</f>
        <v>0</v>
      </c>
      <c r="F44" s="74">
        <f>+'ПП Март'!AJ44</f>
        <v>1079.45</v>
      </c>
      <c r="G44" s="74">
        <f>+'ПП Април'!AI44</f>
        <v>16064.64</v>
      </c>
      <c r="H44" s="74">
        <f>+'ПП Май'!AJ44</f>
        <v>5710.2300000000005</v>
      </c>
      <c r="I44" s="74">
        <f>+'ПП Юни'!AI44</f>
        <v>1288.6020000000001</v>
      </c>
      <c r="J44" s="74">
        <f>+'ПП Юли'!AJ44</f>
        <v>13891.436000000002</v>
      </c>
      <c r="K44" s="74">
        <f>+'ПП Август'!AJ60</f>
        <v>25.692</v>
      </c>
      <c r="L44" s="74">
        <f>+'ПП Септември'!AI44</f>
        <v>1703.19</v>
      </c>
      <c r="M44" s="74">
        <f>+'ПП Октомври'!AJ44</f>
        <v>0</v>
      </c>
      <c r="N44" s="74">
        <f>+'ПП Ноември'!AI44</f>
        <v>0</v>
      </c>
      <c r="O44" s="74">
        <f>+'ПП Декември'!AJ44</f>
        <v>0</v>
      </c>
      <c r="P44" s="74">
        <f t="shared" ref="P44:P47" si="17">SUM(D44:O44)</f>
        <v>39763.240000000005</v>
      </c>
    </row>
    <row r="45" spans="1:16" s="21" customFormat="1" ht="20.100000000000001" customHeight="1" outlineLevel="2" x14ac:dyDescent="0.3">
      <c r="A45" s="27"/>
      <c r="B45" s="22"/>
      <c r="C45" s="49" t="s">
        <v>622</v>
      </c>
      <c r="D45" s="74">
        <f>+'ПП Януари'!AJ45</f>
        <v>0</v>
      </c>
      <c r="E45" s="74">
        <f>+'ПП Февруари'!AH45</f>
        <v>0</v>
      </c>
      <c r="F45" s="74">
        <f>+'ПП Март'!AJ45</f>
        <v>606.45000000000005</v>
      </c>
      <c r="G45" s="74">
        <f>+'ПП Април'!AI45</f>
        <v>3582.49</v>
      </c>
      <c r="H45" s="74">
        <f>+'ПП Май'!AJ45</f>
        <v>4454.3599999999997</v>
      </c>
      <c r="I45" s="74">
        <f>+'ПП Юни'!AI45</f>
        <v>399.26126699999998</v>
      </c>
      <c r="J45" s="74">
        <f>+'ПП Юли'!AJ45</f>
        <v>0</v>
      </c>
      <c r="K45" s="74">
        <f>+'ПП Август'!AJ61</f>
        <v>3000.73</v>
      </c>
      <c r="L45" s="74">
        <f>+'ПП Септември'!AI45</f>
        <v>0</v>
      </c>
      <c r="M45" s="74">
        <f>+'ПП Октомври'!AJ45</f>
        <v>0</v>
      </c>
      <c r="N45" s="74">
        <f>+'ПП Ноември'!AI45</f>
        <v>0</v>
      </c>
      <c r="O45" s="74">
        <f>+'ПП Декември'!AJ45</f>
        <v>0</v>
      </c>
      <c r="P45" s="74">
        <f t="shared" si="17"/>
        <v>12043.291266999999</v>
      </c>
    </row>
    <row r="46" spans="1:16" s="21" customFormat="1" ht="20.100000000000001" customHeight="1" outlineLevel="2" x14ac:dyDescent="0.3">
      <c r="A46" s="27"/>
      <c r="B46" s="22"/>
      <c r="C46" s="49" t="s">
        <v>864</v>
      </c>
      <c r="D46" s="74">
        <f>+'ПП Януари'!AJ46</f>
        <v>0</v>
      </c>
      <c r="E46" s="74">
        <f>+'ПП Февруари'!AH46</f>
        <v>0</v>
      </c>
      <c r="F46" s="74">
        <f>+'ПП Март'!AJ46</f>
        <v>0</v>
      </c>
      <c r="G46" s="74">
        <f>+'ПП Април'!AI46</f>
        <v>0</v>
      </c>
      <c r="H46" s="74">
        <f>+'ПП Май'!AJ46</f>
        <v>56.12</v>
      </c>
      <c r="I46" s="74">
        <f>+'ПП Юни'!AI46</f>
        <v>0</v>
      </c>
      <c r="J46" s="74">
        <f>+'ПП Юли'!AJ46</f>
        <v>0</v>
      </c>
      <c r="K46" s="74">
        <f>+'ПП Август'!AJ62</f>
        <v>501.61</v>
      </c>
      <c r="L46" s="74">
        <f>+'ПП Септември'!AI46</f>
        <v>0</v>
      </c>
      <c r="M46" s="74">
        <f>+'ПП Октомври'!AJ46</f>
        <v>0</v>
      </c>
      <c r="N46" s="74">
        <f>+'ПП Ноември'!AI46</f>
        <v>0</v>
      </c>
      <c r="O46" s="74">
        <f>+'ПП Декември'!AJ46</f>
        <v>0</v>
      </c>
      <c r="P46" s="74">
        <f t="shared" si="17"/>
        <v>557.73</v>
      </c>
    </row>
    <row r="47" spans="1:16" s="21" customFormat="1" ht="20.100000000000001" customHeight="1" outlineLevel="2" x14ac:dyDescent="0.3">
      <c r="A47" s="27"/>
      <c r="B47" s="22"/>
      <c r="C47" s="49" t="s">
        <v>865</v>
      </c>
      <c r="D47" s="74">
        <f>+'ПП Януари'!AJ47</f>
        <v>0</v>
      </c>
      <c r="E47" s="74">
        <f>+'ПП Февруари'!AH47</f>
        <v>0</v>
      </c>
      <c r="F47" s="74">
        <f>+'ПП Март'!AJ47</f>
        <v>0</v>
      </c>
      <c r="G47" s="74">
        <f>+'ПП Април'!AI47</f>
        <v>0</v>
      </c>
      <c r="H47" s="74">
        <f>+'ПП Май'!AJ47</f>
        <v>0</v>
      </c>
      <c r="I47" s="74">
        <f>+'ПП Юни'!AI47</f>
        <v>0</v>
      </c>
      <c r="J47" s="74">
        <f>+'ПП Юли'!AJ47</f>
        <v>0</v>
      </c>
      <c r="K47" s="74">
        <f>+'ПП Август'!AJ63</f>
        <v>0</v>
      </c>
      <c r="L47" s="74">
        <f>+'ПП Септември'!AI47</f>
        <v>0</v>
      </c>
      <c r="M47" s="74">
        <f>+'ПП Октомври'!AJ47</f>
        <v>0</v>
      </c>
      <c r="N47" s="74">
        <f>+'ПП Ноември'!AI47</f>
        <v>0</v>
      </c>
      <c r="O47" s="74">
        <f>+'ПП Декември'!AJ47</f>
        <v>0</v>
      </c>
      <c r="P47" s="74">
        <f t="shared" si="17"/>
        <v>0</v>
      </c>
    </row>
    <row r="48" spans="1:16" s="21" customFormat="1" ht="20.100000000000001" customHeight="1" outlineLevel="1" x14ac:dyDescent="0.3">
      <c r="A48" s="27"/>
      <c r="B48" s="22"/>
      <c r="C48" s="8" t="s">
        <v>866</v>
      </c>
      <c r="D48" s="74">
        <f t="shared" ref="D48:P48" si="18">SUM(D49:D52)</f>
        <v>0</v>
      </c>
      <c r="E48" s="74">
        <f t="shared" si="18"/>
        <v>0</v>
      </c>
      <c r="F48" s="74">
        <f t="shared" si="18"/>
        <v>15218.220000000001</v>
      </c>
      <c r="G48" s="74">
        <f t="shared" si="18"/>
        <v>3462.66</v>
      </c>
      <c r="H48" s="74">
        <f t="shared" si="18"/>
        <v>9207.6200000000008</v>
      </c>
      <c r="I48" s="74">
        <f t="shared" si="18"/>
        <v>13657.931191</v>
      </c>
      <c r="J48" s="74">
        <f t="shared" si="18"/>
        <v>9432.91</v>
      </c>
      <c r="K48" s="74">
        <f t="shared" si="18"/>
        <v>12668.836000000001</v>
      </c>
      <c r="L48" s="74">
        <f t="shared" si="18"/>
        <v>183412.43600000002</v>
      </c>
      <c r="M48" s="74">
        <f t="shared" si="18"/>
        <v>0</v>
      </c>
      <c r="N48" s="74">
        <f t="shared" si="18"/>
        <v>0</v>
      </c>
      <c r="O48" s="74">
        <f t="shared" si="18"/>
        <v>0</v>
      </c>
      <c r="P48" s="74">
        <f t="shared" si="18"/>
        <v>247060.61319099998</v>
      </c>
    </row>
    <row r="49" spans="1:16" s="21" customFormat="1" ht="20.100000000000001" customHeight="1" outlineLevel="2" x14ac:dyDescent="0.3">
      <c r="A49" s="27"/>
      <c r="B49" s="22"/>
      <c r="C49" s="49" t="s">
        <v>343</v>
      </c>
      <c r="D49" s="74">
        <f>+'ПП Януари'!AJ49</f>
        <v>0</v>
      </c>
      <c r="E49" s="74">
        <f>+'ПП Февруари'!AH49</f>
        <v>0</v>
      </c>
      <c r="F49" s="74">
        <f>+'ПП Март'!AJ49</f>
        <v>8265.9500000000007</v>
      </c>
      <c r="G49" s="74">
        <f>+'ПП Април'!AI49</f>
        <v>3462.66</v>
      </c>
      <c r="H49" s="74">
        <f>+'ПП Май'!AJ49</f>
        <v>9051.1200000000008</v>
      </c>
      <c r="I49" s="74">
        <f>+'ПП Юни'!AI49</f>
        <v>13285.181191</v>
      </c>
      <c r="J49" s="74">
        <f>+'ПП Юли'!AJ49</f>
        <v>9136.619999999999</v>
      </c>
      <c r="K49" s="74">
        <f>+'ПП Август'!AJ65</f>
        <v>12370.056</v>
      </c>
      <c r="L49" s="74">
        <f>+'ПП Септември'!AI49</f>
        <v>183019.296</v>
      </c>
      <c r="M49" s="74">
        <f>+'ПП Октомври'!AJ49</f>
        <v>0</v>
      </c>
      <c r="N49" s="74">
        <f>+'ПП Ноември'!AI49</f>
        <v>0</v>
      </c>
      <c r="O49" s="74">
        <f>+'ПП Декември'!AJ49</f>
        <v>0</v>
      </c>
      <c r="P49" s="74">
        <f t="shared" ref="P49:P52" si="19">SUM(D49:O49)</f>
        <v>238590.883191</v>
      </c>
    </row>
    <row r="50" spans="1:16" s="21" customFormat="1" ht="20.100000000000001" customHeight="1" outlineLevel="2" x14ac:dyDescent="0.3">
      <c r="A50" s="27"/>
      <c r="B50" s="22"/>
      <c r="C50" s="49" t="s">
        <v>609</v>
      </c>
      <c r="D50" s="74">
        <f>+'ПП Януари'!AJ50</f>
        <v>0</v>
      </c>
      <c r="E50" s="74">
        <f>+'ПП Февруари'!AH50</f>
        <v>0</v>
      </c>
      <c r="F50" s="74">
        <f>+'ПП Март'!AJ50</f>
        <v>821.45</v>
      </c>
      <c r="G50" s="74">
        <f>+'ПП Април'!AI50</f>
        <v>0</v>
      </c>
      <c r="H50" s="74">
        <f>+'ПП Май'!AJ50</f>
        <v>156.5</v>
      </c>
      <c r="I50" s="74">
        <f>+'ПП Юни'!AI50</f>
        <v>0</v>
      </c>
      <c r="J50" s="74">
        <f>+'ПП Юли'!AJ50</f>
        <v>0</v>
      </c>
      <c r="K50" s="74">
        <f>+'ПП Август'!AJ66</f>
        <v>0</v>
      </c>
      <c r="L50" s="74">
        <f>+'ПП Септември'!AI50</f>
        <v>391.26</v>
      </c>
      <c r="M50" s="74">
        <f>+'ПП Октомври'!AJ50</f>
        <v>0</v>
      </c>
      <c r="N50" s="74">
        <f>+'ПП Ноември'!AI50</f>
        <v>0</v>
      </c>
      <c r="O50" s="74">
        <f>+'ПП Декември'!AJ50</f>
        <v>0</v>
      </c>
      <c r="P50" s="74">
        <f t="shared" si="19"/>
        <v>1369.21</v>
      </c>
    </row>
    <row r="51" spans="1:16" s="21" customFormat="1" ht="20.100000000000001" customHeight="1" outlineLevel="2" x14ac:dyDescent="0.3">
      <c r="A51" s="27"/>
      <c r="B51" s="22"/>
      <c r="C51" s="49" t="s">
        <v>450</v>
      </c>
      <c r="D51" s="74">
        <f>+'ПП Януари'!AJ51</f>
        <v>0</v>
      </c>
      <c r="E51" s="74">
        <f>+'ПП Февруари'!AH51</f>
        <v>0</v>
      </c>
      <c r="F51" s="74">
        <f>+'ПП Март'!AJ51</f>
        <v>6130.82</v>
      </c>
      <c r="G51" s="74">
        <f>+'ПП Април'!AI51</f>
        <v>0</v>
      </c>
      <c r="H51" s="74">
        <f>+'ПП Май'!AJ51</f>
        <v>0</v>
      </c>
      <c r="I51" s="74">
        <f>+'ПП Юни'!AI51</f>
        <v>372.75</v>
      </c>
      <c r="J51" s="74">
        <f>+'ПП Юли'!AJ51</f>
        <v>296.29000000000002</v>
      </c>
      <c r="K51" s="74">
        <f>+'ПП Август'!AJ67</f>
        <v>298.77999999999997</v>
      </c>
      <c r="L51" s="74">
        <f>+'ПП Септември'!AI51</f>
        <v>1.88</v>
      </c>
      <c r="M51" s="74">
        <f>+'ПП Октомври'!AJ51</f>
        <v>0</v>
      </c>
      <c r="N51" s="74">
        <f>+'ПП Ноември'!AI51</f>
        <v>0</v>
      </c>
      <c r="O51" s="74">
        <f>+'ПП Декември'!AJ51</f>
        <v>0</v>
      </c>
      <c r="P51" s="74">
        <f t="shared" si="19"/>
        <v>7100.5199999999995</v>
      </c>
    </row>
    <row r="52" spans="1:16" s="21" customFormat="1" ht="20.100000000000001" customHeight="1" outlineLevel="2" x14ac:dyDescent="0.3">
      <c r="A52" s="27"/>
      <c r="B52" s="22"/>
      <c r="C52" s="49" t="s">
        <v>867</v>
      </c>
      <c r="D52" s="74">
        <f>+'ПП Януари'!AJ52</f>
        <v>0</v>
      </c>
      <c r="E52" s="74">
        <f>+'ПП Февруари'!AH52</f>
        <v>0</v>
      </c>
      <c r="F52" s="74">
        <f>+'ПП Март'!AJ52</f>
        <v>0</v>
      </c>
      <c r="G52" s="74">
        <f>+'ПП Април'!AI52</f>
        <v>0</v>
      </c>
      <c r="H52" s="74">
        <f>+'ПП Май'!AJ52</f>
        <v>0</v>
      </c>
      <c r="I52" s="74">
        <f>+'ПП Юни'!AI52</f>
        <v>0</v>
      </c>
      <c r="J52" s="74">
        <f>+'ПП Юли'!AJ52</f>
        <v>0</v>
      </c>
      <c r="K52" s="74">
        <f>+'ПП Август'!AJ68</f>
        <v>0</v>
      </c>
      <c r="L52" s="74">
        <f>+'ПП Септември'!AI52</f>
        <v>0</v>
      </c>
      <c r="M52" s="74">
        <f>+'ПП Октомври'!AJ52</f>
        <v>0</v>
      </c>
      <c r="N52" s="74">
        <f>+'ПП Ноември'!AI52</f>
        <v>0</v>
      </c>
      <c r="O52" s="74">
        <f>+'ПП Декември'!AJ52</f>
        <v>0</v>
      </c>
      <c r="P52" s="74">
        <f t="shared" si="19"/>
        <v>0</v>
      </c>
    </row>
    <row r="53" spans="1:16" s="21" customFormat="1" ht="20.100000000000001" customHeight="1" outlineLevel="1" x14ac:dyDescent="0.3">
      <c r="A53" s="27"/>
      <c r="B53" s="22"/>
      <c r="C53" s="8" t="s">
        <v>868</v>
      </c>
      <c r="D53" s="74">
        <f>SUM(D54:D55)</f>
        <v>0</v>
      </c>
      <c r="E53" s="74">
        <f>SUMIFS(разходи!$L:$L,разходи!$E:$E,'ПП 2024'!$C$57,разходи!$M:$M,'ПП 2024'!E2)</f>
        <v>0</v>
      </c>
      <c r="F53" s="74">
        <f>SUMIFS(разходи!$L:$L,разходи!$E:$E,'ПП 2024'!$C$57,разходи!$M:$M,'ПП 2024'!F2)</f>
        <v>0</v>
      </c>
      <c r="G53" s="74">
        <f>SUMIFS(разходи!$L:$L,разходи!$E:$E,'ПП 2024'!$C$57,разходи!$M:$M,'ПП 2024'!G2)</f>
        <v>0</v>
      </c>
      <c r="H53" s="74">
        <f>SUMIFS(разходи!$L:$L,разходи!$E:$E,'ПП 2024'!$C$57,разходи!$M:$M,'ПП 2024'!H2)</f>
        <v>0</v>
      </c>
      <c r="I53" s="74">
        <f>SUMIFS(разходи!$L:$L,разходи!$E:$E,'ПП 2024'!$C$57,разходи!$M:$M,'ПП 2024'!I2)</f>
        <v>0</v>
      </c>
      <c r="J53" s="74">
        <f>SUMIFS(разходи!$L:$L,разходи!$E:$E,'ПП 2024'!$C$57,разходи!$M:$M,'ПП 2024'!J2)</f>
        <v>0</v>
      </c>
      <c r="K53" s="74">
        <f>SUMIFS(разходи!$L:$L,разходи!$E:$E,'ПП 2024'!$C$57,разходи!$M:$M,'ПП 2024'!K2)</f>
        <v>0</v>
      </c>
      <c r="L53" s="74">
        <f>SUMIFS(разходи!$L:$L,разходи!$E:$E,'ПП 2024'!$C$57,разходи!$M:$M,'ПП 2024'!L2)</f>
        <v>0</v>
      </c>
      <c r="M53" s="74">
        <f>SUMIFS(разходи!$L:$L,разходи!$E:$E,'ПП 2024'!$C$57,разходи!$M:$M,'ПП 2024'!M2)</f>
        <v>0</v>
      </c>
      <c r="N53" s="74">
        <f>SUMIFS(разходи!$L:$L,разходи!$E:$E,'ПП 2024'!$C$57,разходи!$M:$M,'ПП 2024'!N2)</f>
        <v>0</v>
      </c>
      <c r="O53" s="74">
        <f>SUMIFS(разходи!$L:$L,разходи!$E:$E,'ПП 2024'!$C$57,разходи!$M:$M,'ПП 2024'!O2)</f>
        <v>0</v>
      </c>
      <c r="P53" s="74">
        <f>SUMIFS(разходи!$L:$L,разходи!$E:$E,'ПП 2024'!$C$57,разходи!$M:$M,'ПП 2024'!P2)</f>
        <v>0</v>
      </c>
    </row>
    <row r="54" spans="1:16" s="53" customFormat="1" ht="20.100000000000001" customHeight="1" outlineLevel="2" x14ac:dyDescent="0.3">
      <c r="A54" s="51"/>
      <c r="B54" s="52"/>
      <c r="C54" s="49" t="s">
        <v>869</v>
      </c>
      <c r="D54" s="74">
        <f>+'ПП Януари'!AJ54</f>
        <v>0</v>
      </c>
      <c r="E54" s="74">
        <f>+'ПП Февруари'!AH54</f>
        <v>0</v>
      </c>
      <c r="F54" s="74">
        <f>+'ПП Март'!AJ54</f>
        <v>0</v>
      </c>
      <c r="G54" s="74">
        <f>+'ПП Април'!AI54</f>
        <v>0</v>
      </c>
      <c r="H54" s="74">
        <f>+'ПП Май'!AJ54</f>
        <v>0</v>
      </c>
      <c r="I54" s="74">
        <f>+'ПП Юни'!AI54</f>
        <v>0</v>
      </c>
      <c r="J54" s="74">
        <f>+'ПП Юли'!AJ54</f>
        <v>0</v>
      </c>
      <c r="K54" s="74">
        <f>+'ПП Август'!AJ70</f>
        <v>0</v>
      </c>
      <c r="L54" s="74">
        <f>+'ПП Септември'!AI54</f>
        <v>0</v>
      </c>
      <c r="M54" s="74">
        <f>+'ПП Октомври'!AJ54</f>
        <v>0</v>
      </c>
      <c r="N54" s="74">
        <f>+'ПП Ноември'!AI54</f>
        <v>0</v>
      </c>
      <c r="O54" s="74">
        <f>+'ПП Декември'!AJ54</f>
        <v>0</v>
      </c>
      <c r="P54" s="74">
        <f t="shared" ref="P54:P55" si="20">SUM(D54:O54)</f>
        <v>0</v>
      </c>
    </row>
    <row r="55" spans="1:16" s="53" customFormat="1" ht="20.100000000000001" customHeight="1" outlineLevel="2" x14ac:dyDescent="0.3">
      <c r="A55" s="51"/>
      <c r="B55" s="52"/>
      <c r="C55" s="49" t="s">
        <v>415</v>
      </c>
      <c r="D55" s="74">
        <f>+'ПП Януари'!AJ55</f>
        <v>0</v>
      </c>
      <c r="E55" s="74">
        <f>+'ПП Февруари'!AH55</f>
        <v>0</v>
      </c>
      <c r="F55" s="74">
        <f>+'ПП Март'!AJ55</f>
        <v>9655.5499999999993</v>
      </c>
      <c r="G55" s="74">
        <f>+'ПП Април'!AI55</f>
        <v>0</v>
      </c>
      <c r="H55" s="74">
        <f>+'ПП Май'!AJ55</f>
        <v>0</v>
      </c>
      <c r="I55" s="74">
        <f>+'ПП Юни'!AI55</f>
        <v>0</v>
      </c>
      <c r="J55" s="74">
        <f>+'ПП Юли'!AJ55</f>
        <v>6001.46</v>
      </c>
      <c r="K55" s="74">
        <f>+'ПП Август'!AJ71</f>
        <v>0</v>
      </c>
      <c r="L55" s="74">
        <f>+'ПП Септември'!AI55</f>
        <v>3000.7294440000001</v>
      </c>
      <c r="M55" s="74">
        <f>+'ПП Октомври'!AJ55</f>
        <v>0</v>
      </c>
      <c r="N55" s="74">
        <f>+'ПП Ноември'!AI55</f>
        <v>0</v>
      </c>
      <c r="O55" s="74">
        <f>+'ПП Декември'!AJ55</f>
        <v>0</v>
      </c>
      <c r="P55" s="74">
        <f t="shared" si="20"/>
        <v>18657.739443999999</v>
      </c>
    </row>
    <row r="56" spans="1:16" s="39" customFormat="1" ht="20.100000000000001" customHeight="1" outlineLevel="1" x14ac:dyDescent="0.3">
      <c r="A56" s="37"/>
      <c r="B56" s="38"/>
      <c r="C56" s="48" t="s">
        <v>870</v>
      </c>
      <c r="D56" s="74">
        <f t="shared" ref="D56:P56" si="21">SUM(D57:D61)</f>
        <v>0</v>
      </c>
      <c r="E56" s="74">
        <f t="shared" si="21"/>
        <v>0</v>
      </c>
      <c r="F56" s="74">
        <f t="shared" si="21"/>
        <v>0</v>
      </c>
      <c r="G56" s="74">
        <f t="shared" si="21"/>
        <v>3145.73</v>
      </c>
      <c r="H56" s="74">
        <f t="shared" si="21"/>
        <v>4921.4940000000006</v>
      </c>
      <c r="I56" s="74">
        <f t="shared" si="21"/>
        <v>0</v>
      </c>
      <c r="J56" s="74">
        <f t="shared" si="21"/>
        <v>1041.1428599999999</v>
      </c>
      <c r="K56" s="74">
        <f t="shared" si="21"/>
        <v>0</v>
      </c>
      <c r="L56" s="74">
        <f t="shared" si="21"/>
        <v>2065.85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11174.21686</v>
      </c>
    </row>
    <row r="57" spans="1:16" s="39" customFormat="1" ht="20.100000000000001" customHeight="1" outlineLevel="2" x14ac:dyDescent="0.3">
      <c r="A57" s="37"/>
      <c r="B57" s="38"/>
      <c r="C57" s="49" t="s">
        <v>871</v>
      </c>
      <c r="D57" s="74">
        <f>+'ПП Януари'!AJ57</f>
        <v>0</v>
      </c>
      <c r="E57" s="74">
        <f>+'ПП Февруари'!AH57</f>
        <v>0</v>
      </c>
      <c r="F57" s="74">
        <f>+'ПП Март'!AJ57</f>
        <v>0</v>
      </c>
      <c r="G57" s="74">
        <f>+'ПП Април'!AI57</f>
        <v>0</v>
      </c>
      <c r="H57" s="74">
        <f>+'ПП Май'!AJ57</f>
        <v>0</v>
      </c>
      <c r="I57" s="74">
        <f>+'ПП Юни'!AI57</f>
        <v>0</v>
      </c>
      <c r="J57" s="74">
        <f>+'ПП Юли'!AJ57</f>
        <v>0</v>
      </c>
      <c r="K57" s="74">
        <f>+'ПП Август'!AJ73</f>
        <v>0</v>
      </c>
      <c r="L57" s="74">
        <f>+'ПП Септември'!AI57</f>
        <v>0</v>
      </c>
      <c r="M57" s="74">
        <f>+'ПП Октомври'!AJ57</f>
        <v>0</v>
      </c>
      <c r="N57" s="74">
        <f>+'ПП Ноември'!AI57</f>
        <v>0</v>
      </c>
      <c r="O57" s="74">
        <f>+'ПП Декември'!AJ57</f>
        <v>0</v>
      </c>
      <c r="P57" s="74">
        <f t="shared" ref="P57:P61" si="22">SUM(D57:O57)</f>
        <v>0</v>
      </c>
    </row>
    <row r="58" spans="1:16" s="39" customFormat="1" ht="20.100000000000001" customHeight="1" outlineLevel="2" x14ac:dyDescent="0.3">
      <c r="A58" s="37"/>
      <c r="B58" s="38"/>
      <c r="C58" s="49" t="s">
        <v>872</v>
      </c>
      <c r="D58" s="74">
        <f>+'ПП Януари'!AJ58</f>
        <v>0</v>
      </c>
      <c r="E58" s="74">
        <f>+'ПП Февруари'!AH58</f>
        <v>0</v>
      </c>
      <c r="F58" s="74">
        <f>+'ПП Март'!AJ58</f>
        <v>0</v>
      </c>
      <c r="G58" s="74">
        <f>+'ПП Април'!AI58</f>
        <v>0</v>
      </c>
      <c r="H58" s="74">
        <f>+'ПП Май'!AJ58</f>
        <v>1212.9000000000001</v>
      </c>
      <c r="I58" s="74">
        <f>+'ПП Юни'!AI58</f>
        <v>0</v>
      </c>
      <c r="J58" s="74">
        <f>+'ПП Юли'!AJ58</f>
        <v>0</v>
      </c>
      <c r="K58" s="74">
        <f>+'ПП Август'!AJ74</f>
        <v>0</v>
      </c>
      <c r="L58" s="74">
        <f>+'ПП Септември'!AI58</f>
        <v>0</v>
      </c>
      <c r="M58" s="74">
        <f>+'ПП Октомври'!AJ58</f>
        <v>0</v>
      </c>
      <c r="N58" s="74">
        <f>+'ПП Ноември'!AI58</f>
        <v>0</v>
      </c>
      <c r="O58" s="74">
        <f>+'ПП Декември'!AJ58</f>
        <v>0</v>
      </c>
      <c r="P58" s="74">
        <f t="shared" si="22"/>
        <v>1212.9000000000001</v>
      </c>
    </row>
    <row r="59" spans="1:16" s="39" customFormat="1" ht="20.100000000000001" customHeight="1" outlineLevel="2" x14ac:dyDescent="0.3">
      <c r="A59" s="37"/>
      <c r="B59" s="38"/>
      <c r="C59" s="49" t="s">
        <v>786</v>
      </c>
      <c r="D59" s="74">
        <f>+'ПП Януари'!AJ59</f>
        <v>0</v>
      </c>
      <c r="E59" s="74">
        <f>+'ПП Февруари'!AH59</f>
        <v>0</v>
      </c>
      <c r="F59" s="74">
        <f>+'ПП Март'!AJ59</f>
        <v>0</v>
      </c>
      <c r="G59" s="74">
        <f>+'ПП Април'!AI59</f>
        <v>3145.73</v>
      </c>
      <c r="H59" s="74">
        <f>+'ПП Май'!AJ59</f>
        <v>3286.5839999999998</v>
      </c>
      <c r="I59" s="74">
        <f>+'ПП Юни'!AI59</f>
        <v>0</v>
      </c>
      <c r="J59" s="74">
        <f>+'ПП Юли'!AJ59</f>
        <v>1041.1428599999999</v>
      </c>
      <c r="K59" s="74">
        <f>+'ПП Август'!AJ75</f>
        <v>0</v>
      </c>
      <c r="L59" s="74">
        <f>+'ПП Септември'!AI59</f>
        <v>2065.85</v>
      </c>
      <c r="M59" s="74">
        <f>+'ПП Октомври'!AJ59</f>
        <v>0</v>
      </c>
      <c r="N59" s="74">
        <f>+'ПП Ноември'!AI59</f>
        <v>0</v>
      </c>
      <c r="O59" s="74">
        <f>+'ПП Декември'!AJ59</f>
        <v>0</v>
      </c>
      <c r="P59" s="74">
        <f t="shared" si="22"/>
        <v>9539.3068600000006</v>
      </c>
    </row>
    <row r="60" spans="1:16" s="39" customFormat="1" ht="20.100000000000001" customHeight="1" outlineLevel="2" x14ac:dyDescent="0.3">
      <c r="A60" s="37"/>
      <c r="B60" s="38"/>
      <c r="C60" s="49" t="s">
        <v>873</v>
      </c>
      <c r="D60" s="74">
        <f>+'ПП Януари'!AJ60</f>
        <v>0</v>
      </c>
      <c r="E60" s="74">
        <f>+'ПП Февруари'!AH60</f>
        <v>0</v>
      </c>
      <c r="F60" s="74">
        <f>+'ПП Март'!AJ60</f>
        <v>0</v>
      </c>
      <c r="G60" s="74">
        <f>+'ПП Април'!AI60</f>
        <v>0</v>
      </c>
      <c r="H60" s="74">
        <f>+'ПП Май'!AJ60</f>
        <v>0</v>
      </c>
      <c r="I60" s="74">
        <f>+'ПП Юни'!AI60</f>
        <v>0</v>
      </c>
      <c r="J60" s="74">
        <f>+'ПП Юли'!AJ60</f>
        <v>0</v>
      </c>
      <c r="K60" s="74">
        <f>+'ПП Август'!AJ76</f>
        <v>0</v>
      </c>
      <c r="L60" s="74">
        <f>+'ПП Септември'!AI60</f>
        <v>0</v>
      </c>
      <c r="M60" s="74">
        <f>+'ПП Октомври'!AJ60</f>
        <v>0</v>
      </c>
      <c r="N60" s="74">
        <f>+'ПП Ноември'!AI60</f>
        <v>0</v>
      </c>
      <c r="O60" s="74">
        <f>+'ПП Декември'!AJ60</f>
        <v>0</v>
      </c>
      <c r="P60" s="74">
        <f t="shared" si="22"/>
        <v>0</v>
      </c>
    </row>
    <row r="61" spans="1:16" s="39" customFormat="1" ht="20.100000000000001" customHeight="1" outlineLevel="2" x14ac:dyDescent="0.3">
      <c r="A61" s="37"/>
      <c r="B61" s="38"/>
      <c r="C61" s="49" t="s">
        <v>874</v>
      </c>
      <c r="D61" s="74">
        <f>+'ПП Януари'!AJ61</f>
        <v>0</v>
      </c>
      <c r="E61" s="74">
        <f>+'ПП Февруари'!AH61</f>
        <v>0</v>
      </c>
      <c r="F61" s="74">
        <f>+'ПП Март'!AJ61</f>
        <v>0</v>
      </c>
      <c r="G61" s="74">
        <f>+'ПП Април'!AI61</f>
        <v>0</v>
      </c>
      <c r="H61" s="74">
        <f>+'ПП Май'!AJ61</f>
        <v>422.01</v>
      </c>
      <c r="I61" s="74">
        <f>+'ПП Юни'!AI61</f>
        <v>0</v>
      </c>
      <c r="J61" s="74">
        <f>+'ПП Юли'!AJ61</f>
        <v>0</v>
      </c>
      <c r="K61" s="74">
        <f>+'ПП Август'!AJ77</f>
        <v>0</v>
      </c>
      <c r="L61" s="74">
        <f>+'ПП Септември'!AI61</f>
        <v>0</v>
      </c>
      <c r="M61" s="74">
        <f>+'ПП Октомври'!AJ61</f>
        <v>0</v>
      </c>
      <c r="N61" s="74">
        <f>+'ПП Ноември'!AI61</f>
        <v>0</v>
      </c>
      <c r="O61" s="74">
        <f>+'ПП Декември'!AJ61</f>
        <v>0</v>
      </c>
      <c r="P61" s="74">
        <f t="shared" si="22"/>
        <v>422.01</v>
      </c>
    </row>
    <row r="62" spans="1:16" s="39" customFormat="1" ht="20.100000000000001" customHeight="1" outlineLevel="1" x14ac:dyDescent="0.3">
      <c r="A62" s="37"/>
      <c r="B62" s="38"/>
      <c r="C62" s="32" t="s">
        <v>875</v>
      </c>
      <c r="D62" s="74">
        <f t="shared" ref="D62:P62" si="23">SUM(D63:D65)</f>
        <v>0</v>
      </c>
      <c r="E62" s="74">
        <f t="shared" si="23"/>
        <v>0</v>
      </c>
      <c r="F62" s="74">
        <f t="shared" si="23"/>
        <v>23806.58</v>
      </c>
      <c r="G62" s="74">
        <f t="shared" si="23"/>
        <v>22778.35</v>
      </c>
      <c r="H62" s="74">
        <f t="shared" si="23"/>
        <v>8909.67</v>
      </c>
      <c r="I62" s="74">
        <f t="shared" si="23"/>
        <v>14453.759999999998</v>
      </c>
      <c r="J62" s="74">
        <f t="shared" si="23"/>
        <v>12210.83</v>
      </c>
      <c r="K62" s="74">
        <f t="shared" si="23"/>
        <v>14037.72</v>
      </c>
      <c r="L62" s="74">
        <f t="shared" si="23"/>
        <v>13606.669999999998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109803.58</v>
      </c>
    </row>
    <row r="63" spans="1:16" s="39" customFormat="1" ht="20.100000000000001" customHeight="1" outlineLevel="2" x14ac:dyDescent="0.3">
      <c r="A63" s="37"/>
      <c r="B63" s="38"/>
      <c r="C63" s="50" t="s">
        <v>876</v>
      </c>
      <c r="D63" s="74">
        <f>+'ПП Януари'!AJ63</f>
        <v>0</v>
      </c>
      <c r="E63" s="74">
        <f>+'ПП Февруари'!AH63</f>
        <v>0</v>
      </c>
      <c r="F63" s="74">
        <f>+'ПП Март'!AJ63</f>
        <v>0</v>
      </c>
      <c r="G63" s="74">
        <f>+'ПП Април'!AI63</f>
        <v>0</v>
      </c>
      <c r="H63" s="74">
        <f>+'ПП Май'!AJ63</f>
        <v>0</v>
      </c>
      <c r="I63" s="74">
        <f>+'ПП Юни'!AI63</f>
        <v>0</v>
      </c>
      <c r="J63" s="74">
        <f>+'ПП Юли'!AJ63</f>
        <v>0</v>
      </c>
      <c r="K63" s="74">
        <f>+'ПП Август'!AJ79</f>
        <v>0</v>
      </c>
      <c r="L63" s="74">
        <f>+'ПП Септември'!AI63</f>
        <v>0</v>
      </c>
      <c r="M63" s="74">
        <f>+'ПП Октомври'!AJ63</f>
        <v>0</v>
      </c>
      <c r="N63" s="74">
        <f>+'ПП Ноември'!AI63</f>
        <v>0</v>
      </c>
      <c r="O63" s="74">
        <f>+'ПП Декември'!AJ63</f>
        <v>0</v>
      </c>
      <c r="P63" s="74">
        <f t="shared" ref="P63:P65" si="24">SUM(D63:O63)</f>
        <v>0</v>
      </c>
    </row>
    <row r="64" spans="1:16" s="39" customFormat="1" ht="20.100000000000001" customHeight="1" outlineLevel="2" x14ac:dyDescent="0.3">
      <c r="A64" s="37"/>
      <c r="B64" s="38"/>
      <c r="C64" s="50" t="s">
        <v>623</v>
      </c>
      <c r="D64" s="74">
        <f>+'ПП Януари'!AJ64</f>
        <v>0</v>
      </c>
      <c r="E64" s="74">
        <f>+'ПП Февруари'!AH64</f>
        <v>0</v>
      </c>
      <c r="F64" s="74">
        <f>+'ПП Март'!AJ64</f>
        <v>23806.58</v>
      </c>
      <c r="G64" s="74">
        <f>+'ПП Април'!AI64</f>
        <v>22778.35</v>
      </c>
      <c r="H64" s="74">
        <f>+'ПП Май'!AJ64</f>
        <v>8909.67</v>
      </c>
      <c r="I64" s="74">
        <f>+'ПП Юни'!AI64</f>
        <v>14453.759999999998</v>
      </c>
      <c r="J64" s="74">
        <f>+'ПП Юли'!AJ64</f>
        <v>12210.83</v>
      </c>
      <c r="K64" s="74">
        <f>+'ПП Август'!AJ80</f>
        <v>14037.72</v>
      </c>
      <c r="L64" s="74">
        <f>+'ПП Септември'!AI64</f>
        <v>13606.669999999998</v>
      </c>
      <c r="M64" s="74">
        <f>+'ПП Октомври'!AJ64</f>
        <v>0</v>
      </c>
      <c r="N64" s="74">
        <f>+'ПП Ноември'!AI64</f>
        <v>0</v>
      </c>
      <c r="O64" s="74">
        <f>+'ПП Декември'!AJ64</f>
        <v>0</v>
      </c>
      <c r="P64" s="74">
        <f t="shared" si="24"/>
        <v>109803.58</v>
      </c>
    </row>
    <row r="65" spans="1:16" s="39" customFormat="1" ht="20.100000000000001" customHeight="1" outlineLevel="2" x14ac:dyDescent="0.3">
      <c r="A65" s="37"/>
      <c r="B65" s="38"/>
      <c r="C65" s="50" t="s">
        <v>877</v>
      </c>
      <c r="D65" s="74">
        <f>+'ПП Януари'!AJ65</f>
        <v>0</v>
      </c>
      <c r="E65" s="74">
        <f>+'ПП Февруари'!AH65</f>
        <v>0</v>
      </c>
      <c r="F65" s="74">
        <f>+'ПП Март'!AJ65</f>
        <v>0</v>
      </c>
      <c r="G65" s="74">
        <f>+'ПП Април'!AI65</f>
        <v>0</v>
      </c>
      <c r="H65" s="74">
        <f>+'ПП Май'!AJ65</f>
        <v>0</v>
      </c>
      <c r="I65" s="74">
        <f>+'ПП Юни'!AI65</f>
        <v>0</v>
      </c>
      <c r="J65" s="74">
        <f>+'ПП Юли'!AJ65</f>
        <v>0</v>
      </c>
      <c r="K65" s="74">
        <f>+'ПП Август'!AJ81</f>
        <v>0</v>
      </c>
      <c r="L65" s="74">
        <f>+'ПП Септември'!AI65</f>
        <v>0</v>
      </c>
      <c r="M65" s="74">
        <f>+'ПП Октомври'!AJ65</f>
        <v>0</v>
      </c>
      <c r="N65" s="74">
        <f>+'ПП Ноември'!AI65</f>
        <v>0</v>
      </c>
      <c r="O65" s="74">
        <f>+'ПП Декември'!AJ65</f>
        <v>0</v>
      </c>
      <c r="P65" s="74">
        <f t="shared" si="24"/>
        <v>0</v>
      </c>
    </row>
    <row r="66" spans="1:1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P66" si="25">D3-D23</f>
        <v>9153373.4900000002</v>
      </c>
      <c r="E66" s="54">
        <f t="shared" si="25"/>
        <v>15445785.159999998</v>
      </c>
      <c r="F66" s="54">
        <f t="shared" si="25"/>
        <v>7618316.1560000014</v>
      </c>
      <c r="G66" s="54">
        <f t="shared" si="25"/>
        <v>2272320.9240968637</v>
      </c>
      <c r="H66" s="54">
        <f t="shared" si="25"/>
        <v>-5188792.057161401</v>
      </c>
      <c r="I66" s="54">
        <f t="shared" si="25"/>
        <v>-350937.59285799973</v>
      </c>
      <c r="J66" s="54">
        <f t="shared" si="25"/>
        <v>-7742757.5218297634</v>
      </c>
      <c r="K66" s="54">
        <f t="shared" si="25"/>
        <v>-7453314.9363256907</v>
      </c>
      <c r="L66" s="54">
        <f t="shared" si="25"/>
        <v>-2608753.7064863686</v>
      </c>
      <c r="M66" s="54">
        <f t="shared" si="25"/>
        <v>0</v>
      </c>
      <c r="N66" s="54">
        <f t="shared" si="25"/>
        <v>0</v>
      </c>
      <c r="O66" s="54">
        <f t="shared" si="25"/>
        <v>0</v>
      </c>
      <c r="P66" s="54">
        <f t="shared" si="25"/>
        <v>11145239.915435635</v>
      </c>
    </row>
    <row r="67" spans="1:16" x14ac:dyDescent="0.25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F146-238F-496C-8FD7-CF974DB1C4C4}">
  <dimension ref="A1:G19"/>
  <sheetViews>
    <sheetView workbookViewId="0">
      <selection activeCell="D8" sqref="D8"/>
    </sheetView>
  </sheetViews>
  <sheetFormatPr defaultColWidth="9.140625" defaultRowHeight="15" x14ac:dyDescent="0.25"/>
  <cols>
    <col min="1" max="1" width="25.7109375" style="191" customWidth="1"/>
    <col min="2" max="2" width="56.42578125" style="191" bestFit="1" customWidth="1"/>
    <col min="3" max="3" width="32.140625" style="191" customWidth="1"/>
    <col min="4" max="4" width="19.140625" style="191" customWidth="1"/>
    <col min="5" max="5" width="17.5703125" style="191" customWidth="1"/>
    <col min="6" max="6" width="99" style="191" customWidth="1"/>
    <col min="7" max="16384" width="9.140625" style="191"/>
  </cols>
  <sheetData>
    <row r="1" spans="1:7" ht="42" customHeight="1" x14ac:dyDescent="0.25">
      <c r="A1" s="202" t="s">
        <v>880</v>
      </c>
      <c r="B1" s="202" t="s">
        <v>881</v>
      </c>
      <c r="C1" s="202" t="s">
        <v>882</v>
      </c>
      <c r="D1" s="202" t="s">
        <v>883</v>
      </c>
      <c r="E1" s="202" t="s">
        <v>884</v>
      </c>
      <c r="F1" s="202" t="s">
        <v>885</v>
      </c>
    </row>
    <row r="2" spans="1:7" ht="33" customHeight="1" x14ac:dyDescent="0.25">
      <c r="A2" s="170" t="s">
        <v>886</v>
      </c>
      <c r="B2" s="171" t="s">
        <v>887</v>
      </c>
      <c r="C2" s="203" t="s">
        <v>888</v>
      </c>
      <c r="D2" s="172">
        <v>300000</v>
      </c>
      <c r="E2" s="173" t="s">
        <v>889</v>
      </c>
      <c r="F2" s="174" t="s">
        <v>890</v>
      </c>
      <c r="G2" s="195"/>
    </row>
    <row r="3" spans="1:7" ht="33" customHeight="1" x14ac:dyDescent="0.25">
      <c r="A3" s="170" t="s">
        <v>886</v>
      </c>
      <c r="B3" s="171" t="s">
        <v>887</v>
      </c>
      <c r="C3" s="171" t="s">
        <v>891</v>
      </c>
      <c r="D3" s="172">
        <v>1252111.45</v>
      </c>
      <c r="E3" s="173" t="s">
        <v>889</v>
      </c>
      <c r="F3" s="176" t="s">
        <v>892</v>
      </c>
      <c r="G3" s="195"/>
    </row>
    <row r="4" spans="1:7" ht="33" customHeight="1" x14ac:dyDescent="0.25">
      <c r="A4" s="170" t="s">
        <v>893</v>
      </c>
      <c r="B4" s="171" t="s">
        <v>894</v>
      </c>
      <c r="C4" s="203" t="s">
        <v>888</v>
      </c>
      <c r="D4" s="172">
        <v>446250</v>
      </c>
      <c r="E4" s="173" t="s">
        <v>895</v>
      </c>
      <c r="F4" s="174" t="s">
        <v>890</v>
      </c>
      <c r="G4" s="195"/>
    </row>
    <row r="5" spans="1:7" ht="33" customHeight="1" x14ac:dyDescent="0.25">
      <c r="A5" s="170" t="s">
        <v>896</v>
      </c>
      <c r="B5" s="175"/>
      <c r="C5" s="203" t="s">
        <v>888</v>
      </c>
      <c r="D5" s="172">
        <v>115200</v>
      </c>
      <c r="E5" s="171"/>
      <c r="F5" s="174"/>
      <c r="G5" s="195"/>
    </row>
    <row r="6" spans="1:7" ht="33" customHeight="1" x14ac:dyDescent="0.25">
      <c r="A6" s="170" t="s">
        <v>896</v>
      </c>
      <c r="B6" s="171" t="s">
        <v>897</v>
      </c>
      <c r="C6" s="171" t="s">
        <v>898</v>
      </c>
      <c r="D6" s="172">
        <v>10000</v>
      </c>
      <c r="E6" s="171"/>
      <c r="F6" s="174"/>
      <c r="G6" s="195"/>
    </row>
    <row r="7" spans="1:7" ht="33" customHeight="1" x14ac:dyDescent="0.25">
      <c r="A7" s="170" t="s">
        <v>899</v>
      </c>
      <c r="B7" s="171" t="s">
        <v>900</v>
      </c>
      <c r="C7" s="171" t="s">
        <v>891</v>
      </c>
      <c r="D7" s="171"/>
      <c r="E7" s="173" t="s">
        <v>895</v>
      </c>
      <c r="F7" s="174" t="s">
        <v>901</v>
      </c>
      <c r="G7" s="195"/>
    </row>
    <row r="8" spans="1:7" ht="33" customHeight="1" x14ac:dyDescent="0.25">
      <c r="A8" s="184" t="s">
        <v>902</v>
      </c>
      <c r="B8" s="185"/>
      <c r="C8" s="185"/>
      <c r="D8" s="185" t="s">
        <v>903</v>
      </c>
      <c r="E8" s="185"/>
      <c r="F8" s="186" t="s">
        <v>904</v>
      </c>
      <c r="G8" s="195"/>
    </row>
    <row r="9" spans="1:7" ht="33" customHeight="1" x14ac:dyDescent="0.25">
      <c r="A9" s="184" t="s">
        <v>905</v>
      </c>
      <c r="B9" s="185" t="s">
        <v>906</v>
      </c>
      <c r="C9" s="203" t="s">
        <v>888</v>
      </c>
      <c r="D9" s="187">
        <v>12000</v>
      </c>
      <c r="E9" s="185" t="s">
        <v>907</v>
      </c>
      <c r="F9" s="186" t="s">
        <v>908</v>
      </c>
      <c r="G9" s="195"/>
    </row>
    <row r="10" spans="1:7" ht="33" customHeight="1" x14ac:dyDescent="0.25">
      <c r="A10" s="184" t="s">
        <v>899</v>
      </c>
      <c r="B10" s="185" t="s">
        <v>909</v>
      </c>
      <c r="C10" s="185" t="s">
        <v>891</v>
      </c>
      <c r="D10" s="188">
        <v>400000</v>
      </c>
      <c r="E10" s="189" t="s">
        <v>895</v>
      </c>
      <c r="F10" s="186" t="s">
        <v>901</v>
      </c>
      <c r="G10" s="195"/>
    </row>
    <row r="11" spans="1:7" ht="33" customHeight="1" x14ac:dyDescent="0.25">
      <c r="A11" s="184" t="s">
        <v>899</v>
      </c>
      <c r="B11" s="185" t="s">
        <v>910</v>
      </c>
      <c r="C11" s="185" t="s">
        <v>891</v>
      </c>
      <c r="D11" s="188">
        <v>1000000</v>
      </c>
      <c r="E11" s="189" t="s">
        <v>895</v>
      </c>
      <c r="F11" s="186" t="s">
        <v>901</v>
      </c>
      <c r="G11" s="195"/>
    </row>
    <row r="12" spans="1:7" ht="33" customHeight="1" x14ac:dyDescent="0.25">
      <c r="A12" s="184" t="s">
        <v>899</v>
      </c>
      <c r="B12" s="185" t="s">
        <v>911</v>
      </c>
      <c r="C12" s="185" t="s">
        <v>891</v>
      </c>
      <c r="D12" s="188">
        <v>600000</v>
      </c>
      <c r="E12" s="189" t="s">
        <v>895</v>
      </c>
      <c r="F12" s="186" t="s">
        <v>901</v>
      </c>
      <c r="G12" s="195"/>
    </row>
    <row r="13" spans="1:7" ht="33" customHeight="1" x14ac:dyDescent="0.25">
      <c r="A13" s="184" t="s">
        <v>899</v>
      </c>
      <c r="B13" s="185" t="s">
        <v>909</v>
      </c>
      <c r="C13" s="203" t="s">
        <v>888</v>
      </c>
      <c r="D13" s="188">
        <v>200000</v>
      </c>
      <c r="E13" s="189" t="s">
        <v>895</v>
      </c>
      <c r="F13" s="186"/>
      <c r="G13" s="195"/>
    </row>
    <row r="14" spans="1:7" ht="33" customHeight="1" x14ac:dyDescent="0.25">
      <c r="A14" s="184" t="s">
        <v>899</v>
      </c>
      <c r="B14" s="185" t="s">
        <v>910</v>
      </c>
      <c r="C14" s="203" t="s">
        <v>888</v>
      </c>
      <c r="D14" s="188">
        <v>800000</v>
      </c>
      <c r="E14" s="189" t="s">
        <v>895</v>
      </c>
      <c r="F14" s="186"/>
      <c r="G14" s="195"/>
    </row>
    <row r="15" spans="1:7" ht="33" customHeight="1" x14ac:dyDescent="0.25">
      <c r="A15" s="184" t="s">
        <v>1185</v>
      </c>
      <c r="B15" s="185" t="s">
        <v>912</v>
      </c>
      <c r="C15" s="203" t="s">
        <v>888</v>
      </c>
      <c r="D15" s="188">
        <v>147656.01999999999</v>
      </c>
      <c r="E15" s="189" t="s">
        <v>895</v>
      </c>
      <c r="F15" s="186"/>
      <c r="G15" s="195"/>
    </row>
    <row r="16" spans="1:7" ht="33" customHeight="1" x14ac:dyDescent="0.25">
      <c r="A16" s="192"/>
      <c r="B16" s="193"/>
      <c r="C16" s="193"/>
      <c r="D16" s="193"/>
      <c r="E16" s="193"/>
      <c r="F16" s="194"/>
      <c r="G16" s="195"/>
    </row>
    <row r="17" spans="1:7" ht="33" customHeight="1" x14ac:dyDescent="0.25">
      <c r="A17" s="192"/>
      <c r="B17" s="193"/>
      <c r="C17" s="193"/>
      <c r="D17" s="193"/>
      <c r="E17" s="193"/>
      <c r="F17" s="194"/>
      <c r="G17" s="195"/>
    </row>
    <row r="18" spans="1:7" ht="33" customHeight="1" x14ac:dyDescent="0.25">
      <c r="A18" s="196"/>
      <c r="B18" s="197"/>
      <c r="C18" s="197"/>
      <c r="D18" s="197"/>
      <c r="E18" s="197"/>
      <c r="F18" s="198"/>
    </row>
    <row r="19" spans="1:7" ht="33" customHeight="1" thickBot="1" x14ac:dyDescent="0.3">
      <c r="A19" s="199"/>
      <c r="B19" s="200"/>
      <c r="C19" s="200"/>
      <c r="D19" s="200"/>
      <c r="E19" s="200"/>
      <c r="F19" s="2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24F4-B008-43B0-A98B-3593E77F9615}">
  <sheetPr codeName="Sheet1">
    <tabColor theme="2" tint="-0.249977111117893"/>
  </sheetPr>
  <dimension ref="A1:O1197"/>
  <sheetViews>
    <sheetView topLeftCell="A1171" zoomScale="70" zoomScaleNormal="70" workbookViewId="0">
      <selection activeCell="M1179" sqref="M1179:M1197"/>
    </sheetView>
  </sheetViews>
  <sheetFormatPr defaultColWidth="9.140625" defaultRowHeight="18.75" x14ac:dyDescent="0.3"/>
  <cols>
    <col min="1" max="1" width="48.42578125" style="108" bestFit="1" customWidth="1"/>
    <col min="2" max="2" width="19.28515625" style="153" customWidth="1"/>
    <col min="3" max="3" width="14.85546875" style="154" customWidth="1"/>
    <col min="4" max="4" width="21.7109375" style="108" customWidth="1"/>
    <col min="5" max="5" width="70.7109375" style="108" bestFit="1" customWidth="1"/>
    <col min="6" max="6" width="15" style="108" customWidth="1"/>
    <col min="7" max="7" width="15.7109375" style="108" hidden="1" customWidth="1"/>
    <col min="8" max="8" width="16" style="108" customWidth="1"/>
    <col min="9" max="9" width="14.5703125" style="94" customWidth="1"/>
    <col min="10" max="10" width="18.140625" style="153" customWidth="1"/>
    <col min="11" max="11" width="20.7109375" style="153" customWidth="1"/>
    <col min="12" max="12" width="18.5703125" style="153" customWidth="1"/>
    <col min="13" max="13" width="18.28515625" style="154" customWidth="1"/>
    <col min="14" max="14" width="16.28515625" style="108" customWidth="1"/>
    <col min="15" max="15" width="13.7109375" style="298" customWidth="1"/>
    <col min="16" max="16384" width="9.140625" style="108"/>
  </cols>
  <sheetData>
    <row r="1" spans="1:15" s="90" customFormat="1" ht="24" customHeight="1" x14ac:dyDescent="0.3">
      <c r="A1" s="90" t="s">
        <v>16</v>
      </c>
      <c r="B1" s="91" t="s">
        <v>17</v>
      </c>
      <c r="C1" s="96" t="s">
        <v>18</v>
      </c>
      <c r="D1" s="90" t="s">
        <v>19</v>
      </c>
      <c r="E1" s="92" t="s">
        <v>20</v>
      </c>
      <c r="F1" s="92" t="s">
        <v>21</v>
      </c>
      <c r="G1" s="90" t="s">
        <v>22</v>
      </c>
      <c r="H1" s="93" t="s">
        <v>23</v>
      </c>
      <c r="I1" s="94" t="s">
        <v>24</v>
      </c>
      <c r="J1" s="95" t="s">
        <v>25</v>
      </c>
      <c r="K1" s="95" t="s">
        <v>26</v>
      </c>
      <c r="L1" s="95" t="s">
        <v>27</v>
      </c>
      <c r="M1" s="96" t="s">
        <v>28</v>
      </c>
      <c r="N1" s="93" t="s">
        <v>29</v>
      </c>
      <c r="O1" s="96" t="s">
        <v>30</v>
      </c>
    </row>
    <row r="2" spans="1:15" ht="20.100000000000001" customHeight="1" x14ac:dyDescent="0.3">
      <c r="A2" s="97" t="s">
        <v>31</v>
      </c>
      <c r="B2" s="392">
        <v>3000002598</v>
      </c>
      <c r="C2" s="98">
        <v>44228</v>
      </c>
      <c r="D2" s="99" t="s">
        <v>32</v>
      </c>
      <c r="E2" s="100" t="s">
        <v>33</v>
      </c>
      <c r="F2" s="101"/>
      <c r="G2" s="99"/>
      <c r="H2" s="102"/>
      <c r="I2" s="103"/>
      <c r="J2" s="104"/>
      <c r="K2" s="104">
        <v>23792.92</v>
      </c>
      <c r="L2" s="104"/>
      <c r="M2" s="105"/>
      <c r="N2" s="106">
        <f>+Table6[[#This Row],[стойност с ДДС]]-Table6[[#This Row],[плащане]]</f>
        <v>23792.92</v>
      </c>
      <c r="O2" s="316">
        <v>45303</v>
      </c>
    </row>
    <row r="3" spans="1:15" ht="20.100000000000001" customHeight="1" x14ac:dyDescent="0.3">
      <c r="A3" s="97" t="s">
        <v>34</v>
      </c>
      <c r="B3" s="393">
        <v>3100000474</v>
      </c>
      <c r="C3" s="110">
        <v>45298</v>
      </c>
      <c r="D3" s="97" t="s">
        <v>35</v>
      </c>
      <c r="E3" s="111" t="s">
        <v>36</v>
      </c>
      <c r="F3" s="101"/>
      <c r="G3" s="112"/>
      <c r="H3" s="113">
        <v>49</v>
      </c>
      <c r="I3" s="114">
        <v>53.5</v>
      </c>
      <c r="J3" s="115">
        <f t="shared" ref="J3:J12" si="0">I3*H3</f>
        <v>2621.5</v>
      </c>
      <c r="K3" s="104">
        <f>J3*1.2</f>
        <v>3145.7999999999997</v>
      </c>
      <c r="L3" s="104">
        <v>3145.8</v>
      </c>
      <c r="M3" s="105">
        <v>45308</v>
      </c>
      <c r="N3" s="115">
        <f>+Table6[[#This Row],[стойност с ДДС]]-Table6[[#This Row],[плащане]]</f>
        <v>0</v>
      </c>
      <c r="O3" s="208"/>
    </row>
    <row r="4" spans="1:15" ht="20.100000000000001" customHeight="1" x14ac:dyDescent="0.3">
      <c r="A4" s="97" t="s">
        <v>37</v>
      </c>
      <c r="B4" s="393">
        <v>3100000475</v>
      </c>
      <c r="C4" s="110">
        <v>45298</v>
      </c>
      <c r="D4" s="97" t="s">
        <v>35</v>
      </c>
      <c r="E4" s="101" t="s">
        <v>38</v>
      </c>
      <c r="F4" s="101"/>
      <c r="G4" s="112"/>
      <c r="H4" s="113">
        <v>50</v>
      </c>
      <c r="I4" s="114">
        <v>53.5</v>
      </c>
      <c r="J4" s="115">
        <f t="shared" si="0"/>
        <v>2675</v>
      </c>
      <c r="K4" s="104">
        <f>J4*1.2</f>
        <v>3210</v>
      </c>
      <c r="L4" s="104">
        <v>3210</v>
      </c>
      <c r="M4" s="105">
        <v>45308</v>
      </c>
      <c r="N4" s="115">
        <f>+Table6[[#This Row],[стойност с ДДС]]-Table6[[#This Row],[плащане]]</f>
        <v>0</v>
      </c>
      <c r="O4" s="208"/>
    </row>
    <row r="5" spans="1:15" ht="20.100000000000001" customHeight="1" x14ac:dyDescent="0.3">
      <c r="A5" s="116" t="s">
        <v>39</v>
      </c>
      <c r="B5" s="394">
        <v>3100000476</v>
      </c>
      <c r="C5" s="117">
        <v>45298</v>
      </c>
      <c r="D5" s="116" t="s">
        <v>35</v>
      </c>
      <c r="E5" s="101" t="s">
        <v>38</v>
      </c>
      <c r="F5" s="101"/>
      <c r="G5" s="112"/>
      <c r="H5" s="113">
        <v>100</v>
      </c>
      <c r="I5" s="114">
        <v>54</v>
      </c>
      <c r="J5" s="115">
        <f t="shared" si="0"/>
        <v>5400</v>
      </c>
      <c r="K5" s="104">
        <f>J5</f>
        <v>5400</v>
      </c>
      <c r="L5" s="104">
        <v>5400</v>
      </c>
      <c r="M5" s="105">
        <v>45308</v>
      </c>
      <c r="N5" s="115">
        <f>+Table6[[#This Row],[стойност с ДДС]]-Table6[[#This Row],[плащане]]</f>
        <v>0</v>
      </c>
      <c r="O5" s="208"/>
    </row>
    <row r="6" spans="1:15" ht="20.100000000000001" customHeight="1" x14ac:dyDescent="0.3">
      <c r="A6" s="116" t="s">
        <v>37</v>
      </c>
      <c r="B6" s="394">
        <v>3100000477</v>
      </c>
      <c r="C6" s="117">
        <v>45298</v>
      </c>
      <c r="D6" s="116" t="s">
        <v>35</v>
      </c>
      <c r="E6" s="118" t="s">
        <v>38</v>
      </c>
      <c r="F6" s="118"/>
      <c r="G6" s="112"/>
      <c r="H6" s="113">
        <v>132</v>
      </c>
      <c r="I6" s="114">
        <v>54.05</v>
      </c>
      <c r="J6" s="115">
        <f t="shared" si="0"/>
        <v>7134.5999999999995</v>
      </c>
      <c r="K6" s="104">
        <f t="shared" ref="K6:K13" si="1">J6*1.2</f>
        <v>8561.5199999999986</v>
      </c>
      <c r="L6" s="104">
        <v>8561.52</v>
      </c>
      <c r="M6" s="105">
        <v>45308</v>
      </c>
      <c r="N6" s="115">
        <f>+Table6[[#This Row],[стойност с ДДС]]-Table6[[#This Row],[плащане]]</f>
        <v>0</v>
      </c>
      <c r="O6" s="208"/>
    </row>
    <row r="7" spans="1:15" ht="20.100000000000001" customHeight="1" x14ac:dyDescent="0.3">
      <c r="A7" s="97" t="s">
        <v>34</v>
      </c>
      <c r="B7" s="393">
        <v>3100000478</v>
      </c>
      <c r="C7" s="110">
        <v>45304</v>
      </c>
      <c r="D7" s="97" t="s">
        <v>40</v>
      </c>
      <c r="E7" s="118" t="s">
        <v>38</v>
      </c>
      <c r="F7" s="101"/>
      <c r="G7" s="112"/>
      <c r="H7" s="113">
        <v>102</v>
      </c>
      <c r="I7" s="114">
        <v>65</v>
      </c>
      <c r="J7" s="115">
        <f t="shared" si="0"/>
        <v>6630</v>
      </c>
      <c r="K7" s="104">
        <f t="shared" si="1"/>
        <v>7956</v>
      </c>
      <c r="L7" s="104">
        <v>7956</v>
      </c>
      <c r="M7" s="105">
        <v>45313</v>
      </c>
      <c r="N7" s="115">
        <f>+Table6[[#This Row],[стойност с ДДС]]-Table6[[#This Row],[плащане]]</f>
        <v>0</v>
      </c>
      <c r="O7" s="208"/>
    </row>
    <row r="8" spans="1:15" ht="20.100000000000001" customHeight="1" x14ac:dyDescent="0.3">
      <c r="A8" s="97" t="s">
        <v>41</v>
      </c>
      <c r="B8" s="393">
        <v>3100000479</v>
      </c>
      <c r="C8" s="110">
        <v>45306</v>
      </c>
      <c r="D8" s="97" t="s">
        <v>42</v>
      </c>
      <c r="E8" s="118" t="s">
        <v>38</v>
      </c>
      <c r="F8" s="101"/>
      <c r="G8" s="112"/>
      <c r="H8" s="113">
        <v>35</v>
      </c>
      <c r="I8" s="114">
        <v>60</v>
      </c>
      <c r="J8" s="115">
        <f t="shared" si="0"/>
        <v>2100</v>
      </c>
      <c r="K8" s="104">
        <f t="shared" si="1"/>
        <v>2520</v>
      </c>
      <c r="L8" s="104">
        <v>2520</v>
      </c>
      <c r="M8" s="105">
        <v>45313</v>
      </c>
      <c r="N8" s="115">
        <f>+Table6[[#This Row],[стойност с ДДС]]-Table6[[#This Row],[плащане]]</f>
        <v>0</v>
      </c>
      <c r="O8" s="208"/>
    </row>
    <row r="9" spans="1:15" ht="20.100000000000001" customHeight="1" x14ac:dyDescent="0.3">
      <c r="A9" s="97" t="s">
        <v>43</v>
      </c>
      <c r="B9" s="393">
        <v>3100000480</v>
      </c>
      <c r="C9" s="110">
        <v>45307</v>
      </c>
      <c r="D9" s="97" t="s">
        <v>44</v>
      </c>
      <c r="E9" s="118" t="s">
        <v>38</v>
      </c>
      <c r="F9" s="101"/>
      <c r="G9" s="112"/>
      <c r="H9" s="113">
        <v>24</v>
      </c>
      <c r="I9" s="114">
        <v>65.900000000000006</v>
      </c>
      <c r="J9" s="115">
        <f t="shared" si="0"/>
        <v>1581.6000000000001</v>
      </c>
      <c r="K9" s="104">
        <f t="shared" si="1"/>
        <v>1897.92</v>
      </c>
      <c r="L9" s="104">
        <v>1897.92</v>
      </c>
      <c r="M9" s="105">
        <v>45314</v>
      </c>
      <c r="N9" s="115">
        <f>+Table6[[#This Row],[стойност с ДДС]]-Table6[[#This Row],[плащане]]</f>
        <v>0</v>
      </c>
      <c r="O9" s="208"/>
    </row>
    <row r="10" spans="1:15" ht="20.100000000000001" customHeight="1" x14ac:dyDescent="0.3">
      <c r="A10" s="97" t="s">
        <v>45</v>
      </c>
      <c r="B10" s="393">
        <v>3100000481</v>
      </c>
      <c r="C10" s="110">
        <v>45309</v>
      </c>
      <c r="D10" s="97" t="s">
        <v>46</v>
      </c>
      <c r="E10" s="101" t="s">
        <v>38</v>
      </c>
      <c r="F10" s="101"/>
      <c r="G10" s="112"/>
      <c r="H10" s="113">
        <v>50</v>
      </c>
      <c r="I10" s="114">
        <v>62</v>
      </c>
      <c r="J10" s="115">
        <f t="shared" si="0"/>
        <v>3100</v>
      </c>
      <c r="K10" s="104">
        <f t="shared" si="1"/>
        <v>3720</v>
      </c>
      <c r="L10" s="104">
        <v>3720</v>
      </c>
      <c r="M10" s="105">
        <v>45316</v>
      </c>
      <c r="N10" s="115">
        <f>+Table6[[#This Row],[стойност с ДДС]]-Table6[[#This Row],[плащане]]</f>
        <v>0</v>
      </c>
      <c r="O10" s="208"/>
    </row>
    <row r="11" spans="1:15" ht="20.100000000000001" customHeight="1" x14ac:dyDescent="0.3">
      <c r="A11" s="97" t="s">
        <v>34</v>
      </c>
      <c r="B11" s="393">
        <v>3100000484</v>
      </c>
      <c r="C11" s="110">
        <v>45315</v>
      </c>
      <c r="D11" s="97" t="s">
        <v>47</v>
      </c>
      <c r="E11" s="101" t="s">
        <v>38</v>
      </c>
      <c r="F11" s="101"/>
      <c r="G11" s="112"/>
      <c r="H11" s="113">
        <v>35</v>
      </c>
      <c r="I11" s="114">
        <v>59.6</v>
      </c>
      <c r="J11" s="115">
        <f t="shared" si="0"/>
        <v>2086</v>
      </c>
      <c r="K11" s="104">
        <f t="shared" si="1"/>
        <v>2503.1999999999998</v>
      </c>
      <c r="L11" s="104">
        <v>2503.1999999999998</v>
      </c>
      <c r="M11" s="105">
        <v>45316</v>
      </c>
      <c r="N11" s="115">
        <f>+Table6[[#This Row],[стойност с ДДС]]-Table6[[#This Row],[плащане]]</f>
        <v>0</v>
      </c>
      <c r="O11" s="208"/>
    </row>
    <row r="12" spans="1:15" ht="20.100000000000001" customHeight="1" x14ac:dyDescent="0.3">
      <c r="A12" s="97" t="s">
        <v>48</v>
      </c>
      <c r="B12" s="393">
        <v>3100000485</v>
      </c>
      <c r="C12" s="110">
        <v>45315</v>
      </c>
      <c r="D12" s="97" t="s">
        <v>47</v>
      </c>
      <c r="E12" s="101" t="s">
        <v>38</v>
      </c>
      <c r="F12" s="101"/>
      <c r="G12" s="112"/>
      <c r="H12" s="113">
        <v>40</v>
      </c>
      <c r="I12" s="114">
        <v>59</v>
      </c>
      <c r="J12" s="115">
        <f t="shared" si="0"/>
        <v>2360</v>
      </c>
      <c r="K12" s="104">
        <f t="shared" si="1"/>
        <v>2832</v>
      </c>
      <c r="L12" s="104">
        <v>2832</v>
      </c>
      <c r="M12" s="105">
        <v>45316</v>
      </c>
      <c r="N12" s="115">
        <f>+Table6[[#This Row],[стойност с ДДС]]-Table6[[#This Row],[плащане]]</f>
        <v>0</v>
      </c>
      <c r="O12" s="208"/>
    </row>
    <row r="13" spans="1:15" ht="20.100000000000001" customHeight="1" x14ac:dyDescent="0.3">
      <c r="A13" s="97" t="s">
        <v>49</v>
      </c>
      <c r="B13" s="392">
        <v>3000000264</v>
      </c>
      <c r="C13" s="98">
        <v>45322</v>
      </c>
      <c r="D13" s="99" t="s">
        <v>32</v>
      </c>
      <c r="E13" s="100"/>
      <c r="F13" s="119"/>
      <c r="G13" s="99"/>
      <c r="H13" s="120">
        <v>-1</v>
      </c>
      <c r="I13" s="121">
        <v>708.3</v>
      </c>
      <c r="J13" s="122">
        <f>ROUND(+H13*I13,2)</f>
        <v>-708.3</v>
      </c>
      <c r="K13" s="122">
        <f t="shared" si="1"/>
        <v>-849.95999999999992</v>
      </c>
      <c r="L13" s="122">
        <v>-849.96</v>
      </c>
      <c r="M13" s="155">
        <v>45323</v>
      </c>
      <c r="N13" s="106">
        <f>+Table6[[#This Row],[стойност с ДДС]]-Table6[[#This Row],[плащане]]</f>
        <v>0</v>
      </c>
      <c r="O13" s="208">
        <v>45303</v>
      </c>
    </row>
    <row r="14" spans="1:15" ht="20.100000000000001" customHeight="1" x14ac:dyDescent="0.3">
      <c r="A14" s="97" t="s">
        <v>50</v>
      </c>
      <c r="B14" s="395" t="s">
        <v>51</v>
      </c>
      <c r="C14" s="123">
        <v>45322</v>
      </c>
      <c r="D14" s="99"/>
      <c r="E14" s="100"/>
      <c r="F14" s="101"/>
      <c r="G14" s="99"/>
      <c r="H14" s="102"/>
      <c r="I14" s="103"/>
      <c r="J14" s="104">
        <f>SUM(J15:J23)</f>
        <v>566119.80525559979</v>
      </c>
      <c r="K14" s="104">
        <f t="shared" ref="K14:K43" si="2">J14*1.2</f>
        <v>679343.76630671974</v>
      </c>
      <c r="L14" s="104">
        <v>679343.77</v>
      </c>
      <c r="M14" s="155">
        <v>45323</v>
      </c>
      <c r="N14" s="106">
        <f>+Table6[[#This Row],[стойност с ДДС]]-Table6[[#This Row],[плащане]]</f>
        <v>-3.6932802759110928E-3</v>
      </c>
      <c r="O14" s="208"/>
    </row>
    <row r="15" spans="1:15" ht="20.100000000000001" customHeight="1" x14ac:dyDescent="0.3">
      <c r="A15" s="97" t="s">
        <v>50</v>
      </c>
      <c r="B15" s="395" t="s">
        <v>51</v>
      </c>
      <c r="C15" s="123">
        <v>45322</v>
      </c>
      <c r="D15" s="99" t="s">
        <v>52</v>
      </c>
      <c r="E15" s="124" t="s">
        <v>53</v>
      </c>
      <c r="F15" s="101"/>
      <c r="G15" s="99"/>
      <c r="H15" s="102">
        <v>6414.4080000000004</v>
      </c>
      <c r="I15" s="103">
        <v>77.599999999999994</v>
      </c>
      <c r="J15" s="104">
        <f>ROUND(+H15*I15,2)</f>
        <v>497758.06</v>
      </c>
      <c r="K15" s="104">
        <f t="shared" si="2"/>
        <v>597309.67200000002</v>
      </c>
      <c r="L15" s="104">
        <v>597309.67000000004</v>
      </c>
      <c r="M15" s="155">
        <v>45323</v>
      </c>
      <c r="N15" s="106">
        <f>+Table6[[#This Row],[стойност с ДДС]]-Table6[[#This Row],[плащане]]</f>
        <v>1.9999999785795808E-3</v>
      </c>
      <c r="O15" s="208"/>
    </row>
    <row r="16" spans="1:15" ht="20.100000000000001" customHeight="1" x14ac:dyDescent="0.3">
      <c r="A16" s="97" t="s">
        <v>50</v>
      </c>
      <c r="B16" s="395" t="s">
        <v>51</v>
      </c>
      <c r="C16" s="123">
        <v>45322</v>
      </c>
      <c r="D16" s="99"/>
      <c r="E16" s="111" t="s">
        <v>54</v>
      </c>
      <c r="F16" s="101"/>
      <c r="G16" s="99"/>
      <c r="H16" s="102">
        <v>1</v>
      </c>
      <c r="I16" s="103">
        <v>23809.95</v>
      </c>
      <c r="J16" s="115">
        <f>+H16*I16</f>
        <v>23809.95</v>
      </c>
      <c r="K16" s="115">
        <f t="shared" si="2"/>
        <v>28571.94</v>
      </c>
      <c r="L16" s="104">
        <v>28571.94</v>
      </c>
      <c r="M16" s="155">
        <v>45323</v>
      </c>
      <c r="N16" s="106">
        <f>+Table6[[#This Row],[стойност с ДДС]]-Table6[[#This Row],[плащане]]</f>
        <v>0</v>
      </c>
      <c r="O16" s="208"/>
    </row>
    <row r="17" spans="1:15" ht="20.100000000000001" customHeight="1" x14ac:dyDescent="0.3">
      <c r="A17" s="97" t="s">
        <v>50</v>
      </c>
      <c r="B17" s="395" t="s">
        <v>51</v>
      </c>
      <c r="C17" s="123">
        <v>45322</v>
      </c>
      <c r="D17" s="99"/>
      <c r="E17" s="100" t="s">
        <v>55</v>
      </c>
      <c r="F17" s="101"/>
      <c r="G17" s="99"/>
      <c r="H17" s="102">
        <v>1039</v>
      </c>
      <c r="I17" s="103">
        <v>8.1493000000000002</v>
      </c>
      <c r="J17" s="104">
        <f>H17*I17</f>
        <v>8467.1226999999999</v>
      </c>
      <c r="K17" s="104">
        <f t="shared" si="2"/>
        <v>10160.54724</v>
      </c>
      <c r="L17" s="104">
        <v>10160.549999999999</v>
      </c>
      <c r="M17" s="155">
        <v>45323</v>
      </c>
      <c r="N17" s="106">
        <f>+Table6[[#This Row],[стойност с ДДС]]-Table6[[#This Row],[плащане]]</f>
        <v>-2.7599999993981328E-3</v>
      </c>
      <c r="O17" s="208"/>
    </row>
    <row r="18" spans="1:15" ht="20.100000000000001" customHeight="1" x14ac:dyDescent="0.3">
      <c r="A18" s="97" t="s">
        <v>50</v>
      </c>
      <c r="B18" s="395" t="s">
        <v>51</v>
      </c>
      <c r="C18" s="123">
        <v>45322</v>
      </c>
      <c r="D18" s="99"/>
      <c r="E18" s="101" t="s">
        <v>56</v>
      </c>
      <c r="F18" s="101"/>
      <c r="G18" s="99"/>
      <c r="H18" s="102">
        <v>14.038</v>
      </c>
      <c r="I18" s="103">
        <v>8.3582999999999998</v>
      </c>
      <c r="J18" s="104">
        <f>ROUND(+H18*I18,2)</f>
        <v>117.33</v>
      </c>
      <c r="K18" s="104">
        <f t="shared" si="2"/>
        <v>140.79599999999999</v>
      </c>
      <c r="L18" s="104">
        <v>140.80000000000001</v>
      </c>
      <c r="M18" s="155">
        <v>45323</v>
      </c>
      <c r="N18" s="106">
        <f>+Table6[[#This Row],[стойност с ДДС]]-Table6[[#This Row],[плащане]]</f>
        <v>-4.0000000000190994E-3</v>
      </c>
      <c r="O18" s="208"/>
    </row>
    <row r="19" spans="1:15" ht="20.100000000000001" customHeight="1" x14ac:dyDescent="0.3">
      <c r="A19" s="97" t="s">
        <v>50</v>
      </c>
      <c r="B19" s="395" t="s">
        <v>51</v>
      </c>
      <c r="C19" s="123">
        <v>45322</v>
      </c>
      <c r="D19" s="99"/>
      <c r="E19" s="101" t="s">
        <v>57</v>
      </c>
      <c r="F19" s="101"/>
      <c r="G19" s="99"/>
      <c r="H19" s="102">
        <v>1570</v>
      </c>
      <c r="I19" s="103">
        <v>6.5194000000000001</v>
      </c>
      <c r="J19" s="104">
        <f>ROUND(+H19*I19,2)</f>
        <v>10235.459999999999</v>
      </c>
      <c r="K19" s="104">
        <f t="shared" si="2"/>
        <v>12282.551999999998</v>
      </c>
      <c r="L19" s="104">
        <v>12282.55</v>
      </c>
      <c r="M19" s="155">
        <v>45323</v>
      </c>
      <c r="N19" s="106">
        <f>+Table6[[#This Row],[стойност с ДДС]]-Table6[[#This Row],[плащане]]</f>
        <v>1.9999999985884642E-3</v>
      </c>
      <c r="O19" s="208"/>
    </row>
    <row r="20" spans="1:15" ht="20.100000000000001" customHeight="1" x14ac:dyDescent="0.3">
      <c r="A20" s="97" t="s">
        <v>50</v>
      </c>
      <c r="B20" s="395" t="s">
        <v>51</v>
      </c>
      <c r="C20" s="123">
        <v>45322</v>
      </c>
      <c r="D20" s="99"/>
      <c r="E20" s="100" t="s">
        <v>58</v>
      </c>
      <c r="F20" s="101"/>
      <c r="G20" s="99"/>
      <c r="H20" s="102">
        <v>17671.284</v>
      </c>
      <c r="I20" s="103">
        <v>1.0194000000000001</v>
      </c>
      <c r="J20" s="104">
        <f>H20*I20</f>
        <v>18014.106909600003</v>
      </c>
      <c r="K20" s="104">
        <f t="shared" si="2"/>
        <v>21616.928291520002</v>
      </c>
      <c r="L20" s="104">
        <v>21616.92</v>
      </c>
      <c r="M20" s="155">
        <v>45323</v>
      </c>
      <c r="N20" s="106">
        <f>+Table6[[#This Row],[стойност с ДДС]]-Table6[[#This Row],[плащане]]</f>
        <v>8.2915200036950409E-3</v>
      </c>
      <c r="O20" s="208"/>
    </row>
    <row r="21" spans="1:15" ht="20.100000000000001" customHeight="1" x14ac:dyDescent="0.3">
      <c r="A21" s="97" t="s">
        <v>50</v>
      </c>
      <c r="B21" s="395" t="s">
        <v>51</v>
      </c>
      <c r="C21" s="123">
        <v>45322</v>
      </c>
      <c r="D21" s="99"/>
      <c r="E21" s="100" t="s">
        <v>59</v>
      </c>
      <c r="F21" s="101"/>
      <c r="G21" s="97"/>
      <c r="H21" s="102">
        <v>7075.1629999999996</v>
      </c>
      <c r="I21" s="103">
        <v>0.6</v>
      </c>
      <c r="J21" s="104">
        <f>H21*I21</f>
        <v>4245.0977999999996</v>
      </c>
      <c r="K21" s="104">
        <f t="shared" si="2"/>
        <v>5094.1173599999993</v>
      </c>
      <c r="L21" s="104">
        <v>5094.12</v>
      </c>
      <c r="M21" s="155">
        <v>45323</v>
      </c>
      <c r="N21" s="106">
        <f>+Table6[[#This Row],[стойност с ДДС]]-Table6[[#This Row],[плащане]]</f>
        <v>-2.6400000006105984E-3</v>
      </c>
      <c r="O21" s="208"/>
    </row>
    <row r="22" spans="1:15" ht="20.100000000000001" customHeight="1" x14ac:dyDescent="0.3">
      <c r="A22" s="97" t="s">
        <v>50</v>
      </c>
      <c r="B22" s="395" t="s">
        <v>51</v>
      </c>
      <c r="C22" s="123">
        <v>45322</v>
      </c>
      <c r="D22" s="99"/>
      <c r="E22" s="125" t="s">
        <v>60</v>
      </c>
      <c r="F22" s="101"/>
      <c r="G22" s="97"/>
      <c r="H22" s="102">
        <v>56541.46</v>
      </c>
      <c r="I22" s="103">
        <v>0</v>
      </c>
      <c r="J22" s="104">
        <f>H22*I22</f>
        <v>0</v>
      </c>
      <c r="K22" s="104">
        <f t="shared" si="2"/>
        <v>0</v>
      </c>
      <c r="L22" s="104"/>
      <c r="M22" s="155">
        <v>45323</v>
      </c>
      <c r="N22" s="106">
        <f>+Table6[[#This Row],[стойност с ДДС]]-Table6[[#This Row],[плащане]]</f>
        <v>0</v>
      </c>
      <c r="O22" s="208"/>
    </row>
    <row r="23" spans="1:15" ht="20.100000000000001" customHeight="1" x14ac:dyDescent="0.3">
      <c r="A23" s="97" t="s">
        <v>61</v>
      </c>
      <c r="B23" s="392">
        <v>3000002414</v>
      </c>
      <c r="C23" s="98">
        <v>45138</v>
      </c>
      <c r="D23" s="99"/>
      <c r="E23" s="100" t="s">
        <v>58</v>
      </c>
      <c r="F23" s="101"/>
      <c r="G23" s="99"/>
      <c r="H23" s="102">
        <v>3406.59</v>
      </c>
      <c r="I23" s="103">
        <v>1.0194000000000001</v>
      </c>
      <c r="J23" s="104">
        <f>H23*I23</f>
        <v>3472.6778460000005</v>
      </c>
      <c r="K23" s="104">
        <f t="shared" si="2"/>
        <v>4167.2134152000008</v>
      </c>
      <c r="L23" s="104">
        <v>4167.21</v>
      </c>
      <c r="M23" s="155">
        <v>45323</v>
      </c>
      <c r="N23" s="106">
        <f>+Table6[[#This Row],[стойност с ДДС]]-Table6[[#This Row],[плащане]]</f>
        <v>3.4152000007452443E-3</v>
      </c>
      <c r="O23" s="208">
        <v>45303</v>
      </c>
    </row>
    <row r="24" spans="1:15" ht="20.100000000000001" customHeight="1" x14ac:dyDescent="0.3">
      <c r="A24" s="97" t="s">
        <v>62</v>
      </c>
      <c r="B24" s="392">
        <v>3000002603</v>
      </c>
      <c r="C24" s="98">
        <v>45303</v>
      </c>
      <c r="D24" s="99" t="s">
        <v>32</v>
      </c>
      <c r="E24" s="100" t="s">
        <v>63</v>
      </c>
      <c r="F24" s="101"/>
      <c r="G24" s="99"/>
      <c r="H24" s="102">
        <v>2012.3679999999999</v>
      </c>
      <c r="I24" s="103">
        <v>141.4717</v>
      </c>
      <c r="J24" s="104">
        <f>ROUND(+H24*I24,2)</f>
        <v>284693.12</v>
      </c>
      <c r="K24" s="104">
        <f t="shared" si="2"/>
        <v>341631.74400000001</v>
      </c>
      <c r="L24" s="104">
        <v>341631.74</v>
      </c>
      <c r="M24" s="155">
        <v>45323</v>
      </c>
      <c r="N24" s="106">
        <f>+Table6[[#This Row],[стойност с ДДС]]-Table6[[#This Row],[плащане]]</f>
        <v>4.0000000153668225E-3</v>
      </c>
      <c r="O24" s="208"/>
    </row>
    <row r="25" spans="1:15" ht="20.100000000000001" customHeight="1" x14ac:dyDescent="0.3">
      <c r="A25" s="97" t="s">
        <v>62</v>
      </c>
      <c r="B25" s="392">
        <v>3000002630</v>
      </c>
      <c r="C25" s="98">
        <v>45322</v>
      </c>
      <c r="D25" s="99"/>
      <c r="E25" s="100"/>
      <c r="F25" s="101"/>
      <c r="G25" s="99"/>
      <c r="H25" s="102"/>
      <c r="I25" s="103"/>
      <c r="J25" s="104">
        <f>SUM(J26:J32)</f>
        <v>2798952.5406272002</v>
      </c>
      <c r="K25" s="104">
        <f t="shared" si="2"/>
        <v>3358743.0487526399</v>
      </c>
      <c r="L25" s="104">
        <v>3358743.05</v>
      </c>
      <c r="M25" s="155">
        <v>45323</v>
      </c>
      <c r="N25" s="106">
        <f>+Table6[[#This Row],[стойност с ДДС]]-Table6[[#This Row],[плащане]]</f>
        <v>-1.2473599053919315E-3</v>
      </c>
      <c r="O25" s="208"/>
    </row>
    <row r="26" spans="1:15" ht="20.100000000000001" customHeight="1" x14ac:dyDescent="0.3">
      <c r="A26" s="97" t="s">
        <v>62</v>
      </c>
      <c r="B26" s="392">
        <v>3000002630</v>
      </c>
      <c r="C26" s="98">
        <v>45322</v>
      </c>
      <c r="D26" s="99" t="s">
        <v>52</v>
      </c>
      <c r="E26" s="124" t="s">
        <v>53</v>
      </c>
      <c r="F26" s="101"/>
      <c r="G26" s="99"/>
      <c r="H26" s="102">
        <v>31620.664000000001</v>
      </c>
      <c r="I26" s="103">
        <v>77.599999999999994</v>
      </c>
      <c r="J26" s="104">
        <f>H26*I26</f>
        <v>2453763.5263999999</v>
      </c>
      <c r="K26" s="104">
        <f t="shared" si="2"/>
        <v>2944516.2316799997</v>
      </c>
      <c r="L26" s="104">
        <v>2944516.23</v>
      </c>
      <c r="M26" s="155">
        <v>45323</v>
      </c>
      <c r="N26" s="106">
        <f>+Table6[[#This Row],[стойност с ДДС]]-Table6[[#This Row],[плащане]]</f>
        <v>1.6799997538328171E-3</v>
      </c>
      <c r="O26" s="208"/>
    </row>
    <row r="27" spans="1:15" ht="20.100000000000001" customHeight="1" x14ac:dyDescent="0.3">
      <c r="A27" s="97" t="s">
        <v>62</v>
      </c>
      <c r="B27" s="392">
        <v>3000002630</v>
      </c>
      <c r="C27" s="98">
        <v>45322</v>
      </c>
      <c r="D27" s="99"/>
      <c r="E27" s="111" t="s">
        <v>54</v>
      </c>
      <c r="F27" s="101"/>
      <c r="G27" s="99"/>
      <c r="H27" s="102">
        <v>1</v>
      </c>
      <c r="I27" s="103">
        <v>63493.2</v>
      </c>
      <c r="J27" s="115">
        <f>+H27*I27</f>
        <v>63493.2</v>
      </c>
      <c r="K27" s="104">
        <f t="shared" si="2"/>
        <v>76191.839999999997</v>
      </c>
      <c r="L27" s="104">
        <v>76191.839999999997</v>
      </c>
      <c r="M27" s="155">
        <v>45323</v>
      </c>
      <c r="N27" s="106">
        <f>+Table6[[#This Row],[стойност с ДДС]]-Table6[[#This Row],[плащане]]</f>
        <v>0</v>
      </c>
      <c r="O27" s="208"/>
    </row>
    <row r="28" spans="1:15" ht="20.100000000000001" customHeight="1" x14ac:dyDescent="0.3">
      <c r="A28" s="97" t="s">
        <v>62</v>
      </c>
      <c r="B28" s="392">
        <v>3000002630</v>
      </c>
      <c r="C28" s="98">
        <v>45322</v>
      </c>
      <c r="D28" s="99"/>
      <c r="E28" s="100" t="s">
        <v>58</v>
      </c>
      <c r="F28" s="101"/>
      <c r="G28" s="99"/>
      <c r="H28" s="102">
        <v>86869.817999999999</v>
      </c>
      <c r="I28" s="103">
        <v>1.0194000000000001</v>
      </c>
      <c r="J28" s="104">
        <f>H28*I28</f>
        <v>88555.092469200012</v>
      </c>
      <c r="K28" s="104">
        <f t="shared" si="2"/>
        <v>106266.11096304002</v>
      </c>
      <c r="L28" s="104">
        <v>106266.11</v>
      </c>
      <c r="M28" s="155">
        <v>45323</v>
      </c>
      <c r="N28" s="106">
        <f>+Table6[[#This Row],[стойност с ДДС]]-Table6[[#This Row],[плащане]]</f>
        <v>9.6304001635871828E-4</v>
      </c>
      <c r="O28" s="208"/>
    </row>
    <row r="29" spans="1:15" ht="20.100000000000001" customHeight="1" x14ac:dyDescent="0.3">
      <c r="A29" s="97" t="s">
        <v>62</v>
      </c>
      <c r="B29" s="392">
        <v>3000002630</v>
      </c>
      <c r="C29" s="98">
        <v>45322</v>
      </c>
      <c r="D29" s="99"/>
      <c r="E29" s="100" t="s">
        <v>57</v>
      </c>
      <c r="F29" s="101"/>
      <c r="G29" s="99"/>
      <c r="H29" s="102">
        <v>25343.498</v>
      </c>
      <c r="I29" s="103">
        <v>6.5194000000000001</v>
      </c>
      <c r="J29" s="104">
        <f>H29*I29</f>
        <v>165224.4008612</v>
      </c>
      <c r="K29" s="104">
        <f t="shared" si="2"/>
        <v>198269.28103344</v>
      </c>
      <c r="L29" s="104">
        <v>198269.28</v>
      </c>
      <c r="M29" s="155">
        <v>45323</v>
      </c>
      <c r="N29" s="106">
        <f>+Table6[[#This Row],[стойност с ДДС]]-Table6[[#This Row],[плащане]]</f>
        <v>1.0334399994462729E-3</v>
      </c>
      <c r="O29" s="208"/>
    </row>
    <row r="30" spans="1:15" ht="20.100000000000001" customHeight="1" x14ac:dyDescent="0.3">
      <c r="A30" s="97" t="s">
        <v>62</v>
      </c>
      <c r="B30" s="392">
        <v>3000002630</v>
      </c>
      <c r="C30" s="98">
        <v>45322</v>
      </c>
      <c r="D30" s="99"/>
      <c r="E30" s="100" t="s">
        <v>55</v>
      </c>
      <c r="F30" s="101"/>
      <c r="G30" s="99"/>
      <c r="H30" s="102">
        <v>3006.748</v>
      </c>
      <c r="I30" s="103">
        <v>8.1493000000000002</v>
      </c>
      <c r="J30" s="104">
        <f>H30*I30</f>
        <v>24502.8914764</v>
      </c>
      <c r="K30" s="104">
        <f t="shared" si="2"/>
        <v>29403.46977168</v>
      </c>
      <c r="L30" s="104">
        <v>29403.47</v>
      </c>
      <c r="M30" s="155">
        <v>45323</v>
      </c>
      <c r="N30" s="106">
        <f>+Table6[[#This Row],[стойност с ДДС]]-Table6[[#This Row],[плащане]]</f>
        <v>-2.2832000104244798E-4</v>
      </c>
      <c r="O30" s="208"/>
    </row>
    <row r="31" spans="1:15" ht="20.100000000000001" customHeight="1" x14ac:dyDescent="0.3">
      <c r="A31" s="97" t="s">
        <v>62</v>
      </c>
      <c r="B31" s="392">
        <v>3000002630</v>
      </c>
      <c r="C31" s="98">
        <v>45322</v>
      </c>
      <c r="D31" s="99"/>
      <c r="E31" s="100" t="s">
        <v>56</v>
      </c>
      <c r="F31" s="101"/>
      <c r="G31" s="99"/>
      <c r="H31" s="102">
        <v>408.38799999999998</v>
      </c>
      <c r="I31" s="103">
        <v>8.3582999999999998</v>
      </c>
      <c r="J31" s="104">
        <f>H31*I31</f>
        <v>3413.4294203999998</v>
      </c>
      <c r="K31" s="104">
        <f t="shared" si="2"/>
        <v>4096.1153044799994</v>
      </c>
      <c r="L31" s="104">
        <v>4096.12</v>
      </c>
      <c r="M31" s="155">
        <v>45323</v>
      </c>
      <c r="N31" s="106">
        <f>+Table6[[#This Row],[стойност с ДДС]]-Table6[[#This Row],[плащане]]</f>
        <v>-4.6955200004958897E-3</v>
      </c>
      <c r="O31" s="208"/>
    </row>
    <row r="32" spans="1:15" ht="20.100000000000001" customHeight="1" x14ac:dyDescent="0.3">
      <c r="A32" s="97" t="s">
        <v>62</v>
      </c>
      <c r="B32" s="392">
        <v>3000002630</v>
      </c>
      <c r="C32" s="98">
        <v>45322</v>
      </c>
      <c r="D32" s="99"/>
      <c r="E32" s="100" t="s">
        <v>60</v>
      </c>
      <c r="F32" s="101"/>
      <c r="G32" s="126"/>
      <c r="H32" s="102">
        <v>312731.34299999999</v>
      </c>
      <c r="I32" s="103">
        <v>0</v>
      </c>
      <c r="J32" s="104">
        <f>H32*I32</f>
        <v>0</v>
      </c>
      <c r="K32" s="104">
        <f t="shared" si="2"/>
        <v>0</v>
      </c>
      <c r="L32" s="104"/>
      <c r="M32" s="155">
        <v>45323</v>
      </c>
      <c r="N32" s="106">
        <f>+Table6[[#This Row],[стойност с ДДС]]-Table6[[#This Row],[плащане]]</f>
        <v>0</v>
      </c>
      <c r="O32" s="208"/>
    </row>
    <row r="33" spans="1:15" ht="20.100000000000001" customHeight="1" collapsed="1" x14ac:dyDescent="0.3">
      <c r="A33" s="97" t="s">
        <v>50</v>
      </c>
      <c r="B33" s="392">
        <v>3000002604</v>
      </c>
      <c r="C33" s="98">
        <v>45303</v>
      </c>
      <c r="D33" s="99" t="s">
        <v>32</v>
      </c>
      <c r="E33" s="100" t="s">
        <v>63</v>
      </c>
      <c r="F33" s="101"/>
      <c r="G33" s="99"/>
      <c r="H33" s="102">
        <v>500</v>
      </c>
      <c r="I33" s="103">
        <v>141.4717</v>
      </c>
      <c r="J33" s="104">
        <f>ROUND(+H33*I33,2)</f>
        <v>70735.850000000006</v>
      </c>
      <c r="K33" s="104">
        <f t="shared" si="2"/>
        <v>84883.02</v>
      </c>
      <c r="L33" s="104">
        <v>84883.02</v>
      </c>
      <c r="M33" s="107">
        <v>45307</v>
      </c>
      <c r="N33" s="115">
        <f>+Table6[[#This Row],[стойност с ДДС]]-Table6[[#This Row],[плащане]]</f>
        <v>0</v>
      </c>
      <c r="O33" s="208"/>
    </row>
    <row r="34" spans="1:15" ht="20.100000000000001" customHeight="1" x14ac:dyDescent="0.3">
      <c r="A34" s="97" t="s">
        <v>64</v>
      </c>
      <c r="B34" s="392">
        <v>3000002605</v>
      </c>
      <c r="C34" s="98">
        <v>45303</v>
      </c>
      <c r="D34" s="99" t="s">
        <v>32</v>
      </c>
      <c r="E34" s="100" t="s">
        <v>63</v>
      </c>
      <c r="F34" s="101"/>
      <c r="G34" s="99"/>
      <c r="H34" s="102">
        <v>300</v>
      </c>
      <c r="I34" s="103">
        <v>141.4717</v>
      </c>
      <c r="J34" s="104">
        <f>ROUND(+H34*I34,2)</f>
        <v>42441.51</v>
      </c>
      <c r="K34" s="104">
        <f t="shared" si="2"/>
        <v>50929.811999999998</v>
      </c>
      <c r="L34" s="104">
        <v>50929.81</v>
      </c>
      <c r="M34" s="105">
        <v>45307</v>
      </c>
      <c r="N34" s="106">
        <f>+Table6[[#This Row],[стойност с ДДС]]-Table6[[#This Row],[плащане]]</f>
        <v>2.0000000004074536E-3</v>
      </c>
      <c r="O34" s="208"/>
    </row>
    <row r="35" spans="1:15" ht="20.100000000000001" customHeight="1" x14ac:dyDescent="0.3">
      <c r="A35" s="97" t="s">
        <v>64</v>
      </c>
      <c r="B35" s="395" t="s">
        <v>65</v>
      </c>
      <c r="C35" s="123">
        <v>45313</v>
      </c>
      <c r="D35" s="99"/>
      <c r="E35" s="100"/>
      <c r="F35" s="101"/>
      <c r="G35" s="126"/>
      <c r="H35" s="102"/>
      <c r="I35" s="103"/>
      <c r="J35" s="104">
        <f>SUM(J36:J43)</f>
        <v>1310022.1923489</v>
      </c>
      <c r="K35" s="104">
        <f t="shared" si="2"/>
        <v>1572026.6308186799</v>
      </c>
      <c r="L35" s="104">
        <v>1572026.63</v>
      </c>
      <c r="M35" s="105">
        <v>45317</v>
      </c>
      <c r="N35" s="106">
        <f>+Table6[[#This Row],[стойност с ДДС]]-Table6[[#This Row],[плащане]]</f>
        <v>8.18680040538311E-4</v>
      </c>
      <c r="O35" s="208"/>
    </row>
    <row r="36" spans="1:15" ht="20.100000000000001" customHeight="1" x14ac:dyDescent="0.3">
      <c r="A36" s="97" t="s">
        <v>64</v>
      </c>
      <c r="B36" s="395" t="s">
        <v>65</v>
      </c>
      <c r="C36" s="123">
        <v>45313</v>
      </c>
      <c r="D36" s="99" t="s">
        <v>66</v>
      </c>
      <c r="E36" s="124" t="s">
        <v>53</v>
      </c>
      <c r="F36" s="101"/>
      <c r="G36" s="99"/>
      <c r="H36" s="102">
        <v>5852.0389999999998</v>
      </c>
      <c r="I36" s="103">
        <v>77.599999999999994</v>
      </c>
      <c r="J36" s="104">
        <f>ROUND(+H36*I36,2)</f>
        <v>454118.23</v>
      </c>
      <c r="K36" s="104">
        <f t="shared" si="2"/>
        <v>544941.87599999993</v>
      </c>
      <c r="L36" s="104">
        <v>544941.88</v>
      </c>
      <c r="M36" s="105">
        <v>45317</v>
      </c>
      <c r="N36" s="106">
        <f>+Table6[[#This Row],[стойност с ДДС]]-Table6[[#This Row],[плащане]]</f>
        <v>-4.0000000735744834E-3</v>
      </c>
      <c r="O36" s="208"/>
    </row>
    <row r="37" spans="1:15" ht="20.100000000000001" customHeight="1" x14ac:dyDescent="0.3">
      <c r="A37" s="97" t="s">
        <v>64</v>
      </c>
      <c r="B37" s="395" t="s">
        <v>65</v>
      </c>
      <c r="C37" s="123">
        <v>45313</v>
      </c>
      <c r="D37" s="99" t="s">
        <v>66</v>
      </c>
      <c r="E37" s="124" t="s">
        <v>53</v>
      </c>
      <c r="F37" s="101"/>
      <c r="G37" s="99"/>
      <c r="H37" s="102">
        <v>3049.047</v>
      </c>
      <c r="I37" s="103">
        <v>77.599999999999994</v>
      </c>
      <c r="J37" s="104">
        <f>ROUND(+H37*I37,2)</f>
        <v>236606.05</v>
      </c>
      <c r="K37" s="104">
        <f t="shared" si="2"/>
        <v>283927.25999999995</v>
      </c>
      <c r="L37" s="104">
        <v>283927.26</v>
      </c>
      <c r="M37" s="105">
        <v>45307</v>
      </c>
      <c r="N37" s="106">
        <f>+Table6[[#This Row],[стойност с ДДС]]-Table6[[#This Row],[плащане]]</f>
        <v>0</v>
      </c>
      <c r="O37" s="208"/>
    </row>
    <row r="38" spans="1:15" ht="20.100000000000001" customHeight="1" collapsed="1" x14ac:dyDescent="0.3">
      <c r="A38" s="97" t="s">
        <v>67</v>
      </c>
      <c r="B38" s="392">
        <v>3000002606</v>
      </c>
      <c r="C38" s="98">
        <v>45303</v>
      </c>
      <c r="D38" s="99" t="s">
        <v>32</v>
      </c>
      <c r="E38" s="100" t="s">
        <v>63</v>
      </c>
      <c r="F38" s="101"/>
      <c r="G38" s="99"/>
      <c r="H38" s="102">
        <v>1000</v>
      </c>
      <c r="I38" s="103">
        <v>141.4717</v>
      </c>
      <c r="J38" s="104">
        <f>ROUND(+H38*I38,2)</f>
        <v>141471.70000000001</v>
      </c>
      <c r="K38" s="104">
        <f t="shared" si="2"/>
        <v>169766.04</v>
      </c>
      <c r="L38" s="104">
        <v>169766.04</v>
      </c>
      <c r="M38" s="105">
        <v>45316</v>
      </c>
      <c r="N38" s="115">
        <f>+Table6[[#This Row],[стойност с ДДС]]-Table6[[#This Row],[плащане]]</f>
        <v>0</v>
      </c>
      <c r="O38" s="208"/>
    </row>
    <row r="39" spans="1:15" ht="20.100000000000001" customHeight="1" x14ac:dyDescent="0.3">
      <c r="A39" s="97" t="s">
        <v>64</v>
      </c>
      <c r="B39" s="395" t="s">
        <v>68</v>
      </c>
      <c r="C39" s="123">
        <v>45322</v>
      </c>
      <c r="D39" s="99" t="s">
        <v>52</v>
      </c>
      <c r="E39" s="124" t="s">
        <v>53</v>
      </c>
      <c r="F39" s="101"/>
      <c r="G39" s="99"/>
      <c r="H39" s="102">
        <v>3623.8240000000001</v>
      </c>
      <c r="I39" s="103">
        <v>77.599999999999994</v>
      </c>
      <c r="J39" s="104">
        <f>ROUND(+H39*I39,2)</f>
        <v>281208.74</v>
      </c>
      <c r="K39" s="104">
        <f t="shared" si="2"/>
        <v>337450.48799999995</v>
      </c>
      <c r="L39" s="104">
        <v>337450.49</v>
      </c>
      <c r="M39" s="155">
        <v>45327</v>
      </c>
      <c r="N39" s="106">
        <f>+Table6[[#This Row],[стойност с ДДС]]-Table6[[#This Row],[плащане]]</f>
        <v>-2.0000000367872417E-3</v>
      </c>
      <c r="O39" s="208"/>
    </row>
    <row r="40" spans="1:15" ht="20.100000000000001" customHeight="1" x14ac:dyDescent="0.3">
      <c r="A40" s="97" t="s">
        <v>64</v>
      </c>
      <c r="B40" s="395" t="s">
        <v>68</v>
      </c>
      <c r="C40" s="123">
        <v>45322</v>
      </c>
      <c r="D40" s="99" t="s">
        <v>52</v>
      </c>
      <c r="E40" s="124" t="s">
        <v>53</v>
      </c>
      <c r="F40" s="101"/>
      <c r="G40" s="99"/>
      <c r="H40" s="102">
        <v>1813.83</v>
      </c>
      <c r="I40" s="103">
        <v>77.599999999999994</v>
      </c>
      <c r="J40" s="104">
        <f>ROUND(+H40*I40,2)</f>
        <v>140753.21</v>
      </c>
      <c r="K40" s="104">
        <f t="shared" si="2"/>
        <v>168903.85199999998</v>
      </c>
      <c r="L40" s="104">
        <v>168903.85</v>
      </c>
      <c r="M40" s="155">
        <v>45327</v>
      </c>
      <c r="N40" s="106">
        <f>+Table6[[#This Row],[стойност с ДДС]]-Table6[[#This Row],[плащане]]</f>
        <v>1.9999999785795808E-3</v>
      </c>
      <c r="O40" s="208"/>
    </row>
    <row r="41" spans="1:15" ht="20.100000000000001" customHeight="1" x14ac:dyDescent="0.3">
      <c r="A41" s="97" t="s">
        <v>64</v>
      </c>
      <c r="B41" s="395" t="s">
        <v>68</v>
      </c>
      <c r="C41" s="123">
        <v>45322</v>
      </c>
      <c r="D41" s="99"/>
      <c r="E41" s="111" t="s">
        <v>54</v>
      </c>
      <c r="F41" s="101"/>
      <c r="G41" s="99"/>
      <c r="H41" s="102">
        <v>1</v>
      </c>
      <c r="I41" s="103">
        <v>15873.3</v>
      </c>
      <c r="J41" s="115">
        <f>+H41*I41</f>
        <v>15873.3</v>
      </c>
      <c r="K41" s="115">
        <f t="shared" si="2"/>
        <v>19047.96</v>
      </c>
      <c r="L41" s="104">
        <v>19047.96</v>
      </c>
      <c r="M41" s="155">
        <v>45327</v>
      </c>
      <c r="N41" s="106">
        <f>+Table6[[#This Row],[стойност с ДДС]]-Table6[[#This Row],[плащане]]</f>
        <v>0</v>
      </c>
      <c r="O41" s="208"/>
    </row>
    <row r="42" spans="1:15" ht="20.100000000000001" customHeight="1" x14ac:dyDescent="0.3">
      <c r="A42" s="97" t="s">
        <v>64</v>
      </c>
      <c r="B42" s="395" t="s">
        <v>68</v>
      </c>
      <c r="C42" s="123">
        <v>45322</v>
      </c>
      <c r="D42" s="99"/>
      <c r="E42" s="100" t="s">
        <v>57</v>
      </c>
      <c r="F42" s="101"/>
      <c r="G42" s="99"/>
      <c r="H42" s="102">
        <v>968.06100000000004</v>
      </c>
      <c r="I42" s="103">
        <v>8.1493000000000002</v>
      </c>
      <c r="J42" s="104">
        <f>H42*I42</f>
        <v>7889.0195073000004</v>
      </c>
      <c r="K42" s="104">
        <f t="shared" si="2"/>
        <v>9466.8234087599994</v>
      </c>
      <c r="L42" s="104">
        <v>9466.82</v>
      </c>
      <c r="M42" s="155">
        <v>45327</v>
      </c>
      <c r="N42" s="106">
        <f>+Table6[[#This Row],[стойност с ДДС]]-Table6[[#This Row],[плащане]]</f>
        <v>3.4087599997292273E-3</v>
      </c>
      <c r="O42" s="208"/>
    </row>
    <row r="43" spans="1:15" ht="20.100000000000001" customHeight="1" x14ac:dyDescent="0.3">
      <c r="A43" s="97" t="s">
        <v>64</v>
      </c>
      <c r="B43" s="395" t="s">
        <v>68</v>
      </c>
      <c r="C43" s="123">
        <v>45322</v>
      </c>
      <c r="D43" s="99"/>
      <c r="E43" s="100" t="s">
        <v>57</v>
      </c>
      <c r="F43" s="101"/>
      <c r="G43" s="99"/>
      <c r="H43" s="102">
        <v>4924.0640000000003</v>
      </c>
      <c r="I43" s="103">
        <v>6.5194000000000001</v>
      </c>
      <c r="J43" s="104">
        <f>H43*I43</f>
        <v>32101.942841600001</v>
      </c>
      <c r="K43" s="104">
        <f t="shared" si="2"/>
        <v>38522.33140992</v>
      </c>
      <c r="L43" s="104">
        <v>38522.33</v>
      </c>
      <c r="M43" s="155">
        <v>45327</v>
      </c>
      <c r="N43" s="106">
        <f>+Table6[[#This Row],[стойност с ДДС]]-Table6[[#This Row],[плащане]]</f>
        <v>1.4099199979682453E-3</v>
      </c>
      <c r="O43" s="208"/>
    </row>
    <row r="44" spans="1:15" ht="20.100000000000001" customHeight="1" x14ac:dyDescent="0.3">
      <c r="A44" s="97" t="s">
        <v>64</v>
      </c>
      <c r="B44" s="395" t="s">
        <v>68</v>
      </c>
      <c r="C44" s="123">
        <v>45322</v>
      </c>
      <c r="D44" s="99"/>
      <c r="E44" s="101" t="s">
        <v>56</v>
      </c>
      <c r="F44" s="101"/>
      <c r="G44" s="99"/>
      <c r="H44" s="102">
        <v>50.347000000000001</v>
      </c>
      <c r="I44" s="103">
        <v>8.3582999999999998</v>
      </c>
      <c r="J44" s="104">
        <f>ROUND(+H44*I44,2)</f>
        <v>420.82</v>
      </c>
      <c r="K44" s="104">
        <f t="shared" ref="K44:K67" si="3">J44*1.2</f>
        <v>504.98399999999998</v>
      </c>
      <c r="L44" s="104">
        <v>504.98</v>
      </c>
      <c r="M44" s="155">
        <v>45327</v>
      </c>
      <c r="N44" s="106">
        <f>+Table6[[#This Row],[стойност с ДДС]]-Table6[[#This Row],[плащане]]</f>
        <v>3.999999999962256E-3</v>
      </c>
      <c r="O44" s="208"/>
    </row>
    <row r="45" spans="1:15" ht="20.100000000000001" customHeight="1" x14ac:dyDescent="0.3">
      <c r="A45" s="97" t="s">
        <v>64</v>
      </c>
      <c r="B45" s="395" t="s">
        <v>68</v>
      </c>
      <c r="C45" s="123">
        <v>45322</v>
      </c>
      <c r="D45" s="99"/>
      <c r="E45" s="100" t="s">
        <v>58</v>
      </c>
      <c r="F45" s="101"/>
      <c r="G45" s="99"/>
      <c r="H45" s="102">
        <v>14338.74</v>
      </c>
      <c r="I45" s="103">
        <v>1.0194000000000001</v>
      </c>
      <c r="J45" s="104">
        <f>H45*I45</f>
        <v>14616.911556000001</v>
      </c>
      <c r="K45" s="104">
        <f t="shared" si="3"/>
        <v>17540.293867200002</v>
      </c>
      <c r="L45" s="104">
        <v>17540.29</v>
      </c>
      <c r="M45" s="155">
        <v>45327</v>
      </c>
      <c r="N45" s="106">
        <f>+Table6[[#This Row],[стойност с ДДС]]-Table6[[#This Row],[плащане]]</f>
        <v>3.8672000009682961E-3</v>
      </c>
      <c r="O45" s="208"/>
    </row>
    <row r="46" spans="1:15" ht="20.100000000000001" customHeight="1" x14ac:dyDescent="0.3">
      <c r="A46" s="97" t="s">
        <v>64</v>
      </c>
      <c r="B46" s="395" t="s">
        <v>68</v>
      </c>
      <c r="C46" s="123">
        <v>45322</v>
      </c>
      <c r="D46" s="99"/>
      <c r="E46" s="125" t="s">
        <v>60</v>
      </c>
      <c r="F46" s="101"/>
      <c r="G46" s="97"/>
      <c r="H46" s="102">
        <v>34152.667000000001</v>
      </c>
      <c r="I46" s="103">
        <v>0</v>
      </c>
      <c r="J46" s="104">
        <f>H46*I46</f>
        <v>0</v>
      </c>
      <c r="K46" s="104">
        <f t="shared" si="3"/>
        <v>0</v>
      </c>
      <c r="L46" s="104"/>
      <c r="M46" s="155">
        <v>45327</v>
      </c>
      <c r="N46" s="106">
        <f>+Table6[[#This Row],[стойност с ДДС]]-Table6[[#This Row],[плащане]]</f>
        <v>0</v>
      </c>
      <c r="O46" s="208"/>
    </row>
    <row r="47" spans="1:15" ht="20.100000000000001" customHeight="1" x14ac:dyDescent="0.3">
      <c r="A47" s="97" t="s">
        <v>64</v>
      </c>
      <c r="B47" s="395" t="s">
        <v>68</v>
      </c>
      <c r="C47" s="123">
        <v>45322</v>
      </c>
      <c r="D47" s="99"/>
      <c r="E47" s="101" t="s">
        <v>59</v>
      </c>
      <c r="F47" s="101"/>
      <c r="G47" s="99"/>
      <c r="H47" s="113">
        <v>17466.796999999999</v>
      </c>
      <c r="I47" s="103">
        <v>0.6</v>
      </c>
      <c r="J47" s="104">
        <f>ROUND(+H47*I47,2)</f>
        <v>10480.08</v>
      </c>
      <c r="K47" s="104">
        <f t="shared" si="3"/>
        <v>12576.096</v>
      </c>
      <c r="L47" s="104">
        <v>12576.1</v>
      </c>
      <c r="M47" s="155">
        <v>45327</v>
      </c>
      <c r="N47" s="106">
        <f>+Table6[[#This Row],[стойност с ДДС]]-Table6[[#This Row],[плащане]]</f>
        <v>-4.0000000008149073E-3</v>
      </c>
      <c r="O47" s="208"/>
    </row>
    <row r="48" spans="1:15" ht="20.100000000000001" customHeight="1" collapsed="1" x14ac:dyDescent="0.3">
      <c r="A48" s="97" t="s">
        <v>69</v>
      </c>
      <c r="B48" s="392">
        <v>3000002607</v>
      </c>
      <c r="C48" s="98">
        <v>45303</v>
      </c>
      <c r="D48" s="99"/>
      <c r="E48" s="100"/>
      <c r="F48" s="101"/>
      <c r="G48" s="126"/>
      <c r="H48" s="102"/>
      <c r="I48" s="103"/>
      <c r="J48" s="104">
        <v>884.17600000000004</v>
      </c>
      <c r="K48" s="104">
        <f t="shared" si="3"/>
        <v>1061.0111999999999</v>
      </c>
      <c r="L48" s="104">
        <v>1061.01</v>
      </c>
      <c r="M48" s="105">
        <v>45310</v>
      </c>
      <c r="N48" s="106">
        <f>+Table6[[#This Row],[стойност с ДДС]]-Table6[[#This Row],[плащане]]</f>
        <v>1.199999999926149E-3</v>
      </c>
      <c r="O48" s="208"/>
    </row>
    <row r="49" spans="1:15" ht="20.100000000000001" customHeight="1" x14ac:dyDescent="0.3">
      <c r="A49" s="97" t="s">
        <v>70</v>
      </c>
      <c r="B49" s="392">
        <v>3000002608</v>
      </c>
      <c r="C49" s="98">
        <v>45303</v>
      </c>
      <c r="D49" s="99" t="s">
        <v>32</v>
      </c>
      <c r="E49" s="100" t="s">
        <v>71</v>
      </c>
      <c r="F49" s="101"/>
      <c r="G49" s="99"/>
      <c r="H49" s="102">
        <v>0.35</v>
      </c>
      <c r="I49" s="103">
        <v>44.27</v>
      </c>
      <c r="J49" s="104">
        <f>ROUND(+H49*I49,2)</f>
        <v>15.49</v>
      </c>
      <c r="K49" s="104">
        <f t="shared" si="3"/>
        <v>18.588000000000001</v>
      </c>
      <c r="L49" s="104">
        <v>18.59</v>
      </c>
      <c r="M49" s="105">
        <v>45310</v>
      </c>
      <c r="N49" s="106">
        <f>+Table6[[#This Row],[стойност с ДДС]]-Table6[[#This Row],[плащане]]</f>
        <v>-1.9999999999988916E-3</v>
      </c>
      <c r="O49" s="208">
        <v>45313</v>
      </c>
    </row>
    <row r="50" spans="1:15" ht="20.100000000000001" customHeight="1" x14ac:dyDescent="0.3">
      <c r="A50" s="97" t="s">
        <v>72</v>
      </c>
      <c r="B50" s="392">
        <v>3000002609</v>
      </c>
      <c r="C50" s="98">
        <v>45303</v>
      </c>
      <c r="D50" s="99" t="s">
        <v>32</v>
      </c>
      <c r="E50" s="100" t="s">
        <v>73</v>
      </c>
      <c r="F50" s="101"/>
      <c r="G50" s="99"/>
      <c r="H50" s="102">
        <v>18</v>
      </c>
      <c r="I50" s="103">
        <v>25.6587</v>
      </c>
      <c r="J50" s="104">
        <f t="shared" ref="J50:J55" si="4">H50*I50</f>
        <v>461.85660000000001</v>
      </c>
      <c r="K50" s="104">
        <f t="shared" si="3"/>
        <v>554.22792000000004</v>
      </c>
      <c r="L50" s="104">
        <v>554.23</v>
      </c>
      <c r="M50" s="105">
        <v>45332</v>
      </c>
      <c r="N50" s="106">
        <f>+Table6[[#This Row],[стойност с ДДС]]-Table6[[#This Row],[плащане]]</f>
        <v>-2.0799999999780994E-3</v>
      </c>
      <c r="O50" s="208">
        <v>45311</v>
      </c>
    </row>
    <row r="51" spans="1:15" ht="20.100000000000001" customHeight="1" x14ac:dyDescent="0.3">
      <c r="A51" s="97" t="s">
        <v>67</v>
      </c>
      <c r="B51" s="392">
        <v>3000002631</v>
      </c>
      <c r="C51" s="98">
        <v>45322</v>
      </c>
      <c r="D51" s="99" t="s">
        <v>52</v>
      </c>
      <c r="E51" s="124" t="s">
        <v>53</v>
      </c>
      <c r="F51" s="101"/>
      <c r="G51" s="99"/>
      <c r="H51" s="102">
        <v>12959.612999999999</v>
      </c>
      <c r="I51" s="103">
        <v>77.599999999999994</v>
      </c>
      <c r="J51" s="104">
        <f t="shared" si="4"/>
        <v>1005665.9687999999</v>
      </c>
      <c r="K51" s="104">
        <f t="shared" si="3"/>
        <v>1206799.1625599999</v>
      </c>
      <c r="L51" s="104">
        <v>1206799.1599999999</v>
      </c>
      <c r="M51" s="105">
        <v>45328</v>
      </c>
      <c r="N51" s="106">
        <f>+Table6[[#This Row],[стойност с ДДС]]-Table6[[#This Row],[плащане]]</f>
        <v>2.5599999353289604E-3</v>
      </c>
      <c r="O51" s="208"/>
    </row>
    <row r="52" spans="1:15" ht="20.100000000000001" customHeight="1" x14ac:dyDescent="0.3">
      <c r="A52" s="97" t="s">
        <v>67</v>
      </c>
      <c r="B52" s="392">
        <v>3000002631</v>
      </c>
      <c r="C52" s="98">
        <v>45322</v>
      </c>
      <c r="D52" s="99"/>
      <c r="E52" s="100" t="s">
        <v>74</v>
      </c>
      <c r="F52" s="101"/>
      <c r="G52" s="126"/>
      <c r="H52" s="102">
        <v>1</v>
      </c>
      <c r="I52" s="103">
        <v>24924.560000000001</v>
      </c>
      <c r="J52" s="104">
        <f t="shared" si="4"/>
        <v>24924.560000000001</v>
      </c>
      <c r="K52" s="104">
        <f t="shared" si="3"/>
        <v>29909.472000000002</v>
      </c>
      <c r="L52" s="104">
        <v>29909.47</v>
      </c>
      <c r="M52" s="105">
        <v>45328</v>
      </c>
      <c r="N52" s="106">
        <f>+Table6[[#This Row],[стойност с ДДС]]-Table6[[#This Row],[плащане]]</f>
        <v>2.0000000004074536E-3</v>
      </c>
      <c r="O52" s="208"/>
    </row>
    <row r="53" spans="1:15" ht="20.100000000000001" customHeight="1" x14ac:dyDescent="0.3">
      <c r="A53" s="97" t="s">
        <v>67</v>
      </c>
      <c r="B53" s="392">
        <v>3000002631</v>
      </c>
      <c r="C53" s="98">
        <v>45322</v>
      </c>
      <c r="D53" s="99"/>
      <c r="E53" s="100" t="s">
        <v>58</v>
      </c>
      <c r="F53" s="101"/>
      <c r="G53" s="126"/>
      <c r="H53" s="102">
        <v>30448.246999999999</v>
      </c>
      <c r="I53" s="103">
        <v>1.0194000000000001</v>
      </c>
      <c r="J53" s="104">
        <f t="shared" si="4"/>
        <v>31038.942991800002</v>
      </c>
      <c r="K53" s="104">
        <f t="shared" si="3"/>
        <v>37246.731590160001</v>
      </c>
      <c r="L53" s="104">
        <v>37246.730000000003</v>
      </c>
      <c r="M53" s="105">
        <v>45328</v>
      </c>
      <c r="N53" s="106">
        <f>+Table6[[#This Row],[стойност с ДДС]]-Table6[[#This Row],[плащане]]</f>
        <v>1.5901599981589243E-3</v>
      </c>
      <c r="O53" s="208"/>
    </row>
    <row r="54" spans="1:15" ht="20.100000000000001" customHeight="1" x14ac:dyDescent="0.3">
      <c r="A54" s="97" t="s">
        <v>67</v>
      </c>
      <c r="B54" s="392">
        <v>3000002631</v>
      </c>
      <c r="C54" s="98">
        <v>45322</v>
      </c>
      <c r="D54" s="99"/>
      <c r="E54" s="100" t="s">
        <v>57</v>
      </c>
      <c r="F54" s="101"/>
      <c r="G54" s="126"/>
      <c r="H54" s="102">
        <v>200</v>
      </c>
      <c r="I54" s="103">
        <v>6.5194000000000001</v>
      </c>
      <c r="J54" s="104">
        <f t="shared" si="4"/>
        <v>1303.8800000000001</v>
      </c>
      <c r="K54" s="104">
        <f t="shared" si="3"/>
        <v>1564.6560000000002</v>
      </c>
      <c r="L54" s="104">
        <v>1564.66</v>
      </c>
      <c r="M54" s="105">
        <v>45328</v>
      </c>
      <c r="N54" s="106">
        <f>+Table6[[#This Row],[стойност с ДДС]]-Table6[[#This Row],[плащане]]</f>
        <v>-3.9999999999054126E-3</v>
      </c>
      <c r="O54" s="208"/>
    </row>
    <row r="55" spans="1:15" ht="20.100000000000001" customHeight="1" x14ac:dyDescent="0.3">
      <c r="A55" s="97" t="s">
        <v>67</v>
      </c>
      <c r="B55" s="392">
        <v>3000002631</v>
      </c>
      <c r="C55" s="98">
        <v>45322</v>
      </c>
      <c r="D55" s="99"/>
      <c r="E55" s="100" t="s">
        <v>57</v>
      </c>
      <c r="F55" s="101"/>
      <c r="G55" s="126"/>
      <c r="H55" s="102">
        <v>1562</v>
      </c>
      <c r="I55" s="103">
        <v>8.1493000000000002</v>
      </c>
      <c r="J55" s="104">
        <f t="shared" si="4"/>
        <v>12729.2066</v>
      </c>
      <c r="K55" s="104">
        <f t="shared" si="3"/>
        <v>15275.047919999999</v>
      </c>
      <c r="L55" s="104">
        <v>15275.05</v>
      </c>
      <c r="M55" s="105">
        <v>45328</v>
      </c>
      <c r="N55" s="106">
        <f>+Table6[[#This Row],[стойност с ДДС]]-Table6[[#This Row],[плащане]]</f>
        <v>-2.080000000205473E-3</v>
      </c>
      <c r="O55" s="208"/>
    </row>
    <row r="56" spans="1:15" ht="20.100000000000001" customHeight="1" x14ac:dyDescent="0.3">
      <c r="A56" s="97" t="s">
        <v>67</v>
      </c>
      <c r="B56" s="392">
        <v>3000002631</v>
      </c>
      <c r="C56" s="98">
        <v>45322</v>
      </c>
      <c r="D56" s="99"/>
      <c r="E56" s="101" t="s">
        <v>56</v>
      </c>
      <c r="F56" s="101"/>
      <c r="G56" s="126"/>
      <c r="H56" s="102">
        <v>738.09100000000001</v>
      </c>
      <c r="I56" s="103">
        <v>8.3582999999999998</v>
      </c>
      <c r="J56" s="104">
        <f>ROUND(+H56*I56,2)</f>
        <v>6169.19</v>
      </c>
      <c r="K56" s="104">
        <f t="shared" si="3"/>
        <v>7403.0279999999993</v>
      </c>
      <c r="L56" s="104">
        <v>7403.03</v>
      </c>
      <c r="M56" s="105">
        <v>45328</v>
      </c>
      <c r="N56" s="106">
        <f>+Table6[[#This Row],[стойност с ДДС]]-Table6[[#This Row],[плащане]]</f>
        <v>-2.0000000004074536E-3</v>
      </c>
      <c r="O56" s="208"/>
    </row>
    <row r="57" spans="1:15" ht="20.100000000000001" customHeight="1" x14ac:dyDescent="0.3">
      <c r="A57" s="97" t="s">
        <v>67</v>
      </c>
      <c r="B57" s="392">
        <v>3000002631</v>
      </c>
      <c r="C57" s="98">
        <v>45322</v>
      </c>
      <c r="D57" s="99"/>
      <c r="E57" s="100" t="s">
        <v>60</v>
      </c>
      <c r="F57" s="101"/>
      <c r="G57" s="126"/>
      <c r="H57" s="102">
        <v>109613.689</v>
      </c>
      <c r="I57" s="103">
        <v>0</v>
      </c>
      <c r="J57" s="104">
        <f t="shared" ref="J57:J62" si="5">H57*I57</f>
        <v>0</v>
      </c>
      <c r="K57" s="104">
        <f t="shared" si="3"/>
        <v>0</v>
      </c>
      <c r="L57" s="104"/>
      <c r="M57" s="105">
        <v>45328</v>
      </c>
      <c r="N57" s="106">
        <f>+Table6[[#This Row],[стойност с ДДС]]-Table6[[#This Row],[плащане]]</f>
        <v>0</v>
      </c>
      <c r="O57" s="208"/>
    </row>
    <row r="58" spans="1:15" ht="20.100000000000001" customHeight="1" collapsed="1" x14ac:dyDescent="0.3">
      <c r="A58" s="97" t="s">
        <v>75</v>
      </c>
      <c r="B58" s="392">
        <v>3000002610</v>
      </c>
      <c r="C58" s="98">
        <v>45303</v>
      </c>
      <c r="D58" s="99"/>
      <c r="E58" s="100" t="s">
        <v>76</v>
      </c>
      <c r="F58" s="101"/>
      <c r="G58" s="126"/>
      <c r="H58" s="102">
        <v>30</v>
      </c>
      <c r="I58" s="103">
        <v>64.954300000000003</v>
      </c>
      <c r="J58" s="104">
        <f t="shared" si="5"/>
        <v>1948.6290000000001</v>
      </c>
      <c r="K58" s="104">
        <f t="shared" si="3"/>
        <v>2338.3548000000001</v>
      </c>
      <c r="L58" s="104">
        <v>2338.35</v>
      </c>
      <c r="M58" s="105">
        <v>45329</v>
      </c>
      <c r="N58" s="106">
        <f>+Table6[[#This Row],[стойност с ДДС]]-Table6[[#This Row],[плащане]]</f>
        <v>4.8000000001593435E-3</v>
      </c>
      <c r="O58" s="208"/>
    </row>
    <row r="59" spans="1:15" ht="20.100000000000001" customHeight="1" x14ac:dyDescent="0.3">
      <c r="A59" s="97" t="s">
        <v>77</v>
      </c>
      <c r="B59" s="392">
        <v>3000002632</v>
      </c>
      <c r="C59" s="98">
        <v>45322</v>
      </c>
      <c r="D59" s="99" t="s">
        <v>32</v>
      </c>
      <c r="E59" s="124" t="s">
        <v>53</v>
      </c>
      <c r="F59" s="101"/>
      <c r="G59" s="99"/>
      <c r="H59" s="102">
        <v>235.50800000000001</v>
      </c>
      <c r="I59" s="103">
        <v>77.599999999999994</v>
      </c>
      <c r="J59" s="104">
        <f t="shared" si="5"/>
        <v>18275.4208</v>
      </c>
      <c r="K59" s="104">
        <f t="shared" si="3"/>
        <v>21930.504959999998</v>
      </c>
      <c r="L59" s="104">
        <v>21930.35</v>
      </c>
      <c r="M59" s="105">
        <v>45329</v>
      </c>
      <c r="N59" s="106">
        <f>+Table6[[#This Row],[стойност с ДДС]]-Table6[[#This Row],[плащане]]</f>
        <v>0.15495999999984633</v>
      </c>
      <c r="O59" s="208"/>
    </row>
    <row r="60" spans="1:15" ht="20.100000000000001" customHeight="1" x14ac:dyDescent="0.3">
      <c r="A60" s="97" t="s">
        <v>77</v>
      </c>
      <c r="B60" s="392">
        <v>3000002632</v>
      </c>
      <c r="C60" s="98">
        <v>45322</v>
      </c>
      <c r="D60" s="99"/>
      <c r="E60" s="100" t="s">
        <v>55</v>
      </c>
      <c r="F60" s="101"/>
      <c r="G60" s="99"/>
      <c r="H60" s="102">
        <v>230</v>
      </c>
      <c r="I60" s="103">
        <v>8.1493000000000002</v>
      </c>
      <c r="J60" s="104">
        <f t="shared" si="5"/>
        <v>1874.3389999999999</v>
      </c>
      <c r="K60" s="104">
        <f t="shared" si="3"/>
        <v>2249.2067999999999</v>
      </c>
      <c r="L60" s="104">
        <v>2249.21</v>
      </c>
      <c r="M60" s="105">
        <v>45329</v>
      </c>
      <c r="N60" s="106">
        <f>+Table6[[#This Row],[стойност с ДДС]]-Table6[[#This Row],[плащане]]</f>
        <v>-3.200000000106229E-3</v>
      </c>
      <c r="O60" s="208"/>
    </row>
    <row r="61" spans="1:15" ht="20.100000000000001" customHeight="1" x14ac:dyDescent="0.3">
      <c r="A61" s="97" t="s">
        <v>77</v>
      </c>
      <c r="B61" s="392">
        <v>3000002632</v>
      </c>
      <c r="C61" s="98">
        <v>45322</v>
      </c>
      <c r="D61" s="99"/>
      <c r="E61" s="100" t="s">
        <v>56</v>
      </c>
      <c r="F61" s="101"/>
      <c r="G61" s="99"/>
      <c r="H61" s="102">
        <v>5.508</v>
      </c>
      <c r="I61" s="103">
        <v>8.3582999999999998</v>
      </c>
      <c r="J61" s="104">
        <f t="shared" si="5"/>
        <v>46.037516400000001</v>
      </c>
      <c r="K61" s="104">
        <f t="shared" si="3"/>
        <v>55.245019679999999</v>
      </c>
      <c r="L61" s="104">
        <v>55.25</v>
      </c>
      <c r="M61" s="105">
        <v>45329</v>
      </c>
      <c r="N61" s="106">
        <f>+Table6[[#This Row],[стойност с ДДС]]-Table6[[#This Row],[плащане]]</f>
        <v>-4.9803200000013703E-3</v>
      </c>
      <c r="O61" s="208"/>
    </row>
    <row r="62" spans="1:15" ht="20.100000000000001" customHeight="1" x14ac:dyDescent="0.3">
      <c r="A62" s="97" t="s">
        <v>77</v>
      </c>
      <c r="B62" s="392">
        <v>3000002632</v>
      </c>
      <c r="C62" s="98">
        <v>45322</v>
      </c>
      <c r="D62" s="99"/>
      <c r="E62" s="100" t="s">
        <v>58</v>
      </c>
      <c r="F62" s="101"/>
      <c r="G62" s="99"/>
      <c r="H62" s="102">
        <v>235.50800000000001</v>
      </c>
      <c r="I62" s="103">
        <v>1.0194000000000001</v>
      </c>
      <c r="J62" s="104">
        <f t="shared" si="5"/>
        <v>240.07685520000004</v>
      </c>
      <c r="K62" s="104">
        <f t="shared" si="3"/>
        <v>288.09222624000006</v>
      </c>
      <c r="L62" s="104">
        <v>288.08999999999997</v>
      </c>
      <c r="M62" s="105">
        <v>45329</v>
      </c>
      <c r="N62" s="106">
        <f>+Table6[[#This Row],[стойност с ДДС]]-Table6[[#This Row],[плащане]]</f>
        <v>2.2262400000840898E-3</v>
      </c>
      <c r="O62" s="208"/>
    </row>
    <row r="63" spans="1:15" ht="20.100000000000001" customHeight="1" x14ac:dyDescent="0.3">
      <c r="A63" s="97" t="s">
        <v>77</v>
      </c>
      <c r="B63" s="392">
        <v>3000002632</v>
      </c>
      <c r="C63" s="98">
        <v>45322</v>
      </c>
      <c r="D63" s="99"/>
      <c r="E63" s="125" t="s">
        <v>60</v>
      </c>
      <c r="F63" s="101"/>
      <c r="G63" s="97"/>
      <c r="H63" s="102">
        <v>847.82899999999995</v>
      </c>
      <c r="I63" s="103">
        <v>0</v>
      </c>
      <c r="J63" s="104">
        <f>ROUND(+H63*I63,2)</f>
        <v>0</v>
      </c>
      <c r="K63" s="104">
        <f t="shared" si="3"/>
        <v>0</v>
      </c>
      <c r="L63" s="104"/>
      <c r="M63" s="105">
        <v>45329</v>
      </c>
      <c r="N63" s="106">
        <f>+Table6[[#This Row],[стойност с ДДС]]-Table6[[#This Row],[плащане]]</f>
        <v>0</v>
      </c>
      <c r="O63" s="208"/>
    </row>
    <row r="64" spans="1:15" ht="20.100000000000001" customHeight="1" collapsed="1" x14ac:dyDescent="0.3">
      <c r="A64" s="97" t="s">
        <v>75</v>
      </c>
      <c r="B64" s="392">
        <v>3000002610</v>
      </c>
      <c r="C64" s="98">
        <v>45303</v>
      </c>
      <c r="D64" s="99"/>
      <c r="E64" s="100" t="s">
        <v>63</v>
      </c>
      <c r="F64" s="101"/>
      <c r="G64" s="126"/>
      <c r="H64" s="102">
        <v>19</v>
      </c>
      <c r="I64" s="103">
        <v>141.4717</v>
      </c>
      <c r="J64" s="104">
        <f>ROUND(+H64*I64,2)</f>
        <v>2687.96</v>
      </c>
      <c r="K64" s="104">
        <f t="shared" si="3"/>
        <v>3225.5520000000001</v>
      </c>
      <c r="L64" s="104">
        <v>3225.55</v>
      </c>
      <c r="M64" s="105">
        <v>45308</v>
      </c>
      <c r="N64" s="106">
        <f>+Table6[[#This Row],[стойност с ДДС]]-Table6[[#This Row],[плащане]]</f>
        <v>1.9999999999527063E-3</v>
      </c>
      <c r="O64" s="208"/>
    </row>
    <row r="65" spans="1:15" ht="20.100000000000001" customHeight="1" x14ac:dyDescent="0.3">
      <c r="A65" s="97" t="s">
        <v>78</v>
      </c>
      <c r="B65" s="396">
        <v>3000002611</v>
      </c>
      <c r="C65" s="127">
        <v>45303</v>
      </c>
      <c r="D65" s="99" t="s">
        <v>79</v>
      </c>
      <c r="E65" s="100" t="s">
        <v>63</v>
      </c>
      <c r="F65" s="101"/>
      <c r="G65" s="99"/>
      <c r="H65" s="102">
        <v>1</v>
      </c>
      <c r="I65" s="103">
        <v>141.4717</v>
      </c>
      <c r="J65" s="104">
        <f>ROUND(+H65*I65,2)</f>
        <v>141.47</v>
      </c>
      <c r="K65" s="104">
        <f t="shared" si="3"/>
        <v>169.76399999999998</v>
      </c>
      <c r="L65" s="104">
        <v>169.76</v>
      </c>
      <c r="M65" s="107">
        <v>45313</v>
      </c>
      <c r="N65" s="106">
        <f>+Table6[[#This Row],[стойност с ДДС]]-Table6[[#This Row],[плащане]]</f>
        <v>3.9999999999906777E-3</v>
      </c>
      <c r="O65" s="208">
        <v>45313</v>
      </c>
    </row>
    <row r="66" spans="1:15" ht="20.100000000000001" customHeight="1" x14ac:dyDescent="0.3">
      <c r="A66" s="116" t="s">
        <v>80</v>
      </c>
      <c r="B66" s="394">
        <v>3000002612</v>
      </c>
      <c r="C66" s="117">
        <v>45303</v>
      </c>
      <c r="D66" s="112" t="s">
        <v>79</v>
      </c>
      <c r="E66" s="100" t="s">
        <v>63</v>
      </c>
      <c r="F66" s="118"/>
      <c r="G66" s="112"/>
      <c r="H66" s="128">
        <v>70</v>
      </c>
      <c r="I66" s="129">
        <v>141.4717</v>
      </c>
      <c r="J66" s="115">
        <f>+Table6[[#This Row],[единична цена]]*Table6[[#This Row],[количество]]</f>
        <v>9903.0190000000002</v>
      </c>
      <c r="K66" s="129">
        <f>ROUND(+H66*I66,2)</f>
        <v>9903.02</v>
      </c>
      <c r="L66" s="129">
        <v>9903.02</v>
      </c>
      <c r="M66" s="105">
        <v>45308</v>
      </c>
      <c r="N66" s="130">
        <v>9903.02</v>
      </c>
      <c r="O66" s="208"/>
    </row>
    <row r="67" spans="1:15" ht="20.100000000000001" customHeight="1" x14ac:dyDescent="0.3">
      <c r="A67" s="97" t="s">
        <v>49</v>
      </c>
      <c r="B67" s="392">
        <v>3000002613</v>
      </c>
      <c r="C67" s="98">
        <v>45303</v>
      </c>
      <c r="D67" s="99" t="s">
        <v>79</v>
      </c>
      <c r="E67" s="100" t="s">
        <v>63</v>
      </c>
      <c r="F67" s="101"/>
      <c r="G67" s="99"/>
      <c r="H67" s="102">
        <v>2.0499999999999998</v>
      </c>
      <c r="I67" s="103">
        <v>55.8842</v>
      </c>
      <c r="J67" s="104">
        <f>ROUND(+H67*I67,2)</f>
        <v>114.56</v>
      </c>
      <c r="K67" s="104">
        <f t="shared" si="3"/>
        <v>137.47200000000001</v>
      </c>
      <c r="L67" s="104">
        <v>137.47</v>
      </c>
      <c r="M67" s="155">
        <v>45323</v>
      </c>
      <c r="N67" s="106">
        <f>+Table6[[#This Row],[стойност с ДДС]]-Table6[[#This Row],[плащане]]</f>
        <v>2.0000000000095497E-3</v>
      </c>
      <c r="O67" s="208"/>
    </row>
    <row r="68" spans="1:15" ht="20.100000000000001" customHeight="1" x14ac:dyDescent="0.3">
      <c r="A68" s="97" t="s">
        <v>72</v>
      </c>
      <c r="B68" s="392">
        <v>3000002634</v>
      </c>
      <c r="C68" s="98">
        <v>45322</v>
      </c>
      <c r="D68" s="99"/>
      <c r="E68" s="100" t="s">
        <v>33</v>
      </c>
      <c r="F68" s="118"/>
      <c r="G68" s="99"/>
      <c r="H68" s="102"/>
      <c r="I68" s="103">
        <v>-36392.89</v>
      </c>
      <c r="J68" s="104">
        <f>+I68</f>
        <v>-36392.89</v>
      </c>
      <c r="K68" s="104">
        <f>+J68*1.2</f>
        <v>-43671.468000000001</v>
      </c>
      <c r="L68" s="104">
        <v>-43671.47</v>
      </c>
      <c r="M68" s="105">
        <v>45332</v>
      </c>
      <c r="N68" s="106">
        <f>+Table6[[#This Row],[стойност с ДДС]]-Table6[[#This Row],[плащане]]</f>
        <v>2.0000000004074536E-3</v>
      </c>
      <c r="O68" s="208">
        <v>45311</v>
      </c>
    </row>
    <row r="69" spans="1:15" ht="20.100000000000001" customHeight="1" x14ac:dyDescent="0.3">
      <c r="A69" s="97" t="s">
        <v>72</v>
      </c>
      <c r="B69" s="392">
        <v>3000002634</v>
      </c>
      <c r="C69" s="98">
        <v>45322</v>
      </c>
      <c r="D69" s="99" t="s">
        <v>32</v>
      </c>
      <c r="E69" s="100" t="s">
        <v>33</v>
      </c>
      <c r="F69" s="101"/>
      <c r="G69" s="99"/>
      <c r="H69" s="102">
        <v>522.51099999999997</v>
      </c>
      <c r="I69" s="103">
        <v>69.650000000000006</v>
      </c>
      <c r="J69" s="104">
        <f>+H69*I69</f>
        <v>36392.891150000003</v>
      </c>
      <c r="K69" s="104">
        <f>+J69*1.2</f>
        <v>43671.469380000002</v>
      </c>
      <c r="L69" s="104">
        <v>43671.47</v>
      </c>
      <c r="M69" s="105">
        <v>45332</v>
      </c>
      <c r="N69" s="106">
        <f>+Table6[[#This Row],[стойност с ДДС]]-Table6[[#This Row],[плащане]]</f>
        <v>-6.1999999888939783E-4</v>
      </c>
      <c r="O69" s="208">
        <v>45311</v>
      </c>
    </row>
    <row r="70" spans="1:15" ht="20.100000000000001" customHeight="1" x14ac:dyDescent="0.3">
      <c r="A70" s="97" t="s">
        <v>72</v>
      </c>
      <c r="B70" s="392">
        <v>3000002634</v>
      </c>
      <c r="C70" s="98">
        <v>45322</v>
      </c>
      <c r="D70" s="99"/>
      <c r="E70" s="100" t="s">
        <v>56</v>
      </c>
      <c r="F70" s="101"/>
      <c r="G70" s="99"/>
      <c r="H70" s="102">
        <v>106.492</v>
      </c>
      <c r="I70" s="103">
        <v>3.3016999999999999</v>
      </c>
      <c r="J70" s="104">
        <f>+H70*I70</f>
        <v>351.6046364</v>
      </c>
      <c r="K70" s="104">
        <f>+J70*1.2</f>
        <v>421.92556367999998</v>
      </c>
      <c r="L70" s="104">
        <v>421.93</v>
      </c>
      <c r="M70" s="105">
        <v>45332</v>
      </c>
      <c r="N70" s="106">
        <f>+Table6[[#This Row],[стойност с ДДС]]-Table6[[#This Row],[плащане]]</f>
        <v>-4.4363200000248071E-3</v>
      </c>
      <c r="O70" s="208">
        <v>45311</v>
      </c>
    </row>
    <row r="71" spans="1:15" ht="20.100000000000001" customHeight="1" x14ac:dyDescent="0.3">
      <c r="A71" s="97" t="s">
        <v>72</v>
      </c>
      <c r="B71" s="392">
        <v>3000002634</v>
      </c>
      <c r="C71" s="98">
        <v>45322</v>
      </c>
      <c r="D71" s="99"/>
      <c r="E71" s="100" t="s">
        <v>58</v>
      </c>
      <c r="F71" s="101"/>
      <c r="G71" s="99"/>
      <c r="H71" s="102">
        <v>522.51099999999997</v>
      </c>
      <c r="I71" s="103">
        <v>0.52290000000000003</v>
      </c>
      <c r="J71" s="104">
        <f>+H71*I71</f>
        <v>273.22100189999998</v>
      </c>
      <c r="K71" s="104">
        <f>+J71*1.2</f>
        <v>327.86520227999995</v>
      </c>
      <c r="L71" s="104">
        <v>327.87</v>
      </c>
      <c r="M71" s="105">
        <v>45332</v>
      </c>
      <c r="N71" s="106">
        <f>+Table6[[#This Row],[стойност с ДДС]]-Table6[[#This Row],[плащане]]</f>
        <v>-4.7977200000559606E-3</v>
      </c>
      <c r="O71" s="208">
        <v>45311</v>
      </c>
    </row>
    <row r="72" spans="1:15" ht="20.100000000000001" customHeight="1" x14ac:dyDescent="0.3">
      <c r="A72" s="97" t="s">
        <v>49</v>
      </c>
      <c r="B72" s="392">
        <v>3000002616</v>
      </c>
      <c r="C72" s="98">
        <v>45307</v>
      </c>
      <c r="D72" s="99" t="s">
        <v>79</v>
      </c>
      <c r="E72" s="100" t="s">
        <v>33</v>
      </c>
      <c r="F72" s="101"/>
      <c r="G72" s="99"/>
      <c r="H72" s="102">
        <v>1</v>
      </c>
      <c r="I72" s="103">
        <v>2293.4499999999998</v>
      </c>
      <c r="J72" s="104">
        <f>ROUND(+H72*I72,2)</f>
        <v>2293.4499999999998</v>
      </c>
      <c r="K72" s="104">
        <f t="shared" ref="K72:K76" si="6">J72*1.2</f>
        <v>2752.14</v>
      </c>
      <c r="L72" s="104">
        <v>2752.14</v>
      </c>
      <c r="M72" s="155">
        <v>45323</v>
      </c>
      <c r="N72" s="106">
        <f>+Table6[[#This Row],[стойност с ДДС]]-Table6[[#This Row],[плащане]]</f>
        <v>0</v>
      </c>
      <c r="O72" s="208"/>
    </row>
    <row r="73" spans="1:15" ht="20.100000000000001" customHeight="1" x14ac:dyDescent="0.3">
      <c r="A73" s="97" t="s">
        <v>69</v>
      </c>
      <c r="B73" s="392">
        <v>3000002607</v>
      </c>
      <c r="C73" s="98">
        <v>45303</v>
      </c>
      <c r="D73" s="99" t="s">
        <v>32</v>
      </c>
      <c r="E73" s="101"/>
      <c r="F73" s="101"/>
      <c r="G73" s="126"/>
      <c r="H73" s="102"/>
      <c r="I73" s="103"/>
      <c r="J73" s="104">
        <f>SUM(J74:J75)</f>
        <v>884.80399999999997</v>
      </c>
      <c r="K73" s="104">
        <f t="shared" si="6"/>
        <v>1061.7647999999999</v>
      </c>
      <c r="L73" s="104">
        <v>1061.76</v>
      </c>
      <c r="M73" s="105">
        <v>45308</v>
      </c>
      <c r="N73" s="106">
        <f>+Table6[[#This Row],[стойност с ДДС]]-Table6[[#This Row],[плащане]]</f>
        <v>4.7999999999319698E-3</v>
      </c>
      <c r="O73" s="208"/>
    </row>
    <row r="74" spans="1:15" ht="20.100000000000001" customHeight="1" x14ac:dyDescent="0.3">
      <c r="A74" s="97" t="s">
        <v>69</v>
      </c>
      <c r="B74" s="392">
        <v>3000002607</v>
      </c>
      <c r="C74" s="98">
        <v>45303</v>
      </c>
      <c r="D74" s="99"/>
      <c r="E74" s="100" t="s">
        <v>76</v>
      </c>
      <c r="F74" s="101"/>
      <c r="G74" s="99"/>
      <c r="H74" s="102">
        <v>20</v>
      </c>
      <c r="I74" s="103">
        <v>25.6587</v>
      </c>
      <c r="J74" s="104">
        <f>H74*I74</f>
        <v>513.17399999999998</v>
      </c>
      <c r="K74" s="104">
        <f t="shared" si="6"/>
        <v>615.80879999999991</v>
      </c>
      <c r="L74" s="104">
        <v>615.80999999999995</v>
      </c>
      <c r="M74" s="105">
        <v>45308</v>
      </c>
      <c r="N74" s="106">
        <f>+Table6[[#This Row],[стойност с ДДС]]-Table6[[#This Row],[плащане]]</f>
        <v>-1.2000000000398359E-3</v>
      </c>
      <c r="O74" s="208"/>
    </row>
    <row r="75" spans="1:15" ht="20.100000000000001" customHeight="1" x14ac:dyDescent="0.3">
      <c r="A75" s="97" t="s">
        <v>69</v>
      </c>
      <c r="B75" s="392">
        <v>3000002607</v>
      </c>
      <c r="C75" s="98">
        <v>45303</v>
      </c>
      <c r="D75" s="99"/>
      <c r="E75" s="100" t="s">
        <v>63</v>
      </c>
      <c r="F75" s="101"/>
      <c r="G75" s="99"/>
      <c r="H75" s="102">
        <v>6.65</v>
      </c>
      <c r="I75" s="103">
        <v>55.8842</v>
      </c>
      <c r="J75" s="104">
        <f>ROUND(+H75*I75,2)</f>
        <v>371.63</v>
      </c>
      <c r="K75" s="104">
        <f t="shared" si="6"/>
        <v>445.95599999999996</v>
      </c>
      <c r="L75" s="104">
        <v>445.96</v>
      </c>
      <c r="M75" s="105">
        <v>45308</v>
      </c>
      <c r="N75" s="106">
        <f>+Table6[[#This Row],[стойност с ДДС]]-Table6[[#This Row],[плащане]]</f>
        <v>-4.0000000000190994E-3</v>
      </c>
      <c r="O75" s="208"/>
    </row>
    <row r="76" spans="1:15" ht="20.100000000000001" customHeight="1" collapsed="1" x14ac:dyDescent="0.3">
      <c r="A76" s="97" t="s">
        <v>70</v>
      </c>
      <c r="B76" s="392">
        <v>3000002617</v>
      </c>
      <c r="C76" s="98">
        <v>45307</v>
      </c>
      <c r="D76" s="99" t="s">
        <v>32</v>
      </c>
      <c r="E76" s="100" t="s">
        <v>33</v>
      </c>
      <c r="F76" s="101"/>
      <c r="G76" s="126"/>
      <c r="H76" s="102">
        <v>1</v>
      </c>
      <c r="I76" s="103">
        <v>390.15</v>
      </c>
      <c r="J76" s="104">
        <f>ROUND(+H76*I76,2)</f>
        <v>390.15</v>
      </c>
      <c r="K76" s="104">
        <f t="shared" si="6"/>
        <v>468.17999999999995</v>
      </c>
      <c r="L76" s="104">
        <v>468.18</v>
      </c>
      <c r="M76" s="105">
        <v>45308</v>
      </c>
      <c r="N76" s="106">
        <f>+Table6[[#This Row],[стойност с ДДС]]-Table6[[#This Row],[плащане]]</f>
        <v>0</v>
      </c>
      <c r="O76" s="208">
        <v>45316</v>
      </c>
    </row>
    <row r="77" spans="1:15" ht="20.100000000000001" customHeight="1" x14ac:dyDescent="0.3">
      <c r="A77" s="97" t="s">
        <v>69</v>
      </c>
      <c r="B77" s="393">
        <v>3000002635</v>
      </c>
      <c r="C77" s="110">
        <v>45322</v>
      </c>
      <c r="D77" s="99" t="s">
        <v>81</v>
      </c>
      <c r="E77" s="100"/>
      <c r="F77" s="101"/>
      <c r="G77" s="99"/>
      <c r="H77" s="102"/>
      <c r="I77" s="103"/>
      <c r="J77" s="104">
        <f>SUM(J78:J80)</f>
        <v>4287777.6199999992</v>
      </c>
      <c r="K77" s="104">
        <f>SUM(K78:K80)</f>
        <v>5145333.1439999994</v>
      </c>
      <c r="L77" s="104">
        <v>5145333.1399999997</v>
      </c>
      <c r="M77" s="105">
        <v>45308</v>
      </c>
      <c r="N77" s="106">
        <f>+Table6[[#This Row],[стойност с ДДС]]-Table6[[#This Row],[плащане]]</f>
        <v>3.9999997243285179E-3</v>
      </c>
      <c r="O77" s="208"/>
    </row>
    <row r="78" spans="1:15" ht="20.100000000000001" customHeight="1" x14ac:dyDescent="0.3">
      <c r="A78" s="97" t="s">
        <v>69</v>
      </c>
      <c r="B78" s="393">
        <v>3000002635</v>
      </c>
      <c r="C78" s="110">
        <v>45322</v>
      </c>
      <c r="D78" s="99"/>
      <c r="E78" s="100" t="s">
        <v>33</v>
      </c>
      <c r="F78" s="101"/>
      <c r="G78" s="99"/>
      <c r="H78" s="102">
        <v>7.218</v>
      </c>
      <c r="I78" s="103">
        <v>60.89</v>
      </c>
      <c r="J78" s="104">
        <f t="shared" ref="J78:J82" si="7">ROUND(+H78*I78,2)</f>
        <v>439.5</v>
      </c>
      <c r="K78" s="104">
        <f t="shared" ref="K78:K100" si="8">J78*1.2</f>
        <v>527.4</v>
      </c>
      <c r="L78" s="104">
        <v>527.4</v>
      </c>
      <c r="M78" s="105">
        <v>45308</v>
      </c>
      <c r="N78" s="106">
        <f>+Table6[[#This Row],[стойност с ДДС]]-Table6[[#This Row],[плащане]]</f>
        <v>0</v>
      </c>
      <c r="O78" s="208"/>
    </row>
    <row r="79" spans="1:15" ht="20.100000000000001" customHeight="1" x14ac:dyDescent="0.3">
      <c r="A79" s="97" t="s">
        <v>69</v>
      </c>
      <c r="B79" s="393">
        <v>3000002635</v>
      </c>
      <c r="C79" s="110">
        <v>45322</v>
      </c>
      <c r="D79" s="99"/>
      <c r="E79" s="100" t="s">
        <v>58</v>
      </c>
      <c r="F79" s="101"/>
      <c r="G79" s="99"/>
      <c r="H79" s="113">
        <v>7.218</v>
      </c>
      <c r="I79" s="114">
        <v>0.52290000000000003</v>
      </c>
      <c r="J79" s="104">
        <f t="shared" si="7"/>
        <v>3.77</v>
      </c>
      <c r="K79" s="104">
        <f t="shared" si="8"/>
        <v>4.524</v>
      </c>
      <c r="L79" s="104">
        <v>4.5199999999999996</v>
      </c>
      <c r="M79" s="105">
        <v>45308</v>
      </c>
      <c r="N79" s="106">
        <f>+Table6[[#This Row],[стойност с ДДС]]-Table6[[#This Row],[плащане]]</f>
        <v>4.0000000000004476E-3</v>
      </c>
      <c r="O79" s="208"/>
    </row>
    <row r="80" spans="1:15" ht="20.100000000000001" customHeight="1" collapsed="1" x14ac:dyDescent="0.3">
      <c r="A80" s="97" t="s">
        <v>62</v>
      </c>
      <c r="B80" s="392">
        <v>3000002619</v>
      </c>
      <c r="C80" s="98">
        <v>45313</v>
      </c>
      <c r="D80" s="99" t="s">
        <v>66</v>
      </c>
      <c r="E80" s="124" t="s">
        <v>53</v>
      </c>
      <c r="F80" s="101"/>
      <c r="G80" s="99"/>
      <c r="H80" s="102">
        <v>55249.154000000002</v>
      </c>
      <c r="I80" s="103">
        <v>77.599999999999994</v>
      </c>
      <c r="J80" s="104">
        <f t="shared" si="7"/>
        <v>4287334.3499999996</v>
      </c>
      <c r="K80" s="104">
        <f t="shared" si="8"/>
        <v>5144801.22</v>
      </c>
      <c r="L80" s="104">
        <v>5144801.22</v>
      </c>
      <c r="M80" s="105">
        <v>45317</v>
      </c>
      <c r="N80" s="106">
        <f>+Table6[[#This Row],[стойност с ДДС]]-Table6[[#This Row],[плащане]]</f>
        <v>0</v>
      </c>
      <c r="O80" s="208"/>
    </row>
    <row r="81" spans="1:15" ht="20.100000000000001" customHeight="1" x14ac:dyDescent="0.3">
      <c r="A81" s="97" t="s">
        <v>50</v>
      </c>
      <c r="B81" s="392">
        <v>3000002620</v>
      </c>
      <c r="C81" s="98">
        <v>45313</v>
      </c>
      <c r="D81" s="99" t="s">
        <v>66</v>
      </c>
      <c r="E81" s="124" t="s">
        <v>53</v>
      </c>
      <c r="F81" s="101"/>
      <c r="G81" s="99"/>
      <c r="H81" s="102">
        <v>11256.876</v>
      </c>
      <c r="I81" s="103">
        <v>77.599999999999994</v>
      </c>
      <c r="J81" s="104">
        <f t="shared" si="7"/>
        <v>873533.58</v>
      </c>
      <c r="K81" s="104">
        <f t="shared" si="8"/>
        <v>1048240.2959999999</v>
      </c>
      <c r="L81" s="104">
        <v>1048240.3</v>
      </c>
      <c r="M81" s="105">
        <v>45317</v>
      </c>
      <c r="N81" s="106">
        <f>+Table6[[#This Row],[стойност с ДДС]]-Table6[[#This Row],[плащане]]</f>
        <v>-4.0000001899898052E-3</v>
      </c>
      <c r="O81" s="208"/>
    </row>
    <row r="82" spans="1:15" ht="20.100000000000001" customHeight="1" x14ac:dyDescent="0.3">
      <c r="A82" s="97" t="s">
        <v>67</v>
      </c>
      <c r="B82" s="392">
        <v>3000002622</v>
      </c>
      <c r="C82" s="98">
        <v>45313</v>
      </c>
      <c r="D82" s="99" t="s">
        <v>66</v>
      </c>
      <c r="E82" s="124" t="s">
        <v>53</v>
      </c>
      <c r="F82" s="118"/>
      <c r="G82" s="99"/>
      <c r="H82" s="102">
        <v>17488.633999999998</v>
      </c>
      <c r="I82" s="103">
        <v>77.599999999999994</v>
      </c>
      <c r="J82" s="104">
        <f t="shared" si="7"/>
        <v>1357118</v>
      </c>
      <c r="K82" s="104">
        <f t="shared" si="8"/>
        <v>1628541.5999999999</v>
      </c>
      <c r="L82" s="104">
        <v>1628541.6</v>
      </c>
      <c r="M82" s="105">
        <v>45317</v>
      </c>
      <c r="N82" s="106">
        <f>+Table6[[#This Row],[стойност с ДДС]]-Table6[[#This Row],[плащане]]</f>
        <v>0</v>
      </c>
      <c r="O82" s="208"/>
    </row>
    <row r="83" spans="1:15" ht="20.100000000000001" customHeight="1" x14ac:dyDescent="0.3">
      <c r="A83" s="97" t="s">
        <v>70</v>
      </c>
      <c r="B83" s="392">
        <v>3000002637</v>
      </c>
      <c r="C83" s="98">
        <v>45322</v>
      </c>
      <c r="D83" s="99" t="s">
        <v>32</v>
      </c>
      <c r="E83" s="100" t="s">
        <v>33</v>
      </c>
      <c r="F83" s="118"/>
      <c r="G83" s="99"/>
      <c r="H83" s="102">
        <v>-1</v>
      </c>
      <c r="I83" s="103">
        <v>742.96</v>
      </c>
      <c r="J83" s="104">
        <f>H83*I83</f>
        <v>-742.96</v>
      </c>
      <c r="K83" s="104">
        <f t="shared" si="8"/>
        <v>-891.55200000000002</v>
      </c>
      <c r="L83" s="104">
        <v>-891.55</v>
      </c>
      <c r="M83" s="105">
        <v>45317</v>
      </c>
      <c r="N83" s="106">
        <f>+Table6[[#This Row],[стойност с ДДС]]-Table6[[#This Row],[плащане]]</f>
        <v>-2.0000000000663931E-3</v>
      </c>
      <c r="O83" s="208">
        <v>45301</v>
      </c>
    </row>
    <row r="84" spans="1:15" ht="20.100000000000001" customHeight="1" x14ac:dyDescent="0.3">
      <c r="A84" s="97" t="s">
        <v>70</v>
      </c>
      <c r="B84" s="392">
        <v>3000002637</v>
      </c>
      <c r="C84" s="98">
        <v>45322</v>
      </c>
      <c r="D84" s="99" t="s">
        <v>32</v>
      </c>
      <c r="E84" s="100" t="s">
        <v>33</v>
      </c>
      <c r="F84" s="101"/>
      <c r="G84" s="99"/>
      <c r="H84" s="102">
        <v>10.667</v>
      </c>
      <c r="I84" s="103">
        <v>69.650000000000006</v>
      </c>
      <c r="J84" s="104">
        <f>H84*I84</f>
        <v>742.95654999999999</v>
      </c>
      <c r="K84" s="104">
        <f t="shared" si="8"/>
        <v>891.54786000000001</v>
      </c>
      <c r="L84" s="104">
        <v>891.55</v>
      </c>
      <c r="M84" s="105">
        <v>45317</v>
      </c>
      <c r="N84" s="106">
        <f>+Table6[[#This Row],[стойност с ДДС]]-Table6[[#This Row],[плащане]]</f>
        <v>-2.1399999999403008E-3</v>
      </c>
      <c r="O84" s="208">
        <v>45301</v>
      </c>
    </row>
    <row r="85" spans="1:15" ht="20.100000000000001" customHeight="1" x14ac:dyDescent="0.3">
      <c r="A85" s="97" t="s">
        <v>70</v>
      </c>
      <c r="B85" s="392">
        <v>3000002637</v>
      </c>
      <c r="C85" s="98">
        <v>45322</v>
      </c>
      <c r="D85" s="99"/>
      <c r="E85" s="100" t="s">
        <v>56</v>
      </c>
      <c r="F85" s="101"/>
      <c r="G85" s="99"/>
      <c r="H85" s="102">
        <v>0.84699999999999998</v>
      </c>
      <c r="I85" s="103">
        <v>3.3016999999999999</v>
      </c>
      <c r="J85" s="104">
        <f>H85*I85</f>
        <v>2.7965399</v>
      </c>
      <c r="K85" s="104">
        <f t="shared" si="8"/>
        <v>3.3558478799999998</v>
      </c>
      <c r="L85" s="104">
        <v>3.36</v>
      </c>
      <c r="M85" s="105">
        <v>45317</v>
      </c>
      <c r="N85" s="106">
        <f>+Table6[[#This Row],[стойност с ДДС]]-Table6[[#This Row],[плащане]]</f>
        <v>-4.1521200000000924E-3</v>
      </c>
      <c r="O85" s="208">
        <v>45301</v>
      </c>
    </row>
    <row r="86" spans="1:15" ht="20.100000000000001" customHeight="1" x14ac:dyDescent="0.3">
      <c r="A86" s="97" t="s">
        <v>70</v>
      </c>
      <c r="B86" s="392">
        <v>3000002637</v>
      </c>
      <c r="C86" s="98">
        <v>45322</v>
      </c>
      <c r="D86" s="99"/>
      <c r="E86" s="100" t="s">
        <v>58</v>
      </c>
      <c r="F86" s="101"/>
      <c r="G86" s="99"/>
      <c r="H86" s="102">
        <v>10.667</v>
      </c>
      <c r="I86" s="103">
        <v>0.52290000000000003</v>
      </c>
      <c r="J86" s="104">
        <f>H86*I86</f>
        <v>5.5777743000000006</v>
      </c>
      <c r="K86" s="104">
        <f t="shared" si="8"/>
        <v>6.6933291600000002</v>
      </c>
      <c r="L86" s="104">
        <v>6.69</v>
      </c>
      <c r="M86" s="105">
        <v>45317</v>
      </c>
      <c r="N86" s="106">
        <f>+Table6[[#This Row],[стойност с ДДС]]-Table6[[#This Row],[плащане]]</f>
        <v>3.3291599999998311E-3</v>
      </c>
      <c r="O86" s="208">
        <v>45301</v>
      </c>
    </row>
    <row r="87" spans="1:15" ht="20.100000000000001" customHeight="1" x14ac:dyDescent="0.3">
      <c r="A87" s="97" t="s">
        <v>70</v>
      </c>
      <c r="B87" s="392">
        <v>3000002637</v>
      </c>
      <c r="C87" s="98">
        <v>45322</v>
      </c>
      <c r="D87" s="99"/>
      <c r="E87" s="101" t="s">
        <v>59</v>
      </c>
      <c r="F87" s="101"/>
      <c r="G87" s="126"/>
      <c r="H87" s="113">
        <v>38.401000000000003</v>
      </c>
      <c r="I87" s="103">
        <v>0.6</v>
      </c>
      <c r="J87" s="104">
        <f>H87*I87</f>
        <v>23.040600000000001</v>
      </c>
      <c r="K87" s="104">
        <f t="shared" si="8"/>
        <v>27.648720000000001</v>
      </c>
      <c r="L87" s="104">
        <v>27.65</v>
      </c>
      <c r="M87" s="105">
        <v>45317</v>
      </c>
      <c r="N87" s="106">
        <f>+Table6[[#This Row],[стойност с ДДС]]-Table6[[#This Row],[плащане]]</f>
        <v>-1.2799999999977274E-3</v>
      </c>
      <c r="O87" s="208">
        <v>45301</v>
      </c>
    </row>
    <row r="88" spans="1:15" ht="20.100000000000001" customHeight="1" collapsed="1" x14ac:dyDescent="0.3">
      <c r="A88" s="97" t="s">
        <v>70</v>
      </c>
      <c r="B88" s="392">
        <v>3000002624</v>
      </c>
      <c r="C88" s="98">
        <v>45315</v>
      </c>
      <c r="D88" s="99" t="s">
        <v>32</v>
      </c>
      <c r="E88" s="100" t="s">
        <v>33</v>
      </c>
      <c r="F88" s="101"/>
      <c r="G88" s="99"/>
      <c r="H88" s="102">
        <v>1</v>
      </c>
      <c r="I88" s="103">
        <v>390.15</v>
      </c>
      <c r="J88" s="104">
        <f>ROUND(+H88*I88,2)</f>
        <v>390.15</v>
      </c>
      <c r="K88" s="104">
        <f t="shared" si="8"/>
        <v>468.17999999999995</v>
      </c>
      <c r="L88" s="104">
        <v>468.18</v>
      </c>
      <c r="M88" s="105">
        <v>45329</v>
      </c>
      <c r="N88" s="106">
        <f>+Table6[[#This Row],[стойност с ДДС]]-Table6[[#This Row],[плащане]]</f>
        <v>0</v>
      </c>
      <c r="O88" s="208">
        <v>45321</v>
      </c>
    </row>
    <row r="89" spans="1:15" ht="20.100000000000001" customHeight="1" x14ac:dyDescent="0.3">
      <c r="A89" s="97" t="s">
        <v>49</v>
      </c>
      <c r="B89" s="392">
        <v>3000002625</v>
      </c>
      <c r="C89" s="98">
        <v>45315</v>
      </c>
      <c r="D89" s="99" t="s">
        <v>32</v>
      </c>
      <c r="E89" s="100" t="s">
        <v>33</v>
      </c>
      <c r="F89" s="101"/>
      <c r="G89" s="99"/>
      <c r="H89" s="102">
        <v>1</v>
      </c>
      <c r="I89" s="103">
        <v>2293.4499999999998</v>
      </c>
      <c r="J89" s="104">
        <f>ROUND(+H89*I89,2)</f>
        <v>2293.4499999999998</v>
      </c>
      <c r="K89" s="104">
        <f t="shared" si="8"/>
        <v>2752.14</v>
      </c>
      <c r="L89" s="104">
        <v>2752.14</v>
      </c>
      <c r="M89" s="155">
        <v>45323</v>
      </c>
      <c r="N89" s="106">
        <f>+Table6[[#This Row],[стойност с ДДС]]-Table6[[#This Row],[плащане]]</f>
        <v>0</v>
      </c>
      <c r="O89" s="208"/>
    </row>
    <row r="90" spans="1:15" ht="20.100000000000001" customHeight="1" x14ac:dyDescent="0.3">
      <c r="A90" s="97" t="s">
        <v>82</v>
      </c>
      <c r="B90" s="392">
        <v>3000002615</v>
      </c>
      <c r="C90" s="98">
        <v>45303</v>
      </c>
      <c r="D90" s="99"/>
      <c r="E90" s="100" t="s">
        <v>33</v>
      </c>
      <c r="F90" s="118"/>
      <c r="G90" s="99"/>
      <c r="H90" s="102">
        <v>1</v>
      </c>
      <c r="I90" s="103">
        <v>36810.949999999997</v>
      </c>
      <c r="J90" s="104">
        <f>ROUND(+H90*I90,2)</f>
        <v>36810.949999999997</v>
      </c>
      <c r="K90" s="104">
        <f t="shared" si="8"/>
        <v>44173.139999999992</v>
      </c>
      <c r="L90" s="104">
        <v>44173.14</v>
      </c>
      <c r="M90" s="105">
        <v>45341</v>
      </c>
      <c r="N90" s="106">
        <f>+Table6[[#This Row],[стойност с ДДС]]-Table6[[#This Row],[плащане]]</f>
        <v>0</v>
      </c>
      <c r="O90" s="208"/>
    </row>
    <row r="91" spans="1:15" ht="20.100000000000001" customHeight="1" x14ac:dyDescent="0.3">
      <c r="A91" s="97" t="s">
        <v>82</v>
      </c>
      <c r="B91" s="392">
        <v>3000002615</v>
      </c>
      <c r="C91" s="98">
        <v>45303</v>
      </c>
      <c r="D91" s="99"/>
      <c r="E91" s="100" t="s">
        <v>33</v>
      </c>
      <c r="F91" s="118"/>
      <c r="G91" s="99"/>
      <c r="H91" s="102">
        <v>1</v>
      </c>
      <c r="I91" s="103">
        <v>263.5</v>
      </c>
      <c r="J91" s="104">
        <f>+I91</f>
        <v>263.5</v>
      </c>
      <c r="K91" s="104">
        <f t="shared" si="8"/>
        <v>316.2</v>
      </c>
      <c r="L91" s="104">
        <v>316.68</v>
      </c>
      <c r="M91" s="105">
        <v>45341</v>
      </c>
      <c r="N91" s="106">
        <f>+Table6[[#This Row],[стойност с ДДС]]-Table6[[#This Row],[плащане]]</f>
        <v>-0.48000000000001819</v>
      </c>
      <c r="O91" s="208"/>
    </row>
    <row r="92" spans="1:15" ht="20.100000000000001" customHeight="1" x14ac:dyDescent="0.3">
      <c r="A92" s="97" t="s">
        <v>82</v>
      </c>
      <c r="B92" s="392">
        <v>3000002615</v>
      </c>
      <c r="C92" s="98">
        <v>45303</v>
      </c>
      <c r="D92" s="99"/>
      <c r="E92" s="100" t="s">
        <v>58</v>
      </c>
      <c r="F92" s="118"/>
      <c r="G92" s="99"/>
      <c r="H92" s="102">
        <v>1</v>
      </c>
      <c r="I92" s="103">
        <v>275.57</v>
      </c>
      <c r="J92" s="104">
        <f>+I92</f>
        <v>275.57</v>
      </c>
      <c r="K92" s="104">
        <f t="shared" si="8"/>
        <v>330.68399999999997</v>
      </c>
      <c r="L92" s="104">
        <v>330.68</v>
      </c>
      <c r="M92" s="105">
        <v>45341</v>
      </c>
      <c r="N92" s="106">
        <f>+Table6[[#This Row],[стойност с ДДС]]-Table6[[#This Row],[плащане]]</f>
        <v>3.999999999962256E-3</v>
      </c>
      <c r="O92" s="208"/>
    </row>
    <row r="93" spans="1:15" ht="20.100000000000001" customHeight="1" x14ac:dyDescent="0.3">
      <c r="A93" s="97" t="s">
        <v>82</v>
      </c>
      <c r="B93" s="392">
        <v>3000002615</v>
      </c>
      <c r="C93" s="98">
        <v>45303</v>
      </c>
      <c r="D93" s="99"/>
      <c r="E93" s="100" t="s">
        <v>76</v>
      </c>
      <c r="F93" s="101"/>
      <c r="G93" s="99"/>
      <c r="H93" s="102">
        <v>93</v>
      </c>
      <c r="I93" s="103">
        <v>0.82769999999999999</v>
      </c>
      <c r="J93" s="104">
        <f>H93*I93</f>
        <v>76.976100000000002</v>
      </c>
      <c r="K93" s="104">
        <f t="shared" si="8"/>
        <v>92.371319999999997</v>
      </c>
      <c r="L93" s="104">
        <v>92.37</v>
      </c>
      <c r="M93" s="105">
        <v>45341</v>
      </c>
      <c r="N93" s="106">
        <f>+Table6[[#This Row],[стойност с ДДС]]-Table6[[#This Row],[плащане]]</f>
        <v>1.3199999999926604E-3</v>
      </c>
      <c r="O93" s="208"/>
    </row>
    <row r="94" spans="1:15" ht="20.100000000000001" customHeight="1" x14ac:dyDescent="0.3">
      <c r="A94" s="97" t="s">
        <v>82</v>
      </c>
      <c r="B94" s="392">
        <v>3000002615</v>
      </c>
      <c r="C94" s="98">
        <v>45303</v>
      </c>
      <c r="D94" s="99"/>
      <c r="E94" s="100" t="s">
        <v>63</v>
      </c>
      <c r="F94" s="101"/>
      <c r="G94" s="99"/>
      <c r="H94" s="102">
        <v>434</v>
      </c>
      <c r="I94" s="103">
        <v>1.8027</v>
      </c>
      <c r="J94" s="104">
        <f>ROUND(+H94*I94,2)</f>
        <v>782.37</v>
      </c>
      <c r="K94" s="104">
        <f t="shared" si="8"/>
        <v>938.84399999999994</v>
      </c>
      <c r="L94" s="104">
        <v>938.84</v>
      </c>
      <c r="M94" s="105">
        <v>45341</v>
      </c>
      <c r="N94" s="106">
        <f>+Table6[[#This Row],[стойност с ДДС]]-Table6[[#This Row],[плащане]]</f>
        <v>3.9999999999054126E-3</v>
      </c>
      <c r="O94" s="208"/>
    </row>
    <row r="95" spans="1:15" ht="20.100000000000001" customHeight="1" x14ac:dyDescent="0.3">
      <c r="A95" s="97" t="s">
        <v>82</v>
      </c>
      <c r="B95" s="392">
        <v>3000002615</v>
      </c>
      <c r="C95" s="98">
        <v>45303</v>
      </c>
      <c r="D95" s="99"/>
      <c r="E95" s="100" t="s">
        <v>71</v>
      </c>
      <c r="F95" s="101"/>
      <c r="G95" s="99"/>
      <c r="H95" s="102">
        <v>558</v>
      </c>
      <c r="I95" s="103">
        <v>1.4756</v>
      </c>
      <c r="J95" s="104">
        <f>ROUND(+H95*I95,2)</f>
        <v>823.38</v>
      </c>
      <c r="K95" s="104">
        <f t="shared" si="8"/>
        <v>988.05599999999993</v>
      </c>
      <c r="L95" s="104">
        <v>988.06</v>
      </c>
      <c r="M95" s="105">
        <v>45341</v>
      </c>
      <c r="N95" s="106">
        <f>+Table6[[#This Row],[стойност с ДДС]]-Table6[[#This Row],[плащане]]</f>
        <v>-4.0000000000190994E-3</v>
      </c>
      <c r="O95" s="208"/>
    </row>
    <row r="96" spans="1:15" ht="20.100000000000001" customHeight="1" collapsed="1" x14ac:dyDescent="0.3">
      <c r="A96" s="97" t="s">
        <v>83</v>
      </c>
      <c r="B96" s="392">
        <v>3000002627</v>
      </c>
      <c r="C96" s="98">
        <v>45322</v>
      </c>
      <c r="D96" s="99" t="s">
        <v>81</v>
      </c>
      <c r="E96" s="111" t="s">
        <v>54</v>
      </c>
      <c r="F96" s="101"/>
      <c r="G96" s="99"/>
      <c r="H96" s="102">
        <v>1</v>
      </c>
      <c r="I96" s="103">
        <v>4761.99</v>
      </c>
      <c r="J96" s="104">
        <f>ROUND(+H96*I96,2)</f>
        <v>4761.99</v>
      </c>
      <c r="K96" s="104">
        <f t="shared" si="8"/>
        <v>5714.3879999999999</v>
      </c>
      <c r="L96" s="104">
        <v>5714.39</v>
      </c>
      <c r="M96" s="105">
        <v>45341</v>
      </c>
      <c r="N96" s="106">
        <f>+Table6[[#This Row],[стойност с ДДС]]-Table6[[#This Row],[плащане]]</f>
        <v>-2.0000000004074536E-3</v>
      </c>
      <c r="O96" s="208"/>
    </row>
    <row r="97" spans="1:15" ht="20.100000000000001" customHeight="1" x14ac:dyDescent="0.3">
      <c r="A97" s="97" t="s">
        <v>82</v>
      </c>
      <c r="B97" s="392">
        <v>3000002623</v>
      </c>
      <c r="C97" s="98">
        <v>45313</v>
      </c>
      <c r="D97" s="99"/>
      <c r="E97" s="100" t="s">
        <v>33</v>
      </c>
      <c r="F97" s="118"/>
      <c r="G97" s="99"/>
      <c r="H97" s="102">
        <v>1</v>
      </c>
      <c r="I97" s="103">
        <v>36810.949999999997</v>
      </c>
      <c r="J97" s="104">
        <f>ROUND(+H97*I97,2)</f>
        <v>36810.949999999997</v>
      </c>
      <c r="K97" s="104">
        <f t="shared" si="8"/>
        <v>44173.139999999992</v>
      </c>
      <c r="L97" s="104">
        <v>44173.14</v>
      </c>
      <c r="M97" s="105">
        <v>45341</v>
      </c>
      <c r="N97" s="106">
        <f>+Table6[[#This Row],[стойност с ДДС]]-Table6[[#This Row],[плащане]]</f>
        <v>0</v>
      </c>
      <c r="O97" s="208"/>
    </row>
    <row r="98" spans="1:15" ht="20.100000000000001" customHeight="1" x14ac:dyDescent="0.3">
      <c r="A98" s="97" t="s">
        <v>82</v>
      </c>
      <c r="B98" s="392">
        <v>3000002623</v>
      </c>
      <c r="C98" s="98">
        <v>45313</v>
      </c>
      <c r="D98" s="99"/>
      <c r="E98" s="100" t="s">
        <v>33</v>
      </c>
      <c r="F98" s="118"/>
      <c r="G98" s="99"/>
      <c r="H98" s="102">
        <v>1</v>
      </c>
      <c r="I98" s="103">
        <v>263.5</v>
      </c>
      <c r="J98" s="104">
        <f>+I98</f>
        <v>263.5</v>
      </c>
      <c r="K98" s="104">
        <f t="shared" si="8"/>
        <v>316.2</v>
      </c>
      <c r="L98" s="104">
        <v>316</v>
      </c>
      <c r="M98" s="105">
        <v>45341</v>
      </c>
      <c r="N98" s="106">
        <f>+Table6[[#This Row],[стойност с ДДС]]-Table6[[#This Row],[плащане]]</f>
        <v>0.19999999999998863</v>
      </c>
      <c r="O98" s="208"/>
    </row>
    <row r="99" spans="1:15" ht="20.100000000000001" customHeight="1" x14ac:dyDescent="0.3">
      <c r="A99" s="97" t="s">
        <v>82</v>
      </c>
      <c r="B99" s="392">
        <v>3000002623</v>
      </c>
      <c r="C99" s="98">
        <v>45313</v>
      </c>
      <c r="D99" s="99"/>
      <c r="E99" s="100" t="s">
        <v>58</v>
      </c>
      <c r="F99" s="118"/>
      <c r="G99" s="99"/>
      <c r="H99" s="102">
        <v>1</v>
      </c>
      <c r="I99" s="103">
        <v>275.57</v>
      </c>
      <c r="J99" s="104">
        <f>+I99</f>
        <v>275.57</v>
      </c>
      <c r="K99" s="104">
        <f t="shared" si="8"/>
        <v>330.68399999999997</v>
      </c>
      <c r="L99" s="104">
        <v>330.68</v>
      </c>
      <c r="M99" s="105">
        <v>45341</v>
      </c>
      <c r="N99" s="106">
        <f>+Table6[[#This Row],[стойност с ДДС]]-Table6[[#This Row],[плащане]]</f>
        <v>3.999999999962256E-3</v>
      </c>
      <c r="O99" s="208"/>
    </row>
    <row r="100" spans="1:15" ht="20.100000000000001" customHeight="1" x14ac:dyDescent="0.3">
      <c r="A100" s="97" t="s">
        <v>82</v>
      </c>
      <c r="B100" s="392">
        <v>3000002639</v>
      </c>
      <c r="C100" s="98">
        <v>45322</v>
      </c>
      <c r="D100" s="99" t="s">
        <v>32</v>
      </c>
      <c r="E100" s="100" t="s">
        <v>84</v>
      </c>
      <c r="F100" s="101"/>
      <c r="G100" s="99"/>
      <c r="H100" s="102"/>
      <c r="I100" s="103"/>
      <c r="J100" s="104">
        <f>SUM(J101:J103)</f>
        <v>-13493.730000000001</v>
      </c>
      <c r="K100" s="104">
        <f t="shared" si="8"/>
        <v>-16192.476000000001</v>
      </c>
      <c r="L100" s="104">
        <v>-16192.48</v>
      </c>
      <c r="M100" s="105">
        <v>45336</v>
      </c>
      <c r="N100" s="106">
        <f>+Table6[[#This Row],[стойност с ДДС]]-Table6[[#This Row],[плащане]]</f>
        <v>3.9999999989959178E-3</v>
      </c>
      <c r="O100" s="208"/>
    </row>
    <row r="101" spans="1:15" ht="20.100000000000001" customHeight="1" x14ac:dyDescent="0.3">
      <c r="A101" s="97" t="s">
        <v>82</v>
      </c>
      <c r="B101" s="392">
        <v>3000002639</v>
      </c>
      <c r="C101" s="98">
        <v>45322</v>
      </c>
      <c r="D101" s="99"/>
      <c r="E101" s="100" t="s">
        <v>33</v>
      </c>
      <c r="F101" s="118"/>
      <c r="G101" s="99"/>
      <c r="H101" s="102">
        <v>-1</v>
      </c>
      <c r="I101" s="103">
        <v>13327.28</v>
      </c>
      <c r="J101" s="104">
        <f>I101*H101</f>
        <v>-13327.28</v>
      </c>
      <c r="K101" s="115">
        <f>I101*1.2</f>
        <v>15992.736000000001</v>
      </c>
      <c r="L101" s="104">
        <v>15992.74</v>
      </c>
      <c r="M101" s="105">
        <v>45336</v>
      </c>
      <c r="N101" s="106">
        <f>+Table6[[#This Row],[стойност с ДДС]]-Table6[[#This Row],[плащане]]</f>
        <v>-3.9999999989959178E-3</v>
      </c>
      <c r="O101" s="208"/>
    </row>
    <row r="102" spans="1:15" ht="20.100000000000001" customHeight="1" x14ac:dyDescent="0.3">
      <c r="A102" s="97" t="s">
        <v>82</v>
      </c>
      <c r="B102" s="392">
        <v>3000002639</v>
      </c>
      <c r="C102" s="98">
        <v>45322</v>
      </c>
      <c r="D102" s="99"/>
      <c r="E102" s="100" t="s">
        <v>58</v>
      </c>
      <c r="F102" s="118"/>
      <c r="G102" s="99"/>
      <c r="H102" s="113">
        <v>-1</v>
      </c>
      <c r="I102" s="103">
        <v>85.093000000000004</v>
      </c>
      <c r="J102" s="104">
        <f>ROUND(+H102*I102,2)</f>
        <v>-85.09</v>
      </c>
      <c r="K102" s="104">
        <f>J102*1.2</f>
        <v>-102.108</v>
      </c>
      <c r="L102" s="104">
        <v>-102.11</v>
      </c>
      <c r="M102" s="105">
        <v>45336</v>
      </c>
      <c r="N102" s="106">
        <f>+Table6[[#This Row],[стойност с ДДС]]-Table6[[#This Row],[плащане]]</f>
        <v>1.9999999999953388E-3</v>
      </c>
      <c r="O102" s="208"/>
    </row>
    <row r="103" spans="1:15" ht="20.100000000000001" customHeight="1" x14ac:dyDescent="0.3">
      <c r="A103" s="97" t="s">
        <v>82</v>
      </c>
      <c r="B103" s="392">
        <v>3000002639</v>
      </c>
      <c r="C103" s="98">
        <v>45322</v>
      </c>
      <c r="D103" s="99"/>
      <c r="E103" s="100" t="s">
        <v>33</v>
      </c>
      <c r="F103" s="101"/>
      <c r="G103" s="99"/>
      <c r="H103" s="113">
        <v>-1</v>
      </c>
      <c r="I103" s="103">
        <v>81.363500000000002</v>
      </c>
      <c r="J103" s="104">
        <f>ROUND(+H103*I103,2)</f>
        <v>-81.36</v>
      </c>
      <c r="K103" s="104">
        <f>J103*1.2</f>
        <v>-97.631999999999991</v>
      </c>
      <c r="L103" s="104">
        <v>-97.63</v>
      </c>
      <c r="M103" s="105">
        <v>45336</v>
      </c>
      <c r="N103" s="106">
        <f>+Table6[[#This Row],[стойност с ДДС]]-Table6[[#This Row],[плащане]]</f>
        <v>-1.9999999999953388E-3</v>
      </c>
      <c r="O103" s="208"/>
    </row>
    <row r="104" spans="1:15" ht="20.100000000000001" customHeight="1" x14ac:dyDescent="0.3">
      <c r="A104" s="97" t="s">
        <v>82</v>
      </c>
      <c r="B104" s="392">
        <v>3000002640</v>
      </c>
      <c r="C104" s="98">
        <v>45322</v>
      </c>
      <c r="D104" s="99"/>
      <c r="E104" s="100" t="s">
        <v>33</v>
      </c>
      <c r="F104" s="118"/>
      <c r="G104" s="99"/>
      <c r="H104" s="113">
        <v>-1</v>
      </c>
      <c r="I104" s="103">
        <v>60294.62</v>
      </c>
      <c r="J104" s="104">
        <f>+I104*-1</f>
        <v>-60294.62</v>
      </c>
      <c r="K104" s="104">
        <f t="shared" ref="K104:K111" si="9">J104*1.2</f>
        <v>-72353.543999999994</v>
      </c>
      <c r="L104" s="104">
        <v>-72353.539999999994</v>
      </c>
      <c r="M104" s="105">
        <v>45336</v>
      </c>
      <c r="N104" s="106">
        <f>+Table6[[#This Row],[стойност с ДДС]]-Table6[[#This Row],[плащане]]</f>
        <v>-4.0000000008149073E-3</v>
      </c>
      <c r="O104" s="208"/>
    </row>
    <row r="105" spans="1:15" ht="20.100000000000001" customHeight="1" x14ac:dyDescent="0.3">
      <c r="A105" s="97" t="s">
        <v>82</v>
      </c>
      <c r="B105" s="392">
        <v>3000002640</v>
      </c>
      <c r="C105" s="98">
        <v>45322</v>
      </c>
      <c r="D105" s="99"/>
      <c r="E105" s="100" t="s">
        <v>58</v>
      </c>
      <c r="F105" s="118"/>
      <c r="G105" s="99"/>
      <c r="H105" s="113">
        <v>-1</v>
      </c>
      <c r="I105" s="103">
        <v>445.64</v>
      </c>
      <c r="J105" s="104">
        <f>+I105*-1</f>
        <v>-445.64</v>
      </c>
      <c r="K105" s="104">
        <f t="shared" si="9"/>
        <v>-534.76799999999992</v>
      </c>
      <c r="L105" s="104">
        <v>-534.77</v>
      </c>
      <c r="M105" s="105">
        <v>45336</v>
      </c>
      <c r="N105" s="106">
        <f>+Table6[[#This Row],[стойност с ДДС]]-Table6[[#This Row],[плащане]]</f>
        <v>2.0000000000663931E-3</v>
      </c>
      <c r="O105" s="208"/>
    </row>
    <row r="106" spans="1:15" ht="20.100000000000001" customHeight="1" x14ac:dyDescent="0.3">
      <c r="A106" s="97" t="s">
        <v>82</v>
      </c>
      <c r="B106" s="392">
        <v>3000002640</v>
      </c>
      <c r="C106" s="98">
        <v>45322</v>
      </c>
      <c r="D106" s="99"/>
      <c r="E106" s="100" t="s">
        <v>33</v>
      </c>
      <c r="F106" s="101"/>
      <c r="G106" s="99"/>
      <c r="H106" s="113">
        <v>-1</v>
      </c>
      <c r="I106" s="103">
        <v>466.05</v>
      </c>
      <c r="J106" s="104">
        <f>+I106*-1</f>
        <v>-466.05</v>
      </c>
      <c r="K106" s="104">
        <f t="shared" si="9"/>
        <v>-559.26</v>
      </c>
      <c r="L106" s="104">
        <v>-559.26</v>
      </c>
      <c r="M106" s="105">
        <v>45336</v>
      </c>
      <c r="N106" s="106">
        <f>+Table6[[#This Row],[стойност с ДДС]]-Table6[[#This Row],[плащане]]</f>
        <v>0</v>
      </c>
      <c r="O106" s="208"/>
    </row>
    <row r="107" spans="1:15" ht="20.100000000000001" customHeight="1" x14ac:dyDescent="0.3">
      <c r="A107" s="97" t="s">
        <v>82</v>
      </c>
      <c r="B107" s="392">
        <v>3000002640</v>
      </c>
      <c r="C107" s="98">
        <v>45322</v>
      </c>
      <c r="D107" s="99"/>
      <c r="E107" s="100" t="s">
        <v>33</v>
      </c>
      <c r="F107" s="101"/>
      <c r="G107" s="99"/>
      <c r="H107" s="113">
        <v>891.27300000000002</v>
      </c>
      <c r="I107" s="103">
        <v>67.650000000000006</v>
      </c>
      <c r="J107" s="104">
        <f>H107*I107</f>
        <v>60294.618450000009</v>
      </c>
      <c r="K107" s="104">
        <f t="shared" si="9"/>
        <v>72353.542140000005</v>
      </c>
      <c r="L107" s="104">
        <v>72353.539999999994</v>
      </c>
      <c r="M107" s="105">
        <v>45336</v>
      </c>
      <c r="N107" s="106">
        <f>+Table6[[#This Row],[стойност с ДДС]]-Table6[[#This Row],[плащане]]</f>
        <v>2.1400000114226714E-3</v>
      </c>
      <c r="O107" s="208"/>
    </row>
    <row r="108" spans="1:15" ht="20.100000000000001" customHeight="1" x14ac:dyDescent="0.3">
      <c r="A108" s="97" t="s">
        <v>82</v>
      </c>
      <c r="B108" s="392">
        <v>3000002640</v>
      </c>
      <c r="C108" s="98">
        <v>45322</v>
      </c>
      <c r="D108" s="99"/>
      <c r="E108" s="100" t="s">
        <v>58</v>
      </c>
      <c r="F108" s="101"/>
      <c r="G108" s="99"/>
      <c r="H108" s="113">
        <v>891.27300000000002</v>
      </c>
      <c r="I108" s="114">
        <v>0.52290000000000003</v>
      </c>
      <c r="J108" s="104">
        <f>+I108*H108</f>
        <v>466.04665170000004</v>
      </c>
      <c r="K108" s="104">
        <f t="shared" si="9"/>
        <v>559.25598204000005</v>
      </c>
      <c r="L108" s="104">
        <v>559.26</v>
      </c>
      <c r="M108" s="105">
        <v>45336</v>
      </c>
      <c r="N108" s="106">
        <f>+Table6[[#This Row],[стойност с ДДС]]-Table6[[#This Row],[плащане]]</f>
        <v>-4.0179599999419224E-3</v>
      </c>
      <c r="O108" s="208"/>
    </row>
    <row r="109" spans="1:15" ht="20.100000000000001" customHeight="1" x14ac:dyDescent="0.3">
      <c r="A109" s="97" t="s">
        <v>82</v>
      </c>
      <c r="B109" s="392">
        <v>3000002640</v>
      </c>
      <c r="C109" s="98">
        <v>45322</v>
      </c>
      <c r="D109" s="99"/>
      <c r="E109" s="100" t="s">
        <v>33</v>
      </c>
      <c r="F109" s="101"/>
      <c r="G109" s="99"/>
      <c r="H109" s="113">
        <v>891.27300000000002</v>
      </c>
      <c r="I109" s="114">
        <v>0.5</v>
      </c>
      <c r="J109" s="104">
        <f>I109*H109</f>
        <v>445.63650000000001</v>
      </c>
      <c r="K109" s="104">
        <f t="shared" si="9"/>
        <v>534.76379999999995</v>
      </c>
      <c r="L109" s="104">
        <v>534.76</v>
      </c>
      <c r="M109" s="105">
        <v>45336</v>
      </c>
      <c r="N109" s="106">
        <f>+Table6[[#This Row],[стойност с ДДС]]-Table6[[#This Row],[плащане]]</f>
        <v>3.7999999999556167E-3</v>
      </c>
      <c r="O109" s="208"/>
    </row>
    <row r="110" spans="1:15" ht="20.100000000000001" customHeight="1" x14ac:dyDescent="0.3">
      <c r="A110" s="97" t="s">
        <v>82</v>
      </c>
      <c r="B110" s="392">
        <v>3000002640</v>
      </c>
      <c r="C110" s="98">
        <v>45322</v>
      </c>
      <c r="D110" s="99"/>
      <c r="E110" s="100" t="s">
        <v>56</v>
      </c>
      <c r="F110" s="101"/>
      <c r="G110" s="99"/>
      <c r="H110" s="113">
        <v>4.484</v>
      </c>
      <c r="I110" s="103">
        <v>3.3016999999999999</v>
      </c>
      <c r="J110" s="104">
        <f>I110*H110</f>
        <v>14.8048228</v>
      </c>
      <c r="K110" s="104">
        <f t="shared" si="9"/>
        <v>17.765787360000001</v>
      </c>
      <c r="L110" s="104">
        <v>17.77</v>
      </c>
      <c r="M110" s="105">
        <v>45336</v>
      </c>
      <c r="N110" s="106">
        <f>+Table6[[#This Row],[стойност с ДДС]]-Table6[[#This Row],[плащане]]</f>
        <v>-4.2126399999986575E-3</v>
      </c>
      <c r="O110" s="208"/>
    </row>
    <row r="111" spans="1:15" ht="20.100000000000001" customHeight="1" x14ac:dyDescent="0.3">
      <c r="A111" s="97" t="s">
        <v>72</v>
      </c>
      <c r="B111" s="392">
        <v>3000002633</v>
      </c>
      <c r="C111" s="98">
        <v>45322</v>
      </c>
      <c r="D111" s="99" t="s">
        <v>32</v>
      </c>
      <c r="E111" s="100" t="s">
        <v>33</v>
      </c>
      <c r="F111" s="101" t="s">
        <v>85</v>
      </c>
      <c r="G111" s="99"/>
      <c r="H111" s="113"/>
      <c r="I111" s="103">
        <v>-77380.97</v>
      </c>
      <c r="J111" s="104">
        <f>+I111</f>
        <v>-77380.97</v>
      </c>
      <c r="K111" s="104">
        <f t="shared" si="9"/>
        <v>-92857.164000000004</v>
      </c>
      <c r="L111" s="104">
        <v>-92857.16</v>
      </c>
      <c r="M111" s="105">
        <v>45332</v>
      </c>
      <c r="N111" s="106">
        <f>+Table6[[#This Row],[стойност с ДДС]]-Table6[[#This Row],[плащане]]</f>
        <v>-4.0000000008149073E-3</v>
      </c>
      <c r="O111" s="208">
        <v>45311</v>
      </c>
    </row>
    <row r="112" spans="1:15" ht="20.100000000000001" customHeight="1" x14ac:dyDescent="0.3">
      <c r="A112" s="97" t="s">
        <v>69</v>
      </c>
      <c r="B112" s="393">
        <v>3000002635</v>
      </c>
      <c r="C112" s="110">
        <v>45322</v>
      </c>
      <c r="D112" s="99"/>
      <c r="E112" s="125" t="s">
        <v>59</v>
      </c>
      <c r="F112" s="118"/>
      <c r="G112" s="97"/>
      <c r="H112" s="113">
        <v>25.984999999999999</v>
      </c>
      <c r="I112" s="114">
        <v>0.6</v>
      </c>
      <c r="J112" s="104">
        <f>ROUND(+H112*I112,2)</f>
        <v>15.59</v>
      </c>
      <c r="K112" s="104">
        <f t="shared" ref="K112:K133" si="10">J112*1.2</f>
        <v>18.707999999999998</v>
      </c>
      <c r="L112" s="104">
        <v>18.71</v>
      </c>
      <c r="M112" s="105">
        <v>45337</v>
      </c>
      <c r="N112" s="106">
        <f>+Table6[[#This Row],[стойност с ДДС]]-Table6[[#This Row],[плащане]]</f>
        <v>-2.0000000000024443E-3</v>
      </c>
      <c r="O112" s="208"/>
    </row>
    <row r="113" spans="1:15" ht="20.100000000000001" customHeight="1" x14ac:dyDescent="0.3">
      <c r="A113" s="97" t="s">
        <v>49</v>
      </c>
      <c r="B113" s="392">
        <v>3000002642</v>
      </c>
      <c r="C113" s="98">
        <v>45322</v>
      </c>
      <c r="D113" s="99" t="s">
        <v>32</v>
      </c>
      <c r="E113" s="100" t="s">
        <v>33</v>
      </c>
      <c r="F113" s="118"/>
      <c r="G113" s="99"/>
      <c r="H113" s="102">
        <v>-1</v>
      </c>
      <c r="I113" s="103">
        <v>3878.6</v>
      </c>
      <c r="J113" s="104">
        <f>ROUND(+H113*I113,2)</f>
        <v>-3878.6</v>
      </c>
      <c r="K113" s="104">
        <f t="shared" si="10"/>
        <v>-4654.32</v>
      </c>
      <c r="L113" s="104">
        <v>-4654.32</v>
      </c>
      <c r="M113" s="155">
        <v>45323</v>
      </c>
      <c r="N113" s="106">
        <f>+Table6[[#This Row],[стойност с ДДС]]-Table6[[#This Row],[плащане]]</f>
        <v>0</v>
      </c>
      <c r="O113" s="208"/>
    </row>
    <row r="114" spans="1:15" ht="20.100000000000001" customHeight="1" x14ac:dyDescent="0.3">
      <c r="A114" s="97" t="s">
        <v>49</v>
      </c>
      <c r="B114" s="392">
        <v>3000002642</v>
      </c>
      <c r="C114" s="98">
        <v>45322</v>
      </c>
      <c r="D114" s="99" t="s">
        <v>32</v>
      </c>
      <c r="E114" s="100" t="s">
        <v>33</v>
      </c>
      <c r="F114" s="118"/>
      <c r="G114" s="99"/>
      <c r="H114" s="102">
        <v>55.686999999999998</v>
      </c>
      <c r="I114" s="103">
        <v>69.650000000000006</v>
      </c>
      <c r="J114" s="104">
        <f>H114*I114</f>
        <v>3878.5995500000004</v>
      </c>
      <c r="K114" s="104">
        <f t="shared" si="10"/>
        <v>4654.3194600000006</v>
      </c>
      <c r="L114" s="104">
        <v>4654.32</v>
      </c>
      <c r="M114" s="155">
        <v>45323</v>
      </c>
      <c r="N114" s="106">
        <f>+Table6[[#This Row],[стойност с ДДС]]-Table6[[#This Row],[плащане]]</f>
        <v>-5.3999999909137841E-4</v>
      </c>
      <c r="O114" s="208"/>
    </row>
    <row r="115" spans="1:15" ht="20.100000000000001" customHeight="1" x14ac:dyDescent="0.3">
      <c r="A115" s="97" t="s">
        <v>49</v>
      </c>
      <c r="B115" s="392">
        <v>3000002642</v>
      </c>
      <c r="C115" s="98">
        <v>45322</v>
      </c>
      <c r="D115" s="99"/>
      <c r="E115" s="100" t="s">
        <v>58</v>
      </c>
      <c r="F115" s="101"/>
      <c r="G115" s="99"/>
      <c r="H115" s="102">
        <v>55.686999999999998</v>
      </c>
      <c r="I115" s="103">
        <v>0.52290000000000003</v>
      </c>
      <c r="J115" s="104">
        <f>H115*I115</f>
        <v>29.118732300000001</v>
      </c>
      <c r="K115" s="104">
        <f t="shared" si="10"/>
        <v>34.94247876</v>
      </c>
      <c r="L115" s="104">
        <v>34.94</v>
      </c>
      <c r="M115" s="155">
        <v>45323</v>
      </c>
      <c r="N115" s="106">
        <f>+Table6[[#This Row],[стойност с ДДС]]-Table6[[#This Row],[плащане]]</f>
        <v>2.4787600000024668E-3</v>
      </c>
      <c r="O115" s="208"/>
    </row>
    <row r="116" spans="1:15" ht="20.100000000000001" customHeight="1" x14ac:dyDescent="0.3">
      <c r="A116" s="97" t="s">
        <v>49</v>
      </c>
      <c r="B116" s="392">
        <v>3000002642</v>
      </c>
      <c r="C116" s="98">
        <v>45322</v>
      </c>
      <c r="D116" s="99"/>
      <c r="E116" s="100" t="s">
        <v>56</v>
      </c>
      <c r="F116" s="101"/>
      <c r="G116" s="99"/>
      <c r="H116" s="102">
        <v>7.9539999999999997</v>
      </c>
      <c r="I116" s="103">
        <v>3.3016999999999999</v>
      </c>
      <c r="J116" s="104">
        <f>H116*I116</f>
        <v>26.261721799999997</v>
      </c>
      <c r="K116" s="104">
        <f t="shared" si="10"/>
        <v>31.514066159999995</v>
      </c>
      <c r="L116" s="104">
        <v>31.51</v>
      </c>
      <c r="M116" s="155">
        <v>45323</v>
      </c>
      <c r="N116" s="106">
        <f>+Table6[[#This Row],[стойност с ДДС]]-Table6[[#This Row],[плащане]]</f>
        <v>4.0661599999936016E-3</v>
      </c>
      <c r="O116" s="208"/>
    </row>
    <row r="117" spans="1:15" ht="20.100000000000001" customHeight="1" x14ac:dyDescent="0.3">
      <c r="A117" s="97" t="s">
        <v>49</v>
      </c>
      <c r="B117" s="392">
        <v>3000002642</v>
      </c>
      <c r="C117" s="98">
        <v>45322</v>
      </c>
      <c r="D117" s="99"/>
      <c r="E117" s="101" t="s">
        <v>59</v>
      </c>
      <c r="F117" s="101"/>
      <c r="G117" s="99"/>
      <c r="H117" s="113">
        <v>200.47300000000001</v>
      </c>
      <c r="I117" s="103">
        <v>0.6</v>
      </c>
      <c r="J117" s="104">
        <f>H117*I117</f>
        <v>120.2838</v>
      </c>
      <c r="K117" s="104">
        <f t="shared" si="10"/>
        <v>144.34055999999998</v>
      </c>
      <c r="L117" s="104">
        <v>144.34</v>
      </c>
      <c r="M117" s="155">
        <v>45323</v>
      </c>
      <c r="N117" s="106">
        <f>+Table6[[#This Row],[стойност с ДДС]]-Table6[[#This Row],[плащане]]</f>
        <v>5.5999999997879968E-4</v>
      </c>
      <c r="O117" s="208"/>
    </row>
    <row r="118" spans="1:15" ht="20.100000000000001" customHeight="1" collapsed="1" x14ac:dyDescent="0.3">
      <c r="A118" s="97" t="s">
        <v>70</v>
      </c>
      <c r="B118" s="392">
        <v>3000002636</v>
      </c>
      <c r="C118" s="98">
        <v>45322</v>
      </c>
      <c r="D118" s="99" t="s">
        <v>32</v>
      </c>
      <c r="E118" s="100" t="s">
        <v>33</v>
      </c>
      <c r="F118" s="101" t="s">
        <v>85</v>
      </c>
      <c r="G118" s="99"/>
      <c r="H118" s="113">
        <v>-1</v>
      </c>
      <c r="I118" s="103">
        <v>37.340000000000003</v>
      </c>
      <c r="J118" s="104">
        <f>ROUND(+H118*I118,2)</f>
        <v>-37.340000000000003</v>
      </c>
      <c r="K118" s="104">
        <f t="shared" si="10"/>
        <v>-44.808</v>
      </c>
      <c r="L118" s="104">
        <v>-44.81</v>
      </c>
      <c r="M118" s="105">
        <v>45337</v>
      </c>
      <c r="N118" s="115">
        <f>+Table6[[#This Row],[стойност с ДДС]]-Table6[[#This Row],[плащане]]</f>
        <v>2.0000000000024443E-3</v>
      </c>
      <c r="O118" s="208">
        <v>45321</v>
      </c>
    </row>
    <row r="119" spans="1:15" ht="20.100000000000001" customHeight="1" x14ac:dyDescent="0.3">
      <c r="A119" s="97" t="s">
        <v>61</v>
      </c>
      <c r="B119" s="392">
        <v>3000002614</v>
      </c>
      <c r="C119" s="98">
        <v>45303</v>
      </c>
      <c r="D119" s="99" t="s">
        <v>32</v>
      </c>
      <c r="E119" s="100" t="s">
        <v>76</v>
      </c>
      <c r="F119" s="101"/>
      <c r="G119" s="99"/>
      <c r="H119" s="102">
        <v>110</v>
      </c>
      <c r="I119" s="103">
        <v>63.7316</v>
      </c>
      <c r="J119" s="104">
        <f>H119*I119</f>
        <v>7010.4759999999997</v>
      </c>
      <c r="K119" s="104">
        <f t="shared" si="10"/>
        <v>8412.5711999999985</v>
      </c>
      <c r="L119" s="104">
        <v>8412.57</v>
      </c>
      <c r="M119" s="105">
        <v>45337</v>
      </c>
      <c r="N119" s="106">
        <f>+Table6[[#This Row],[стойност с ДДС]]-Table6[[#This Row],[плащане]]</f>
        <v>1.1999999987892807E-3</v>
      </c>
      <c r="O119" s="208"/>
    </row>
    <row r="120" spans="1:15" ht="20.100000000000001" customHeight="1" x14ac:dyDescent="0.3">
      <c r="A120" s="97" t="s">
        <v>61</v>
      </c>
      <c r="B120" s="392">
        <v>3000002372</v>
      </c>
      <c r="C120" s="98">
        <v>45107</v>
      </c>
      <c r="D120" s="99"/>
      <c r="E120" s="100" t="s">
        <v>86</v>
      </c>
      <c r="F120" s="118"/>
      <c r="G120" s="99"/>
      <c r="H120" s="113"/>
      <c r="I120" s="114">
        <v>-182026.91</v>
      </c>
      <c r="J120" s="104">
        <f>+I120</f>
        <v>-182026.91</v>
      </c>
      <c r="K120" s="104">
        <f t="shared" si="10"/>
        <v>-218432.29199999999</v>
      </c>
      <c r="L120" s="104">
        <v>-218432.29</v>
      </c>
      <c r="M120" s="105">
        <v>45337</v>
      </c>
      <c r="N120" s="106">
        <f>+Table6[[#This Row],[стойност с ДДС]]-Table6[[#This Row],[плащане]]</f>
        <v>-1.9999999785795808E-3</v>
      </c>
      <c r="O120" s="208"/>
    </row>
    <row r="121" spans="1:15" ht="20.100000000000001" customHeight="1" x14ac:dyDescent="0.3">
      <c r="A121" s="97" t="s">
        <v>61</v>
      </c>
      <c r="B121" s="392">
        <v>3000002414</v>
      </c>
      <c r="C121" s="98">
        <v>45138</v>
      </c>
      <c r="D121" s="99"/>
      <c r="E121" s="100" t="s">
        <v>86</v>
      </c>
      <c r="F121" s="118"/>
      <c r="G121" s="99"/>
      <c r="H121" s="113"/>
      <c r="I121" s="114">
        <v>-9048.7199999999993</v>
      </c>
      <c r="J121" s="104">
        <f>+I121</f>
        <v>-9048.7199999999993</v>
      </c>
      <c r="K121" s="104">
        <f t="shared" si="10"/>
        <v>-10858.463999999998</v>
      </c>
      <c r="L121" s="104">
        <v>-10858.46</v>
      </c>
      <c r="M121" s="105">
        <v>45337</v>
      </c>
      <c r="N121" s="106">
        <f>+Table6[[#This Row],[стойност с ДДС]]-Table6[[#This Row],[плащане]]</f>
        <v>-3.9999999989959178E-3</v>
      </c>
      <c r="O121" s="208"/>
    </row>
    <row r="122" spans="1:15" ht="20.100000000000001" customHeight="1" x14ac:dyDescent="0.3">
      <c r="A122" s="97" t="s">
        <v>61</v>
      </c>
      <c r="B122" s="392">
        <v>3000002414</v>
      </c>
      <c r="C122" s="98">
        <v>45138</v>
      </c>
      <c r="D122" s="99" t="s">
        <v>32</v>
      </c>
      <c r="E122" s="100" t="s">
        <v>33</v>
      </c>
      <c r="F122" s="101"/>
      <c r="G122" s="99"/>
      <c r="H122" s="102">
        <v>3406.59</v>
      </c>
      <c r="I122" s="103">
        <v>56.09</v>
      </c>
      <c r="J122" s="104">
        <f>H122*I122</f>
        <v>191075.63310000001</v>
      </c>
      <c r="K122" s="104">
        <f t="shared" si="10"/>
        <v>229290.75972</v>
      </c>
      <c r="L122" s="104" t="s">
        <v>87</v>
      </c>
      <c r="M122" s="105">
        <v>45337</v>
      </c>
      <c r="N122" s="106" t="e">
        <f>+Table6[[#This Row],[стойност с ДДС]]-Table6[[#This Row],[плащане]]</f>
        <v>#VALUE!</v>
      </c>
      <c r="O122" s="208"/>
    </row>
    <row r="123" spans="1:15" ht="20.100000000000001" customHeight="1" x14ac:dyDescent="0.3">
      <c r="A123" s="97" t="s">
        <v>75</v>
      </c>
      <c r="B123" s="392">
        <v>3000002645</v>
      </c>
      <c r="C123" s="98">
        <v>45322</v>
      </c>
      <c r="D123" s="131" t="s">
        <v>32</v>
      </c>
      <c r="E123" s="100" t="s">
        <v>33</v>
      </c>
      <c r="F123" s="101"/>
      <c r="G123" s="99"/>
      <c r="H123" s="102">
        <v>1571.4849999999999</v>
      </c>
      <c r="I123" s="103">
        <v>60.89</v>
      </c>
      <c r="J123" s="104">
        <f t="shared" ref="J123:J129" si="11">H123*I123</f>
        <v>95687.721649999992</v>
      </c>
      <c r="K123" s="104">
        <f t="shared" si="10"/>
        <v>114825.26597999998</v>
      </c>
      <c r="L123" s="104">
        <v>114825.27</v>
      </c>
      <c r="M123" s="105">
        <v>45337</v>
      </c>
      <c r="N123" s="115">
        <f>+Table6[[#This Row],[стойност с ДДС]]-Table6[[#This Row],[плащане]]</f>
        <v>-4.0200000221375376E-3</v>
      </c>
      <c r="O123" s="208"/>
    </row>
    <row r="124" spans="1:15" ht="20.100000000000001" customHeight="1" x14ac:dyDescent="0.3">
      <c r="A124" s="97" t="s">
        <v>75</v>
      </c>
      <c r="B124" s="392">
        <v>3000002645</v>
      </c>
      <c r="C124" s="98">
        <v>45322</v>
      </c>
      <c r="D124" s="131"/>
      <c r="E124" s="100" t="s">
        <v>56</v>
      </c>
      <c r="F124" s="101"/>
      <c r="G124" s="99"/>
      <c r="H124" s="102">
        <v>129.89599999999999</v>
      </c>
      <c r="I124" s="103">
        <v>8.3582999999999998</v>
      </c>
      <c r="J124" s="104">
        <f t="shared" si="11"/>
        <v>1085.7097368</v>
      </c>
      <c r="K124" s="104">
        <f t="shared" si="10"/>
        <v>1302.8516841599999</v>
      </c>
      <c r="L124" s="104">
        <v>1302.8499999999999</v>
      </c>
      <c r="M124" s="105">
        <v>45337</v>
      </c>
      <c r="N124" s="115">
        <f>+Table6[[#This Row],[стойност с ДДС]]-Table6[[#This Row],[плащане]]</f>
        <v>1.6841599999679602E-3</v>
      </c>
      <c r="O124" s="208"/>
    </row>
    <row r="125" spans="1:15" ht="20.100000000000001" customHeight="1" x14ac:dyDescent="0.3">
      <c r="A125" s="97" t="s">
        <v>75</v>
      </c>
      <c r="B125" s="392">
        <v>3000002645</v>
      </c>
      <c r="C125" s="98">
        <v>45322</v>
      </c>
      <c r="D125" s="131"/>
      <c r="E125" s="100" t="s">
        <v>58</v>
      </c>
      <c r="F125" s="101"/>
      <c r="G125" s="99"/>
      <c r="H125" s="102">
        <v>1571.4849999999999</v>
      </c>
      <c r="I125" s="103">
        <v>1.0194000000000001</v>
      </c>
      <c r="J125" s="104">
        <f t="shared" si="11"/>
        <v>1601.9718090000001</v>
      </c>
      <c r="K125" s="104">
        <f t="shared" si="10"/>
        <v>1922.3661708</v>
      </c>
      <c r="L125" s="104">
        <v>1922.37</v>
      </c>
      <c r="M125" s="105">
        <v>45337</v>
      </c>
      <c r="N125" s="115">
        <f>+Table6[[#This Row],[стойност с ДДС]]-Table6[[#This Row],[плащане]]</f>
        <v>-3.8291999999273685E-3</v>
      </c>
      <c r="O125" s="208"/>
    </row>
    <row r="126" spans="1:15" ht="20.100000000000001" customHeight="1" collapsed="1" x14ac:dyDescent="0.3">
      <c r="A126" s="97" t="s">
        <v>82</v>
      </c>
      <c r="B126" s="392">
        <v>3000002640</v>
      </c>
      <c r="C126" s="98">
        <v>45322</v>
      </c>
      <c r="D126" s="131"/>
      <c r="E126" s="101" t="s">
        <v>59</v>
      </c>
      <c r="F126" s="101"/>
      <c r="G126" s="99"/>
      <c r="H126" s="102">
        <v>3208.5830000000001</v>
      </c>
      <c r="I126" s="103">
        <v>0.6</v>
      </c>
      <c r="J126" s="104">
        <f t="shared" si="11"/>
        <v>1925.1497999999999</v>
      </c>
      <c r="K126" s="104">
        <f t="shared" si="10"/>
        <v>2310.17976</v>
      </c>
      <c r="L126" s="104">
        <v>2310.1799999999998</v>
      </c>
      <c r="M126" s="105">
        <v>45337</v>
      </c>
      <c r="N126" s="115">
        <f>+Table6[[#This Row],[стойност с ДДС]]-Table6[[#This Row],[плащане]]</f>
        <v>-2.399999998488056E-4</v>
      </c>
      <c r="O126" s="208"/>
    </row>
    <row r="127" spans="1:15" ht="20.100000000000001" customHeight="1" x14ac:dyDescent="0.3">
      <c r="A127" s="97" t="s">
        <v>88</v>
      </c>
      <c r="B127" s="392">
        <v>3000002643</v>
      </c>
      <c r="C127" s="98">
        <v>45322</v>
      </c>
      <c r="D127" s="131" t="s">
        <v>32</v>
      </c>
      <c r="E127" s="100" t="s">
        <v>33</v>
      </c>
      <c r="F127" s="101"/>
      <c r="G127" s="99"/>
      <c r="H127" s="102">
        <v>46.526000000000003</v>
      </c>
      <c r="I127" s="103">
        <v>69.650000000000006</v>
      </c>
      <c r="J127" s="104">
        <f t="shared" si="11"/>
        <v>3240.5359000000003</v>
      </c>
      <c r="K127" s="104">
        <f t="shared" si="10"/>
        <v>3888.6430800000003</v>
      </c>
      <c r="L127" s="104">
        <v>3888.64</v>
      </c>
      <c r="M127" s="107">
        <v>45352</v>
      </c>
      <c r="N127" s="115">
        <f>+Table6[[#This Row],[стойност с ДДС]]-Table6[[#This Row],[плащане]]</f>
        <v>3.0800000004091999E-3</v>
      </c>
      <c r="O127" s="208"/>
    </row>
    <row r="128" spans="1:15" ht="20.100000000000001" customHeight="1" x14ac:dyDescent="0.3">
      <c r="A128" s="97" t="s">
        <v>88</v>
      </c>
      <c r="B128" s="392">
        <v>3000002643</v>
      </c>
      <c r="C128" s="98">
        <v>45322</v>
      </c>
      <c r="D128" s="131"/>
      <c r="E128" s="100" t="s">
        <v>58</v>
      </c>
      <c r="F128" s="101"/>
      <c r="G128" s="99"/>
      <c r="H128" s="102">
        <v>46.526000000000003</v>
      </c>
      <c r="I128" s="103">
        <v>1.0194000000000001</v>
      </c>
      <c r="J128" s="104">
        <f t="shared" si="11"/>
        <v>47.428604400000005</v>
      </c>
      <c r="K128" s="104">
        <f t="shared" si="10"/>
        <v>56.914325280000007</v>
      </c>
      <c r="L128" s="104">
        <v>56.91</v>
      </c>
      <c r="M128" s="107">
        <v>45352</v>
      </c>
      <c r="N128" s="115">
        <f>+Table6[[#This Row],[стойност с ДДС]]-Table6[[#This Row],[плащане]]</f>
        <v>4.325280000010423E-3</v>
      </c>
      <c r="O128" s="208"/>
    </row>
    <row r="129" spans="1:15" ht="20.100000000000001" customHeight="1" x14ac:dyDescent="0.3">
      <c r="A129" s="97" t="s">
        <v>88</v>
      </c>
      <c r="B129" s="392">
        <v>3000002643</v>
      </c>
      <c r="C129" s="98">
        <v>45322</v>
      </c>
      <c r="D129" s="131"/>
      <c r="E129" s="101" t="s">
        <v>59</v>
      </c>
      <c r="F129" s="101"/>
      <c r="G129" s="99"/>
      <c r="H129" s="113">
        <v>167.494</v>
      </c>
      <c r="I129" s="103">
        <v>0.6</v>
      </c>
      <c r="J129" s="104">
        <f t="shared" si="11"/>
        <v>100.49639999999999</v>
      </c>
      <c r="K129" s="104">
        <f t="shared" si="10"/>
        <v>120.59567999999999</v>
      </c>
      <c r="L129" s="104">
        <v>120.6</v>
      </c>
      <c r="M129" s="107">
        <v>45352</v>
      </c>
      <c r="N129" s="115">
        <f>+Table6[[#This Row],[стойност с ДДС]]-Table6[[#This Row],[плащане]]</f>
        <v>-4.3200000000069849E-3</v>
      </c>
      <c r="O129" s="208"/>
    </row>
    <row r="130" spans="1:15" ht="20.100000000000001" customHeight="1" collapsed="1" x14ac:dyDescent="0.3">
      <c r="A130" s="97" t="s">
        <v>49</v>
      </c>
      <c r="B130" s="392">
        <v>3000002641</v>
      </c>
      <c r="C130" s="98">
        <v>45322</v>
      </c>
      <c r="D130" s="131"/>
      <c r="E130" s="100" t="s">
        <v>33</v>
      </c>
      <c r="F130" s="101" t="s">
        <v>85</v>
      </c>
      <c r="G130" s="99"/>
      <c r="H130" s="113"/>
      <c r="I130" s="103"/>
      <c r="J130" s="104">
        <f>ROUND(+H130*I130,2)</f>
        <v>0</v>
      </c>
      <c r="K130" s="104">
        <v>849.96</v>
      </c>
      <c r="L130" s="104">
        <v>849.96</v>
      </c>
      <c r="M130" s="155">
        <v>45323</v>
      </c>
      <c r="N130" s="115">
        <f>+Table6[[#This Row],[стойност с ДДС]]-Table6[[#This Row],[плащане]]</f>
        <v>0</v>
      </c>
      <c r="O130" s="208"/>
    </row>
    <row r="131" spans="1:15" ht="20.100000000000001" customHeight="1" x14ac:dyDescent="0.3">
      <c r="A131" s="97" t="s">
        <v>89</v>
      </c>
      <c r="B131" s="392">
        <v>3000002646</v>
      </c>
      <c r="C131" s="98">
        <v>45322</v>
      </c>
      <c r="D131" s="131" t="s">
        <v>81</v>
      </c>
      <c r="E131" s="100" t="s">
        <v>33</v>
      </c>
      <c r="F131" s="101"/>
      <c r="G131" s="99"/>
      <c r="H131" s="102">
        <v>92.052999999999997</v>
      </c>
      <c r="I131" s="103">
        <v>69.650000000000006</v>
      </c>
      <c r="J131" s="104">
        <f t="shared" ref="J131:J137" si="12">H131*I131</f>
        <v>6411.4914500000004</v>
      </c>
      <c r="K131" s="104">
        <f t="shared" si="10"/>
        <v>7693.7897400000002</v>
      </c>
      <c r="L131" s="104">
        <v>7693.79</v>
      </c>
      <c r="M131" s="105">
        <v>45336</v>
      </c>
      <c r="N131" s="115">
        <f>+Table6[[#This Row],[стойност с ДДС]]-Table6[[#This Row],[плащане]]</f>
        <v>-2.5999999979831045E-4</v>
      </c>
      <c r="O131" s="208"/>
    </row>
    <row r="132" spans="1:15" ht="20.100000000000001" customHeight="1" x14ac:dyDescent="0.3">
      <c r="A132" s="97" t="s">
        <v>89</v>
      </c>
      <c r="B132" s="392">
        <v>3000002646</v>
      </c>
      <c r="C132" s="98">
        <v>45322</v>
      </c>
      <c r="D132" s="131"/>
      <c r="E132" s="100" t="s">
        <v>58</v>
      </c>
      <c r="F132" s="101"/>
      <c r="G132" s="99"/>
      <c r="H132" s="102">
        <v>92.052999999999997</v>
      </c>
      <c r="I132" s="103">
        <v>1.0194000000000001</v>
      </c>
      <c r="J132" s="104">
        <f t="shared" si="12"/>
        <v>93.838828200000009</v>
      </c>
      <c r="K132" s="104">
        <f t="shared" si="10"/>
        <v>112.60659384</v>
      </c>
      <c r="L132" s="104">
        <v>112.61</v>
      </c>
      <c r="M132" s="105">
        <v>45336</v>
      </c>
      <c r="N132" s="115">
        <f>+Table6[[#This Row],[стойност с ДДС]]-Table6[[#This Row],[плащане]]</f>
        <v>-3.4061599999972714E-3</v>
      </c>
      <c r="O132" s="208"/>
    </row>
    <row r="133" spans="1:15" ht="20.100000000000001" customHeight="1" x14ac:dyDescent="0.3">
      <c r="A133" s="97" t="s">
        <v>89</v>
      </c>
      <c r="B133" s="392">
        <v>3000002646</v>
      </c>
      <c r="C133" s="98">
        <v>45322</v>
      </c>
      <c r="D133" s="131"/>
      <c r="E133" s="101" t="s">
        <v>59</v>
      </c>
      <c r="F133" s="101"/>
      <c r="G133" s="99"/>
      <c r="H133" s="113">
        <v>331.39100000000002</v>
      </c>
      <c r="I133" s="103">
        <v>0.6</v>
      </c>
      <c r="J133" s="104">
        <f t="shared" si="12"/>
        <v>198.83459999999999</v>
      </c>
      <c r="K133" s="104">
        <f t="shared" si="10"/>
        <v>238.60151999999999</v>
      </c>
      <c r="L133" s="104">
        <v>238.6</v>
      </c>
      <c r="M133" s="105">
        <v>45336</v>
      </c>
      <c r="N133" s="115">
        <f>+Table6[[#This Row],[стойност с ДДС]]-Table6[[#This Row],[плащане]]</f>
        <v>1.5199999999992997E-3</v>
      </c>
      <c r="O133" s="208"/>
    </row>
    <row r="134" spans="1:15" ht="20.100000000000001" customHeight="1" x14ac:dyDescent="0.3">
      <c r="A134" s="97" t="s">
        <v>75</v>
      </c>
      <c r="B134" s="392">
        <v>3000002645</v>
      </c>
      <c r="C134" s="98">
        <v>45322</v>
      </c>
      <c r="D134" s="131"/>
      <c r="E134" s="101" t="s">
        <v>59</v>
      </c>
      <c r="F134" s="101"/>
      <c r="G134" s="99"/>
      <c r="H134" s="113">
        <v>5657.3459999999995</v>
      </c>
      <c r="I134" s="103">
        <v>0.85</v>
      </c>
      <c r="J134" s="104">
        <f t="shared" si="12"/>
        <v>4808.7440999999999</v>
      </c>
      <c r="K134" s="104">
        <f t="shared" ref="K134:K138" si="13">J134*1.2</f>
        <v>5770.4929199999997</v>
      </c>
      <c r="L134" s="104">
        <v>2770.49</v>
      </c>
      <c r="M134" s="105">
        <v>45336</v>
      </c>
      <c r="N134" s="115">
        <f>+Table6[[#This Row],[стойност с ДДС]]-Table6[[#This Row],[плащане]]</f>
        <v>3000.0029199999999</v>
      </c>
      <c r="O134" s="208"/>
    </row>
    <row r="135" spans="1:15" ht="20.100000000000001" customHeight="1" x14ac:dyDescent="0.3">
      <c r="A135" s="97" t="s">
        <v>31</v>
      </c>
      <c r="B135" s="392">
        <v>3000002644</v>
      </c>
      <c r="C135" s="98">
        <v>45322</v>
      </c>
      <c r="D135" s="131" t="s">
        <v>32</v>
      </c>
      <c r="E135" s="100" t="s">
        <v>33</v>
      </c>
      <c r="F135" s="101"/>
      <c r="G135" s="99"/>
      <c r="H135" s="102">
        <v>-1</v>
      </c>
      <c r="I135" s="103">
        <v>11496</v>
      </c>
      <c r="J135" s="104">
        <f t="shared" si="12"/>
        <v>-11496</v>
      </c>
      <c r="K135" s="104">
        <f t="shared" si="13"/>
        <v>-13795.199999999999</v>
      </c>
      <c r="L135" s="104">
        <v>-13795.2</v>
      </c>
      <c r="M135" s="105">
        <v>45336</v>
      </c>
      <c r="N135" s="115">
        <f>+Table6[[#This Row],[стойност с ДДС]]-Table6[[#This Row],[плащане]]</f>
        <v>0</v>
      </c>
      <c r="O135" s="208">
        <v>45336</v>
      </c>
    </row>
    <row r="136" spans="1:15" ht="20.100000000000001" customHeight="1" x14ac:dyDescent="0.3">
      <c r="A136" s="97" t="s">
        <v>31</v>
      </c>
      <c r="B136" s="392">
        <v>3000002644</v>
      </c>
      <c r="C136" s="98">
        <v>45322</v>
      </c>
      <c r="D136" s="131"/>
      <c r="E136" s="100" t="s">
        <v>33</v>
      </c>
      <c r="F136" s="101"/>
      <c r="G136" s="99"/>
      <c r="H136" s="102">
        <v>412.60700000000003</v>
      </c>
      <c r="I136" s="103">
        <v>69.650000000000006</v>
      </c>
      <c r="J136" s="104">
        <f t="shared" si="12"/>
        <v>28738.077550000005</v>
      </c>
      <c r="K136" s="104">
        <f t="shared" si="13"/>
        <v>34485.693060000005</v>
      </c>
      <c r="L136" s="104">
        <v>34485.69</v>
      </c>
      <c r="M136" s="105">
        <v>45336</v>
      </c>
      <c r="N136" s="115">
        <f>+Table6[[#This Row],[стойност с ДДС]]-Table6[[#This Row],[плащане]]</f>
        <v>3.0600000027334318E-3</v>
      </c>
      <c r="O136" s="208">
        <v>45336</v>
      </c>
    </row>
    <row r="137" spans="1:15" ht="20.100000000000001" customHeight="1" x14ac:dyDescent="0.3">
      <c r="A137" s="97" t="s">
        <v>31</v>
      </c>
      <c r="B137" s="392">
        <v>3000002644</v>
      </c>
      <c r="C137" s="98">
        <v>45322</v>
      </c>
      <c r="D137" s="131"/>
      <c r="E137" s="100" t="s">
        <v>58</v>
      </c>
      <c r="F137" s="101"/>
      <c r="G137" s="99"/>
      <c r="H137" s="113">
        <v>412.60700000000003</v>
      </c>
      <c r="I137" s="103">
        <v>0.52290000000000003</v>
      </c>
      <c r="J137" s="104">
        <f t="shared" si="12"/>
        <v>215.75220030000003</v>
      </c>
      <c r="K137" s="104">
        <f t="shared" si="13"/>
        <v>258.90264036000002</v>
      </c>
      <c r="L137" s="104">
        <v>258.89999999999998</v>
      </c>
      <c r="M137" s="105">
        <v>45336</v>
      </c>
      <c r="N137" s="115">
        <f>+Table6[[#This Row],[стойност с ДДС]]-Table6[[#This Row],[плащане]]</f>
        <v>2.640360000043529E-3</v>
      </c>
      <c r="O137" s="208">
        <v>45336</v>
      </c>
    </row>
    <row r="138" spans="1:15" ht="20.100000000000001" customHeight="1" x14ac:dyDescent="0.3">
      <c r="A138" s="97" t="s">
        <v>50</v>
      </c>
      <c r="B138" s="392">
        <v>3000002648</v>
      </c>
      <c r="C138" s="98">
        <v>45331</v>
      </c>
      <c r="D138" s="131" t="s">
        <v>90</v>
      </c>
      <c r="E138" s="100" t="s">
        <v>76</v>
      </c>
      <c r="F138" s="100"/>
      <c r="G138" s="99"/>
      <c r="H138" s="102">
        <v>400</v>
      </c>
      <c r="I138" s="103">
        <v>63.7316</v>
      </c>
      <c r="J138" s="104">
        <f>ROUND(+H138*I138,2)</f>
        <v>25492.639999999999</v>
      </c>
      <c r="K138" s="104">
        <f t="shared" si="13"/>
        <v>30591.167999999998</v>
      </c>
      <c r="L138" s="104">
        <v>30591.17</v>
      </c>
      <c r="M138" s="105">
        <v>45336</v>
      </c>
      <c r="N138" s="115">
        <f>+Table6[[#This Row],[стойност с ДДС]]-Table6[[#This Row],[плащане]]</f>
        <v>-2.0000000004074536E-3</v>
      </c>
      <c r="O138" s="208">
        <v>45336</v>
      </c>
    </row>
    <row r="139" spans="1:15" ht="20.100000000000001" customHeight="1" x14ac:dyDescent="0.3">
      <c r="A139" s="97" t="s">
        <v>78</v>
      </c>
      <c r="B139" s="392">
        <v>3000002638</v>
      </c>
      <c r="C139" s="98">
        <v>45322</v>
      </c>
      <c r="D139" s="131" t="s">
        <v>32</v>
      </c>
      <c r="E139" s="100" t="s">
        <v>33</v>
      </c>
      <c r="F139" s="101"/>
      <c r="G139" s="99"/>
      <c r="H139" s="102">
        <v>1706.174</v>
      </c>
      <c r="I139" s="103">
        <v>60.89</v>
      </c>
      <c r="J139" s="104">
        <f>H139*I139</f>
        <v>103888.93485999999</v>
      </c>
      <c r="K139" s="104">
        <f t="shared" ref="K139:K145" si="14">J139*1.2</f>
        <v>124666.72183199998</v>
      </c>
      <c r="L139" s="104">
        <v>124666.72</v>
      </c>
      <c r="M139" s="107">
        <v>45313</v>
      </c>
      <c r="N139" s="115">
        <f>+Table6[[#This Row],[стойност с ДДС]]-Table6[[#This Row],[плащане]]</f>
        <v>1.8319999799132347E-3</v>
      </c>
      <c r="O139" s="208">
        <v>45336</v>
      </c>
    </row>
    <row r="140" spans="1:15" ht="20.100000000000001" customHeight="1" x14ac:dyDescent="0.3">
      <c r="A140" s="97" t="s">
        <v>78</v>
      </c>
      <c r="B140" s="392">
        <v>3000002638</v>
      </c>
      <c r="C140" s="98">
        <v>45322</v>
      </c>
      <c r="D140" s="131"/>
      <c r="E140" s="100" t="s">
        <v>58</v>
      </c>
      <c r="F140" s="101"/>
      <c r="G140" s="99"/>
      <c r="H140" s="102">
        <v>11.362</v>
      </c>
      <c r="I140" s="103">
        <v>8.1493000000000002</v>
      </c>
      <c r="J140" s="104">
        <f>H140*I140</f>
        <v>92.592346599999999</v>
      </c>
      <c r="K140" s="104">
        <f t="shared" si="14"/>
        <v>111.11081591999999</v>
      </c>
      <c r="L140" s="104">
        <v>2087.13</v>
      </c>
      <c r="M140" s="107">
        <v>45313</v>
      </c>
      <c r="N140" s="115">
        <f>+Table6[[#This Row],[стойност с ДДС]]-Table6[[#This Row],[плащане]]</f>
        <v>-1976.0191840800001</v>
      </c>
      <c r="O140" s="208">
        <v>45336</v>
      </c>
    </row>
    <row r="141" spans="1:15" ht="20.100000000000001" customHeight="1" x14ac:dyDescent="0.3">
      <c r="A141" s="97" t="s">
        <v>78</v>
      </c>
      <c r="B141" s="392">
        <v>3000002638</v>
      </c>
      <c r="C141" s="98">
        <v>45322</v>
      </c>
      <c r="D141" s="131"/>
      <c r="E141" s="100" t="s">
        <v>57</v>
      </c>
      <c r="F141" s="101"/>
      <c r="G141" s="99"/>
      <c r="H141" s="102">
        <v>1691.2</v>
      </c>
      <c r="I141" s="103">
        <v>6.5194000000000001</v>
      </c>
      <c r="J141" s="104">
        <f>H141*I141</f>
        <v>11025.609280000001</v>
      </c>
      <c r="K141" s="104">
        <f t="shared" si="14"/>
        <v>13230.731136</v>
      </c>
      <c r="L141" s="104">
        <v>13230.73</v>
      </c>
      <c r="M141" s="107">
        <v>45313</v>
      </c>
      <c r="N141" s="115">
        <f>+Table6[[#This Row],[стойност с ДДС]]-Table6[[#This Row],[плащане]]</f>
        <v>1.1360000007698545E-3</v>
      </c>
      <c r="O141" s="208">
        <v>45336</v>
      </c>
    </row>
    <row r="142" spans="1:15" ht="20.100000000000001" customHeight="1" x14ac:dyDescent="0.3">
      <c r="A142" s="97" t="s">
        <v>78</v>
      </c>
      <c r="B142" s="392">
        <v>3000002638</v>
      </c>
      <c r="C142" s="98">
        <v>45322</v>
      </c>
      <c r="D142" s="131"/>
      <c r="E142" s="100" t="s">
        <v>55</v>
      </c>
      <c r="F142" s="101"/>
      <c r="G142" s="99"/>
      <c r="H142" s="102">
        <v>22.184000000000001</v>
      </c>
      <c r="I142" s="103">
        <v>8.3582999999999998</v>
      </c>
      <c r="J142" s="104">
        <f>H142*I142</f>
        <v>185.42052720000001</v>
      </c>
      <c r="K142" s="104">
        <f t="shared" si="14"/>
        <v>222.50463264000001</v>
      </c>
      <c r="L142" s="104">
        <v>111.11</v>
      </c>
      <c r="M142" s="107">
        <v>45313</v>
      </c>
      <c r="N142" s="115">
        <f>+Table6[[#This Row],[стойност с ДДС]]-Table6[[#This Row],[плащане]]</f>
        <v>111.39463264000001</v>
      </c>
      <c r="O142" s="208">
        <v>45336</v>
      </c>
    </row>
    <row r="143" spans="1:15" ht="20.100000000000001" customHeight="1" x14ac:dyDescent="0.3">
      <c r="A143" s="97" t="s">
        <v>78</v>
      </c>
      <c r="B143" s="392">
        <v>3000002638</v>
      </c>
      <c r="C143" s="98">
        <v>45322</v>
      </c>
      <c r="D143" s="131"/>
      <c r="E143" s="101" t="s">
        <v>56</v>
      </c>
      <c r="F143" s="101"/>
      <c r="G143" s="99"/>
      <c r="H143" s="102">
        <v>1706.174</v>
      </c>
      <c r="I143" s="103">
        <v>1.0194000000000001</v>
      </c>
      <c r="J143" s="104">
        <f>ROUND(+H143*I143,2)</f>
        <v>1739.27</v>
      </c>
      <c r="K143" s="104">
        <f t="shared" si="14"/>
        <v>2087.1239999999998</v>
      </c>
      <c r="L143" s="104">
        <v>222.5</v>
      </c>
      <c r="M143" s="107">
        <v>45313</v>
      </c>
      <c r="N143" s="115">
        <f>+Table6[[#This Row],[стойност с ДДС]]-Table6[[#This Row],[плащане]]</f>
        <v>1864.6239999999998</v>
      </c>
      <c r="O143" s="208">
        <v>45336</v>
      </c>
    </row>
    <row r="144" spans="1:15" ht="20.100000000000001" customHeight="1" x14ac:dyDescent="0.3">
      <c r="A144" s="97" t="s">
        <v>78</v>
      </c>
      <c r="B144" s="392">
        <v>3000002638</v>
      </c>
      <c r="C144" s="98">
        <v>45322</v>
      </c>
      <c r="D144" s="131"/>
      <c r="E144" s="100" t="s">
        <v>59</v>
      </c>
      <c r="F144" s="101"/>
      <c r="G144" s="99"/>
      <c r="H144" s="102">
        <v>6142.2259999999997</v>
      </c>
      <c r="I144" s="103">
        <v>0.6</v>
      </c>
      <c r="J144" s="104">
        <f>H144*I144</f>
        <v>3685.3355999999994</v>
      </c>
      <c r="K144" s="104">
        <f t="shared" si="14"/>
        <v>4422.4027199999991</v>
      </c>
      <c r="L144" s="104">
        <v>4422.3999999999996</v>
      </c>
      <c r="M144" s="107">
        <v>45313</v>
      </c>
      <c r="N144" s="115">
        <f>+Table6[[#This Row],[стойност с ДДС]]-Table6[[#This Row],[плащане]]</f>
        <v>2.7199999994991231E-3</v>
      </c>
      <c r="O144" s="208">
        <v>45336</v>
      </c>
    </row>
    <row r="145" spans="1:15" ht="20.100000000000001" customHeight="1" collapsed="1" x14ac:dyDescent="0.3">
      <c r="A145" s="97" t="s">
        <v>61</v>
      </c>
      <c r="B145" s="392">
        <v>3000002651</v>
      </c>
      <c r="C145" s="98">
        <v>45331</v>
      </c>
      <c r="D145" s="131" t="s">
        <v>90</v>
      </c>
      <c r="E145" s="132" t="s">
        <v>76</v>
      </c>
      <c r="F145" s="100"/>
      <c r="G145" s="99"/>
      <c r="H145" s="102">
        <v>110</v>
      </c>
      <c r="I145" s="103">
        <v>63.7316</v>
      </c>
      <c r="J145" s="133">
        <f>H145*I145</f>
        <v>7010.4759999999997</v>
      </c>
      <c r="K145" s="104">
        <f t="shared" si="14"/>
        <v>8412.5711999999985</v>
      </c>
      <c r="L145" s="104">
        <v>8412.57</v>
      </c>
      <c r="M145" s="107">
        <v>45343</v>
      </c>
      <c r="N145" s="115">
        <f>+Table6[[#This Row],[стойност с ДДС]]-Table6[[#This Row],[плащане]]</f>
        <v>1.1999999987892807E-3</v>
      </c>
      <c r="O145" s="208">
        <v>45336</v>
      </c>
    </row>
    <row r="146" spans="1:15" ht="20.100000000000001" customHeight="1" x14ac:dyDescent="0.3">
      <c r="A146" s="97" t="s">
        <v>69</v>
      </c>
      <c r="B146" s="392">
        <v>3000002656</v>
      </c>
      <c r="C146" s="98">
        <v>45331</v>
      </c>
      <c r="D146" s="131"/>
      <c r="E146" s="100"/>
      <c r="F146" s="100"/>
      <c r="G146" s="99"/>
      <c r="H146" s="102"/>
      <c r="I146" s="103"/>
      <c r="J146" s="104"/>
      <c r="K146" s="104"/>
      <c r="L146" s="104"/>
      <c r="M146" s="107">
        <v>45343</v>
      </c>
      <c r="N146" s="115">
        <f>+Table6[[#This Row],[стойност с ДДС]]-Table6[[#This Row],[плащане]]</f>
        <v>0</v>
      </c>
      <c r="O146" s="208">
        <v>45336</v>
      </c>
    </row>
    <row r="147" spans="1:15" ht="20.100000000000001" customHeight="1" x14ac:dyDescent="0.3">
      <c r="A147" s="97" t="s">
        <v>91</v>
      </c>
      <c r="B147" s="392">
        <v>3000002657</v>
      </c>
      <c r="C147" s="98">
        <v>45331</v>
      </c>
      <c r="D147" s="99"/>
      <c r="E147" s="100"/>
      <c r="F147" s="100"/>
      <c r="G147" s="99"/>
      <c r="H147" s="102"/>
      <c r="I147" s="103"/>
      <c r="J147" s="104"/>
      <c r="K147" s="104"/>
      <c r="L147" s="104"/>
      <c r="M147" s="107">
        <v>45343</v>
      </c>
      <c r="N147" s="115">
        <f>+Table6[[#This Row],[стойност с ДДС]]-Table6[[#This Row],[плащане]]</f>
        <v>0</v>
      </c>
      <c r="O147" s="208">
        <v>45336</v>
      </c>
    </row>
    <row r="148" spans="1:15" ht="20.100000000000001" customHeight="1" x14ac:dyDescent="0.3">
      <c r="A148" s="97" t="s">
        <v>92</v>
      </c>
      <c r="B148" s="392">
        <v>3000002658</v>
      </c>
      <c r="C148" s="98">
        <v>45331</v>
      </c>
      <c r="D148" s="99" t="s">
        <v>90</v>
      </c>
      <c r="E148" s="132" t="s">
        <v>33</v>
      </c>
      <c r="F148" s="101"/>
      <c r="G148" s="99"/>
      <c r="H148" s="102">
        <v>1</v>
      </c>
      <c r="I148" s="103">
        <v>1725.3</v>
      </c>
      <c r="J148" s="104">
        <f>+I148</f>
        <v>1725.3</v>
      </c>
      <c r="K148" s="104">
        <f>J148*1.2</f>
        <v>2070.3599999999997</v>
      </c>
      <c r="L148" s="104">
        <v>2070.36</v>
      </c>
      <c r="M148" s="107">
        <v>45379</v>
      </c>
      <c r="N148" s="115">
        <f>+Table6[[#This Row],[стойност с ДДС]]-Table6[[#This Row],[плащане]]</f>
        <v>0</v>
      </c>
      <c r="O148" s="208">
        <v>45336</v>
      </c>
    </row>
    <row r="149" spans="1:15" ht="20.100000000000001" customHeight="1" x14ac:dyDescent="0.3">
      <c r="A149" s="97" t="s">
        <v>89</v>
      </c>
      <c r="B149" s="392">
        <v>3000002659</v>
      </c>
      <c r="C149" s="98">
        <v>45331</v>
      </c>
      <c r="D149" s="99" t="s">
        <v>90</v>
      </c>
      <c r="E149" s="132" t="s">
        <v>33</v>
      </c>
      <c r="F149" s="101"/>
      <c r="G149" s="99"/>
      <c r="H149" s="102"/>
      <c r="I149" s="103">
        <v>958.5</v>
      </c>
      <c r="J149" s="104">
        <f>+I149</f>
        <v>958.5</v>
      </c>
      <c r="K149" s="104">
        <f>J149*1.2</f>
        <v>1150.2</v>
      </c>
      <c r="L149" s="104">
        <v>1070.3599999999999</v>
      </c>
      <c r="M149" s="107">
        <v>45345</v>
      </c>
      <c r="N149" s="115">
        <f>+Table6[[#This Row],[стойност с ДДС]]-Table6[[#This Row],[плащане]]</f>
        <v>79.840000000000146</v>
      </c>
      <c r="O149" s="208">
        <v>45336</v>
      </c>
    </row>
    <row r="150" spans="1:15" ht="20.100000000000001" customHeight="1" x14ac:dyDescent="0.3">
      <c r="A150" s="97" t="s">
        <v>75</v>
      </c>
      <c r="B150" s="392">
        <v>3000002660</v>
      </c>
      <c r="C150" s="98">
        <v>45331</v>
      </c>
      <c r="D150" s="97"/>
      <c r="E150" s="97"/>
      <c r="F150" s="97"/>
      <c r="G150" s="97"/>
      <c r="H150" s="97"/>
      <c r="I150" s="114"/>
      <c r="J150" s="109">
        <v>2070.36</v>
      </c>
      <c r="K150" s="115">
        <f>+K148</f>
        <v>2070.3599999999997</v>
      </c>
      <c r="L150" s="109">
        <v>2070.36</v>
      </c>
      <c r="M150" s="107">
        <v>45345</v>
      </c>
      <c r="N150" s="115">
        <f>+Table6[[#This Row],[стойност с ДДС]]-Table6[[#This Row],[плащане]]</f>
        <v>0</v>
      </c>
      <c r="O150" s="208">
        <v>45336</v>
      </c>
    </row>
    <row r="151" spans="1:15" ht="20.100000000000001" customHeight="1" x14ac:dyDescent="0.3">
      <c r="A151" s="97" t="s">
        <v>80</v>
      </c>
      <c r="B151" s="392">
        <v>3000002600</v>
      </c>
      <c r="C151" s="98">
        <v>45261</v>
      </c>
      <c r="D151" s="99"/>
      <c r="E151" s="132" t="s">
        <v>33</v>
      </c>
      <c r="F151" s="100"/>
      <c r="G151" s="99"/>
      <c r="H151" s="102"/>
      <c r="I151" s="103">
        <v>64999.47</v>
      </c>
      <c r="J151" s="104">
        <v>5724.5</v>
      </c>
      <c r="K151" s="104">
        <f>J151*1.2</f>
        <v>6869.4</v>
      </c>
      <c r="L151" s="104">
        <v>6869.4</v>
      </c>
      <c r="M151" s="107">
        <v>45345</v>
      </c>
      <c r="N151" s="106">
        <f>+Table6[[#This Row],[стойност с ДДС]]-Table6[[#This Row],[плащане]]</f>
        <v>0</v>
      </c>
      <c r="O151" s="208">
        <v>45336</v>
      </c>
    </row>
    <row r="152" spans="1:15" ht="20.100000000000001" customHeight="1" x14ac:dyDescent="0.3">
      <c r="A152" s="97" t="s">
        <v>91</v>
      </c>
      <c r="B152" s="392">
        <v>3000002663</v>
      </c>
      <c r="C152" s="98">
        <v>45342</v>
      </c>
      <c r="D152" s="99" t="s">
        <v>90</v>
      </c>
      <c r="E152" s="100" t="s">
        <v>33</v>
      </c>
      <c r="F152" s="101"/>
      <c r="G152" s="99"/>
      <c r="H152" s="102"/>
      <c r="I152" s="103">
        <v>2811.6</v>
      </c>
      <c r="J152" s="104">
        <f>+I152</f>
        <v>2811.6</v>
      </c>
      <c r="K152" s="104">
        <f>J152*1.2</f>
        <v>3373.9199999999996</v>
      </c>
      <c r="L152" s="104">
        <v>3373.92</v>
      </c>
      <c r="M152" s="107">
        <v>45352</v>
      </c>
      <c r="N152" s="106">
        <f>+Table6[[#This Row],[стойност с ДДС]]-Table6[[#This Row],[плащане]]</f>
        <v>0</v>
      </c>
      <c r="O152" s="208">
        <v>45336</v>
      </c>
    </row>
    <row r="153" spans="1:15" ht="20.100000000000001" customHeight="1" x14ac:dyDescent="0.3">
      <c r="A153" s="97" t="s">
        <v>69</v>
      </c>
      <c r="B153" s="392">
        <v>3000002664</v>
      </c>
      <c r="C153" s="98">
        <v>45342</v>
      </c>
      <c r="D153" s="99" t="s">
        <v>90</v>
      </c>
      <c r="E153" s="132" t="s">
        <v>33</v>
      </c>
      <c r="F153" s="101"/>
      <c r="G153" s="99"/>
      <c r="H153" s="102"/>
      <c r="I153" s="103">
        <v>13481.82</v>
      </c>
      <c r="J153" s="104">
        <f>+I153</f>
        <v>13481.82</v>
      </c>
      <c r="K153" s="104">
        <f>+J153*1.2</f>
        <v>16178.183999999999</v>
      </c>
      <c r="L153" s="104">
        <v>16178.18</v>
      </c>
      <c r="M153" s="107">
        <v>45345</v>
      </c>
      <c r="N153" s="106">
        <f>+Table6[[#This Row],[стойност с ДДС]]-Table6[[#This Row],[плащане]]</f>
        <v>3.9999999989959178E-3</v>
      </c>
      <c r="O153" s="208">
        <v>45336</v>
      </c>
    </row>
    <row r="154" spans="1:15" ht="20.100000000000001" customHeight="1" x14ac:dyDescent="0.3">
      <c r="A154" s="97" t="s">
        <v>62</v>
      </c>
      <c r="B154" s="395" t="s">
        <v>93</v>
      </c>
      <c r="C154" s="123">
        <v>45331</v>
      </c>
      <c r="D154" s="99" t="s">
        <v>90</v>
      </c>
      <c r="E154" s="132" t="s">
        <v>76</v>
      </c>
      <c r="F154" s="100"/>
      <c r="G154" s="99"/>
      <c r="H154" s="102">
        <v>1150</v>
      </c>
      <c r="I154" s="103">
        <v>63.7316</v>
      </c>
      <c r="J154" s="104">
        <f>ROUND(+H154*I154,2)</f>
        <v>73291.34</v>
      </c>
      <c r="K154" s="104">
        <f t="shared" ref="K154:K160" si="15">J154*1.2</f>
        <v>87949.607999999993</v>
      </c>
      <c r="L154" s="104">
        <v>87949.61</v>
      </c>
      <c r="M154" s="107">
        <v>45345</v>
      </c>
      <c r="N154" s="106">
        <f>+Table6[[#This Row],[стойност с ДДС]]-Table6[[#This Row],[плащане]]</f>
        <v>-2.0000000076834112E-3</v>
      </c>
      <c r="O154" s="208">
        <v>45336</v>
      </c>
    </row>
    <row r="155" spans="1:15" ht="20.100000000000001" customHeight="1" x14ac:dyDescent="0.3">
      <c r="A155" s="97" t="s">
        <v>62</v>
      </c>
      <c r="B155" s="395" t="s">
        <v>93</v>
      </c>
      <c r="C155" s="123">
        <v>45331</v>
      </c>
      <c r="D155" s="99" t="s">
        <v>90</v>
      </c>
      <c r="E155" s="100" t="s">
        <v>63</v>
      </c>
      <c r="F155" s="101"/>
      <c r="G155" s="99"/>
      <c r="H155" s="102">
        <v>2360</v>
      </c>
      <c r="I155" s="103">
        <v>119.619</v>
      </c>
      <c r="J155" s="115">
        <f>+H155*I155</f>
        <v>282300.84000000003</v>
      </c>
      <c r="K155" s="115">
        <f t="shared" si="15"/>
        <v>338761.00800000003</v>
      </c>
      <c r="L155" s="115">
        <v>338761.01</v>
      </c>
      <c r="M155" s="107">
        <v>45345</v>
      </c>
      <c r="N155" s="106">
        <f>+Table6[[#This Row],[стойност с ДДС]]-Table6[[#This Row],[плащане]]</f>
        <v>-1.9999999785795808E-3</v>
      </c>
      <c r="O155" s="208">
        <v>45336</v>
      </c>
    </row>
    <row r="156" spans="1:15" ht="20.100000000000001" customHeight="1" collapsed="1" x14ac:dyDescent="0.3">
      <c r="A156" s="97" t="s">
        <v>94</v>
      </c>
      <c r="B156" s="392">
        <v>3000002665</v>
      </c>
      <c r="C156" s="98">
        <v>45342</v>
      </c>
      <c r="D156" s="99" t="s">
        <v>90</v>
      </c>
      <c r="E156" s="132" t="s">
        <v>33</v>
      </c>
      <c r="F156" s="101"/>
      <c r="G156" s="99"/>
      <c r="H156" s="102"/>
      <c r="I156" s="103">
        <v>324.29000000000002</v>
      </c>
      <c r="J156" s="104">
        <f>+I156</f>
        <v>324.29000000000002</v>
      </c>
      <c r="K156" s="104">
        <f t="shared" si="15"/>
        <v>389.14800000000002</v>
      </c>
      <c r="L156" s="104">
        <v>389.15</v>
      </c>
      <c r="M156" s="107">
        <v>45352</v>
      </c>
      <c r="N156" s="106">
        <f>+Table6[[#This Row],[стойност с ДДС]]-Table6[[#This Row],[плащане]]</f>
        <v>-1.9999999999527063E-3</v>
      </c>
      <c r="O156" s="208">
        <v>45336</v>
      </c>
    </row>
    <row r="157" spans="1:15" ht="20.100000000000001" customHeight="1" x14ac:dyDescent="0.3">
      <c r="A157" s="97" t="s">
        <v>49</v>
      </c>
      <c r="B157" s="392">
        <v>3000002666</v>
      </c>
      <c r="C157" s="98">
        <v>45342</v>
      </c>
      <c r="D157" s="99" t="s">
        <v>90</v>
      </c>
      <c r="E157" s="132" t="s">
        <v>33</v>
      </c>
      <c r="F157" s="101"/>
      <c r="G157" s="99"/>
      <c r="H157" s="102"/>
      <c r="I157" s="103">
        <v>1699.74</v>
      </c>
      <c r="J157" s="104">
        <f>+I157</f>
        <v>1699.74</v>
      </c>
      <c r="K157" s="104">
        <f t="shared" si="15"/>
        <v>2039.6879999999999</v>
      </c>
      <c r="L157" s="104">
        <v>2039.69</v>
      </c>
      <c r="M157" s="107">
        <v>45352</v>
      </c>
      <c r="N157" s="106">
        <f>+Table6[[#This Row],[стойност с ДДС]]-Table6[[#This Row],[плащане]]</f>
        <v>-2.00000000018008E-3</v>
      </c>
      <c r="O157" s="208">
        <v>45336</v>
      </c>
    </row>
    <row r="158" spans="1:15" ht="20.100000000000001" customHeight="1" x14ac:dyDescent="0.3">
      <c r="A158" s="97" t="s">
        <v>64</v>
      </c>
      <c r="B158" s="395" t="s">
        <v>95</v>
      </c>
      <c r="C158" s="123">
        <v>45331</v>
      </c>
      <c r="D158" s="99" t="s">
        <v>90</v>
      </c>
      <c r="E158" s="132" t="s">
        <v>76</v>
      </c>
      <c r="F158" s="100"/>
      <c r="G158" s="99"/>
      <c r="H158" s="102">
        <v>440</v>
      </c>
      <c r="I158" s="103">
        <v>63.7316</v>
      </c>
      <c r="J158" s="115">
        <f>ROUND(+H158*I158,2)</f>
        <v>28041.9</v>
      </c>
      <c r="K158" s="104">
        <f t="shared" si="15"/>
        <v>33650.28</v>
      </c>
      <c r="L158" s="104">
        <v>33650.28</v>
      </c>
      <c r="M158" s="107">
        <v>45349</v>
      </c>
      <c r="N158" s="106">
        <f>+Table6[[#This Row],[стойност с ДДС]]-Table6[[#This Row],[плащане]]</f>
        <v>0</v>
      </c>
      <c r="O158" s="208">
        <v>45336</v>
      </c>
    </row>
    <row r="159" spans="1:15" ht="20.100000000000001" customHeight="1" x14ac:dyDescent="0.3">
      <c r="A159" s="97" t="s">
        <v>64</v>
      </c>
      <c r="B159" s="395" t="s">
        <v>95</v>
      </c>
      <c r="C159" s="123">
        <v>45331</v>
      </c>
      <c r="D159" s="99" t="s">
        <v>90</v>
      </c>
      <c r="E159" s="100" t="s">
        <v>71</v>
      </c>
      <c r="F159" s="100"/>
      <c r="G159" s="99"/>
      <c r="H159" s="102">
        <v>28</v>
      </c>
      <c r="I159" s="103">
        <v>112.06180000000001</v>
      </c>
      <c r="J159" s="115">
        <f>ROUND(+H159*I159,2)</f>
        <v>3137.73</v>
      </c>
      <c r="K159" s="104">
        <f t="shared" si="15"/>
        <v>3765.2759999999998</v>
      </c>
      <c r="L159" s="104">
        <v>3765.28</v>
      </c>
      <c r="M159" s="107">
        <v>45349</v>
      </c>
      <c r="N159" s="106">
        <f>+Table6[[#This Row],[стойност с ДДС]]-Table6[[#This Row],[плащане]]</f>
        <v>-4.0000000003601599E-3</v>
      </c>
      <c r="O159" s="208">
        <v>45336</v>
      </c>
    </row>
    <row r="160" spans="1:15" ht="20.100000000000001" customHeight="1" x14ac:dyDescent="0.3">
      <c r="A160" s="97" t="s">
        <v>64</v>
      </c>
      <c r="B160" s="395" t="s">
        <v>95</v>
      </c>
      <c r="C160" s="123">
        <v>45331</v>
      </c>
      <c r="D160" s="99" t="s">
        <v>90</v>
      </c>
      <c r="E160" s="100" t="s">
        <v>63</v>
      </c>
      <c r="F160" s="101"/>
      <c r="G160" s="99"/>
      <c r="H160" s="102">
        <v>70</v>
      </c>
      <c r="I160" s="103">
        <v>119.619</v>
      </c>
      <c r="J160" s="115">
        <f>+H160*I160</f>
        <v>8373.33</v>
      </c>
      <c r="K160" s="115">
        <f t="shared" si="15"/>
        <v>10047.995999999999</v>
      </c>
      <c r="L160" s="115">
        <v>10048</v>
      </c>
      <c r="M160" s="107">
        <v>45349</v>
      </c>
      <c r="N160" s="106">
        <f>+Table6[[#This Row],[стойност с ДДС]]-Table6[[#This Row],[плащане]]</f>
        <v>-4.0000000008149073E-3</v>
      </c>
      <c r="O160" s="208">
        <v>45336</v>
      </c>
    </row>
    <row r="161" spans="1:15" ht="20.100000000000001" customHeight="1" collapsed="1" x14ac:dyDescent="0.3">
      <c r="A161" s="97" t="s">
        <v>72</v>
      </c>
      <c r="B161" s="392">
        <v>3000002667</v>
      </c>
      <c r="C161" s="98">
        <v>45342</v>
      </c>
      <c r="D161" s="99" t="s">
        <v>90</v>
      </c>
      <c r="E161" s="132" t="s">
        <v>33</v>
      </c>
      <c r="F161" s="101"/>
      <c r="G161" s="99"/>
      <c r="H161" s="102"/>
      <c r="I161" s="103">
        <v>16805.7</v>
      </c>
      <c r="J161" s="104">
        <f>+I161</f>
        <v>16805.7</v>
      </c>
      <c r="K161" s="104">
        <f>+J161*1.2</f>
        <v>20166.84</v>
      </c>
      <c r="L161" s="104">
        <v>20166.84</v>
      </c>
      <c r="M161" s="107">
        <v>45348</v>
      </c>
      <c r="N161" s="106">
        <f>+Table6[[#This Row],[стойност с ДДС]]-Table6[[#This Row],[плащане]]</f>
        <v>0</v>
      </c>
      <c r="O161" s="208">
        <v>45336</v>
      </c>
    </row>
    <row r="162" spans="1:15" ht="20.100000000000001" customHeight="1" x14ac:dyDescent="0.3">
      <c r="A162" s="97" t="s">
        <v>64</v>
      </c>
      <c r="B162" s="395" t="s">
        <v>96</v>
      </c>
      <c r="C162" s="123">
        <v>45343</v>
      </c>
      <c r="D162" s="99" t="s">
        <v>97</v>
      </c>
      <c r="E162" s="100" t="s">
        <v>53</v>
      </c>
      <c r="F162" s="100"/>
      <c r="G162" s="99"/>
      <c r="H162" s="102">
        <v>6478.1279999999997</v>
      </c>
      <c r="I162" s="103">
        <v>71.08</v>
      </c>
      <c r="J162" s="104">
        <f>ROUND(+H162*I162,2)</f>
        <v>460465.34</v>
      </c>
      <c r="K162" s="104">
        <f t="shared" ref="K162:K168" si="16">J162*1.2</f>
        <v>552558.40800000005</v>
      </c>
      <c r="L162" s="104">
        <v>552558.41</v>
      </c>
      <c r="M162" s="107">
        <v>45350</v>
      </c>
      <c r="N162" s="106">
        <f>+Table6[[#This Row],[стойност с ДДС]]-Table6[[#This Row],[плащане]]</f>
        <v>-1.9999999785795808E-3</v>
      </c>
      <c r="O162" s="208">
        <v>45336</v>
      </c>
    </row>
    <row r="163" spans="1:15" ht="20.100000000000001" customHeight="1" x14ac:dyDescent="0.3">
      <c r="A163" s="97" t="s">
        <v>64</v>
      </c>
      <c r="B163" s="395" t="s">
        <v>96</v>
      </c>
      <c r="C163" s="123">
        <v>45343</v>
      </c>
      <c r="D163" s="99" t="s">
        <v>97</v>
      </c>
      <c r="E163" s="100" t="s">
        <v>53</v>
      </c>
      <c r="F163" s="100"/>
      <c r="G163" s="99"/>
      <c r="H163" s="102">
        <v>2643.297</v>
      </c>
      <c r="I163" s="103">
        <v>71.08</v>
      </c>
      <c r="J163" s="104">
        <f>ROUND(+H163*I163,2)</f>
        <v>187885.55</v>
      </c>
      <c r="K163" s="104">
        <f t="shared" si="16"/>
        <v>225462.65999999997</v>
      </c>
      <c r="L163" s="104">
        <v>225462.66</v>
      </c>
      <c r="M163" s="107">
        <v>45350</v>
      </c>
      <c r="N163" s="106">
        <f>+Table6[[#This Row],[стойност с ДДС]]-Table6[[#This Row],[плащане]]</f>
        <v>0</v>
      </c>
      <c r="O163" s="208">
        <v>45336</v>
      </c>
    </row>
    <row r="164" spans="1:15" ht="20.100000000000001" customHeight="1" collapsed="1" x14ac:dyDescent="0.3">
      <c r="A164" s="97" t="s">
        <v>82</v>
      </c>
      <c r="B164" s="392">
        <v>3000002668</v>
      </c>
      <c r="C164" s="98">
        <v>45342</v>
      </c>
      <c r="D164" s="99"/>
      <c r="E164" s="132" t="s">
        <v>33</v>
      </c>
      <c r="F164" s="101"/>
      <c r="G164" s="99"/>
      <c r="H164" s="102">
        <v>1</v>
      </c>
      <c r="I164" s="103">
        <v>26152.75</v>
      </c>
      <c r="J164" s="104">
        <f>ROUND(+H164*I164,2)</f>
        <v>26152.75</v>
      </c>
      <c r="K164" s="104">
        <f t="shared" si="16"/>
        <v>31383.3</v>
      </c>
      <c r="L164" s="104">
        <v>31383.3</v>
      </c>
      <c r="M164" s="107">
        <v>45352</v>
      </c>
      <c r="N164" s="106">
        <f>+Table6[[#This Row],[стойност с ДДС]]-Table6[[#This Row],[плащане]]</f>
        <v>0</v>
      </c>
      <c r="O164" s="208">
        <v>45336</v>
      </c>
    </row>
    <row r="165" spans="1:15" ht="20.100000000000001" customHeight="1" x14ac:dyDescent="0.3">
      <c r="A165" s="97" t="s">
        <v>82</v>
      </c>
      <c r="B165" s="392">
        <v>3000002668</v>
      </c>
      <c r="C165" s="98">
        <v>45342</v>
      </c>
      <c r="D165" s="99"/>
      <c r="E165" s="100" t="s">
        <v>33</v>
      </c>
      <c r="F165" s="101"/>
      <c r="G165" s="99"/>
      <c r="H165" s="102">
        <v>1</v>
      </c>
      <c r="I165" s="103">
        <v>211.25</v>
      </c>
      <c r="J165" s="104">
        <f>+I165</f>
        <v>211.25</v>
      </c>
      <c r="K165" s="104">
        <f t="shared" si="16"/>
        <v>253.5</v>
      </c>
      <c r="L165" s="104">
        <v>253.5</v>
      </c>
      <c r="M165" s="107">
        <v>45352</v>
      </c>
      <c r="N165" s="106">
        <f>+Table6[[#This Row],[стойност с ДДС]]-Table6[[#This Row],[плащане]]</f>
        <v>0</v>
      </c>
      <c r="O165" s="208">
        <v>45336</v>
      </c>
    </row>
    <row r="166" spans="1:15" ht="20.100000000000001" customHeight="1" x14ac:dyDescent="0.3">
      <c r="A166" s="97" t="s">
        <v>91</v>
      </c>
      <c r="B166" s="392">
        <v>3000002657</v>
      </c>
      <c r="C166" s="98">
        <v>45331</v>
      </c>
      <c r="D166" s="99" t="s">
        <v>90</v>
      </c>
      <c r="E166" s="100" t="s">
        <v>33</v>
      </c>
      <c r="F166" s="118"/>
      <c r="G166" s="99"/>
      <c r="H166" s="102"/>
      <c r="I166" s="103">
        <v>2811.6</v>
      </c>
      <c r="J166" s="104">
        <f>+I166</f>
        <v>2811.6</v>
      </c>
      <c r="K166" s="104">
        <f t="shared" si="16"/>
        <v>3373.9199999999996</v>
      </c>
      <c r="L166" s="104">
        <v>3373.92</v>
      </c>
      <c r="M166" s="107">
        <v>45350</v>
      </c>
      <c r="N166" s="106">
        <f>+Table6[[#This Row],[стойност с ДДС]]-Table6[[#This Row],[плащане]]</f>
        <v>0</v>
      </c>
      <c r="O166" s="208">
        <v>45336</v>
      </c>
    </row>
    <row r="167" spans="1:15" ht="20.100000000000001" customHeight="1" x14ac:dyDescent="0.3">
      <c r="A167" s="97" t="s">
        <v>91</v>
      </c>
      <c r="B167" s="392">
        <v>3000002657</v>
      </c>
      <c r="C167" s="98">
        <v>45331</v>
      </c>
      <c r="D167" s="99" t="s">
        <v>90</v>
      </c>
      <c r="E167" s="100" t="s">
        <v>63</v>
      </c>
      <c r="F167" s="100"/>
      <c r="G167" s="99"/>
      <c r="H167" s="102">
        <v>4</v>
      </c>
      <c r="I167" s="103">
        <v>47.251899999999999</v>
      </c>
      <c r="J167" s="104">
        <f>H167*I167</f>
        <v>189.0076</v>
      </c>
      <c r="K167" s="104">
        <f t="shared" si="16"/>
        <v>226.80911999999998</v>
      </c>
      <c r="L167" s="104">
        <v>226.81</v>
      </c>
      <c r="M167" s="107">
        <v>45350</v>
      </c>
      <c r="N167" s="106">
        <f>+Table6[[#This Row],[стойност с ДДС]]-Table6[[#This Row],[плащане]]</f>
        <v>-8.8000000002352863E-4</v>
      </c>
      <c r="O167" s="208">
        <v>45336</v>
      </c>
    </row>
    <row r="168" spans="1:15" ht="20.100000000000001" customHeight="1" collapsed="1" x14ac:dyDescent="0.3">
      <c r="A168" s="97" t="s">
        <v>82</v>
      </c>
      <c r="B168" s="392">
        <v>3000002668</v>
      </c>
      <c r="C168" s="98">
        <v>45342</v>
      </c>
      <c r="D168" s="99"/>
      <c r="E168" s="100" t="s">
        <v>58</v>
      </c>
      <c r="F168" s="101"/>
      <c r="G168" s="99"/>
      <c r="H168" s="102">
        <v>1</v>
      </c>
      <c r="I168" s="103">
        <v>220.93</v>
      </c>
      <c r="J168" s="134">
        <f>+I168</f>
        <v>220.93</v>
      </c>
      <c r="K168" s="104">
        <f t="shared" si="16"/>
        <v>265.11599999999999</v>
      </c>
      <c r="L168" s="104">
        <v>265.12</v>
      </c>
      <c r="M168" s="107">
        <v>45352</v>
      </c>
      <c r="N168" s="106">
        <f>+Table6[[#This Row],[стойност с ДДС]]-Table6[[#This Row],[плащане]]</f>
        <v>-4.0000000000190994E-3</v>
      </c>
      <c r="O168" s="208">
        <v>45336</v>
      </c>
    </row>
    <row r="169" spans="1:15" ht="20.100000000000001" customHeight="1" x14ac:dyDescent="0.3">
      <c r="A169" s="97" t="s">
        <v>75</v>
      </c>
      <c r="B169" s="392">
        <v>3000002669</v>
      </c>
      <c r="C169" s="98">
        <v>45342</v>
      </c>
      <c r="D169" s="99" t="s">
        <v>90</v>
      </c>
      <c r="E169" s="132" t="s">
        <v>33</v>
      </c>
      <c r="F169" s="118"/>
      <c r="G169" s="99"/>
      <c r="H169" s="102"/>
      <c r="I169" s="103">
        <v>35765.01</v>
      </c>
      <c r="J169" s="104">
        <f>+I169</f>
        <v>35765.01</v>
      </c>
      <c r="K169" s="104">
        <f>+J169*1.2</f>
        <v>42918.012000000002</v>
      </c>
      <c r="L169" s="104">
        <v>42918.01</v>
      </c>
      <c r="M169" s="107">
        <v>45352</v>
      </c>
      <c r="N169" s="106">
        <f>+Table6[[#This Row],[стойност с ДДС]]-Table6[[#This Row],[плащане]]</f>
        <v>2.0000000004074536E-3</v>
      </c>
      <c r="O169" s="208">
        <v>45336</v>
      </c>
    </row>
    <row r="170" spans="1:15" ht="20.100000000000001" customHeight="1" x14ac:dyDescent="0.3">
      <c r="A170" s="97" t="s">
        <v>72</v>
      </c>
      <c r="B170" s="392">
        <v>3000002653</v>
      </c>
      <c r="C170" s="98">
        <v>45331</v>
      </c>
      <c r="D170" s="99" t="s">
        <v>90</v>
      </c>
      <c r="E170" s="132" t="s">
        <v>33</v>
      </c>
      <c r="F170" s="118"/>
      <c r="G170" s="99"/>
      <c r="H170" s="102"/>
      <c r="I170" s="103">
        <v>16805.7</v>
      </c>
      <c r="J170" s="104">
        <f>+I170</f>
        <v>16805.7</v>
      </c>
      <c r="K170" s="104">
        <f>+J170*1.2</f>
        <v>20166.84</v>
      </c>
      <c r="L170" s="104">
        <v>20166.84</v>
      </c>
      <c r="M170" s="107">
        <v>45348</v>
      </c>
      <c r="N170" s="106">
        <f>+Table6[[#This Row],[стойност с ДДС]]-Table6[[#This Row],[плащане]]</f>
        <v>0</v>
      </c>
      <c r="O170" s="208">
        <v>45336</v>
      </c>
    </row>
    <row r="171" spans="1:15" ht="20.100000000000001" customHeight="1" x14ac:dyDescent="0.3">
      <c r="A171" s="97" t="s">
        <v>72</v>
      </c>
      <c r="B171" s="392">
        <v>3000002653</v>
      </c>
      <c r="C171" s="98">
        <v>45331</v>
      </c>
      <c r="D171" s="99"/>
      <c r="E171" s="132" t="s">
        <v>76</v>
      </c>
      <c r="F171" s="100"/>
      <c r="G171" s="99"/>
      <c r="H171" s="102">
        <v>18</v>
      </c>
      <c r="I171" s="103">
        <v>25.1753</v>
      </c>
      <c r="J171" s="104">
        <f>+H171*I171</f>
        <v>453.15539999999999</v>
      </c>
      <c r="K171" s="104">
        <f>+J171*1.2</f>
        <v>543.78647999999998</v>
      </c>
      <c r="L171" s="104">
        <v>54.79</v>
      </c>
      <c r="M171" s="107">
        <v>45348</v>
      </c>
      <c r="N171" s="106">
        <f>+Table6[[#This Row],[стойност с ДДС]]-Table6[[#This Row],[плащане]]</f>
        <v>488.99647999999996</v>
      </c>
      <c r="O171" s="208">
        <v>45336</v>
      </c>
    </row>
    <row r="172" spans="1:15" ht="20.100000000000001" customHeight="1" x14ac:dyDescent="0.3">
      <c r="A172" s="97" t="s">
        <v>72</v>
      </c>
      <c r="B172" s="392">
        <v>3000002653</v>
      </c>
      <c r="C172" s="98">
        <v>45331</v>
      </c>
      <c r="D172" s="99"/>
      <c r="E172" s="100" t="s">
        <v>63</v>
      </c>
      <c r="F172" s="100"/>
      <c r="G172" s="99"/>
      <c r="H172" s="102">
        <v>4.5</v>
      </c>
      <c r="I172" s="103">
        <v>47.251899999999999</v>
      </c>
      <c r="J172" s="104">
        <f>+H172*I172</f>
        <v>212.63354999999999</v>
      </c>
      <c r="K172" s="104">
        <f>+J172*1.2</f>
        <v>255.16025999999997</v>
      </c>
      <c r="L172" s="104">
        <v>255.16</v>
      </c>
      <c r="M172" s="107">
        <v>45348</v>
      </c>
      <c r="N172" s="106">
        <f>+Table6[[#This Row],[стойност с ДДС]]-Table6[[#This Row],[плащане]]</f>
        <v>2.5999999996884071E-4</v>
      </c>
      <c r="O172" s="208">
        <v>45336</v>
      </c>
    </row>
    <row r="173" spans="1:15" ht="20.100000000000001" customHeight="1" collapsed="1" x14ac:dyDescent="0.3">
      <c r="A173" s="97" t="s">
        <v>98</v>
      </c>
      <c r="B173" s="392">
        <v>3000002670</v>
      </c>
      <c r="C173" s="98">
        <v>45342</v>
      </c>
      <c r="D173" s="99" t="s">
        <v>90</v>
      </c>
      <c r="E173" s="132" t="s">
        <v>33</v>
      </c>
      <c r="F173" s="101"/>
      <c r="G173" s="99"/>
      <c r="H173" s="102">
        <v>1</v>
      </c>
      <c r="I173" s="103">
        <v>53698.87</v>
      </c>
      <c r="J173" s="104">
        <f>+I173</f>
        <v>53698.87</v>
      </c>
      <c r="K173" s="104">
        <f>J173*1.2</f>
        <v>64438.644</v>
      </c>
      <c r="L173" s="104">
        <v>64438.64</v>
      </c>
      <c r="M173" s="107">
        <v>45346</v>
      </c>
      <c r="N173" s="106">
        <f>+Table6[[#This Row],[стойност с ДДС]]-Table6[[#This Row],[плащане]]</f>
        <v>4.0000000008149073E-3</v>
      </c>
      <c r="O173" s="208">
        <v>45336</v>
      </c>
    </row>
    <row r="174" spans="1:15" ht="20.100000000000001" customHeight="1" x14ac:dyDescent="0.3">
      <c r="A174" s="97" t="s">
        <v>80</v>
      </c>
      <c r="B174" s="392">
        <v>3000002671</v>
      </c>
      <c r="C174" s="98">
        <v>45342</v>
      </c>
      <c r="D174" s="99" t="s">
        <v>90</v>
      </c>
      <c r="E174" s="132" t="s">
        <v>33</v>
      </c>
      <c r="F174" s="118"/>
      <c r="G174" s="99"/>
      <c r="H174" s="102"/>
      <c r="I174" s="103">
        <v>64858</v>
      </c>
      <c r="J174" s="104">
        <f>+I174</f>
        <v>64858</v>
      </c>
      <c r="K174" s="104">
        <f>J174*1.2</f>
        <v>77829.599999999991</v>
      </c>
      <c r="L174" s="104">
        <v>77829.600000000006</v>
      </c>
      <c r="M174" s="107">
        <v>45350</v>
      </c>
      <c r="N174" s="106">
        <f>+Table6[[#This Row],[стойност с ДДС]]-Table6[[#This Row],[плащане]]</f>
        <v>0</v>
      </c>
      <c r="O174" s="208">
        <v>45336</v>
      </c>
    </row>
    <row r="175" spans="1:15" ht="20.100000000000001" customHeight="1" x14ac:dyDescent="0.3">
      <c r="A175" s="116" t="s">
        <v>69</v>
      </c>
      <c r="B175" s="392">
        <v>3000002656</v>
      </c>
      <c r="C175" s="98">
        <v>45331</v>
      </c>
      <c r="D175" s="99" t="s">
        <v>90</v>
      </c>
      <c r="E175" s="132" t="s">
        <v>33</v>
      </c>
      <c r="F175" s="118"/>
      <c r="G175" s="99"/>
      <c r="H175" s="102"/>
      <c r="I175" s="103">
        <v>13481.82</v>
      </c>
      <c r="J175" s="104">
        <f>+I175</f>
        <v>13481.82</v>
      </c>
      <c r="K175" s="104">
        <f>+J175*1.2</f>
        <v>16178.183999999999</v>
      </c>
      <c r="L175" s="104">
        <v>16178.18</v>
      </c>
      <c r="M175" s="107">
        <v>45350</v>
      </c>
      <c r="N175" s="106">
        <f>+Table6[[#This Row],[стойност с ДДС]]-Table6[[#This Row],[плащане]]</f>
        <v>3.9999999989959178E-3</v>
      </c>
      <c r="O175" s="208">
        <v>45336</v>
      </c>
    </row>
    <row r="176" spans="1:15" ht="20.100000000000001" customHeight="1" x14ac:dyDescent="0.3">
      <c r="A176" s="116" t="s">
        <v>69</v>
      </c>
      <c r="B176" s="392">
        <v>3000002656</v>
      </c>
      <c r="C176" s="98">
        <v>45331</v>
      </c>
      <c r="D176" s="99"/>
      <c r="E176" s="132" t="s">
        <v>76</v>
      </c>
      <c r="F176" s="100"/>
      <c r="G176" s="99"/>
      <c r="H176" s="102">
        <v>20</v>
      </c>
      <c r="I176" s="103">
        <v>25.1753</v>
      </c>
      <c r="J176" s="104">
        <f>+H176*I176</f>
        <v>503.50599999999997</v>
      </c>
      <c r="K176" s="104">
        <f>+J176*1.2</f>
        <v>604.20719999999994</v>
      </c>
      <c r="L176" s="104">
        <v>604.21</v>
      </c>
      <c r="M176" s="107">
        <v>45350</v>
      </c>
      <c r="N176" s="106">
        <f>+Table6[[#This Row],[стойност с ДДС]]-Table6[[#This Row],[плащане]]</f>
        <v>-2.8000000000929504E-3</v>
      </c>
      <c r="O176" s="208">
        <v>45336</v>
      </c>
    </row>
    <row r="177" spans="1:15" ht="20.100000000000001" customHeight="1" x14ac:dyDescent="0.3">
      <c r="A177" s="116" t="s">
        <v>69</v>
      </c>
      <c r="B177" s="392">
        <v>3000002656</v>
      </c>
      <c r="C177" s="98">
        <v>45331</v>
      </c>
      <c r="D177" s="99"/>
      <c r="E177" s="100" t="s">
        <v>63</v>
      </c>
      <c r="F177" s="100"/>
      <c r="G177" s="99"/>
      <c r="H177" s="102">
        <v>7</v>
      </c>
      <c r="I177" s="103">
        <v>47.251899999999999</v>
      </c>
      <c r="J177" s="104">
        <f>+H177*I177</f>
        <v>330.76330000000002</v>
      </c>
      <c r="K177" s="104">
        <f>+J177*1.2</f>
        <v>396.91595999999998</v>
      </c>
      <c r="L177" s="104">
        <v>396.92</v>
      </c>
      <c r="M177" s="107">
        <v>45350</v>
      </c>
      <c r="N177" s="106">
        <f>+Table6[[#This Row],[стойност с ДДС]]-Table6[[#This Row],[плащане]]</f>
        <v>-4.0400000000317959E-3</v>
      </c>
      <c r="O177" s="208">
        <v>45336</v>
      </c>
    </row>
    <row r="178" spans="1:15" ht="20.100000000000001" customHeight="1" collapsed="1" x14ac:dyDescent="0.3">
      <c r="A178" s="116" t="s">
        <v>92</v>
      </c>
      <c r="B178" s="392">
        <v>3000002672</v>
      </c>
      <c r="C178" s="98">
        <v>45342</v>
      </c>
      <c r="D178" s="99" t="s">
        <v>90</v>
      </c>
      <c r="E178" s="132" t="s">
        <v>33</v>
      </c>
      <c r="F178" s="101"/>
      <c r="G178" s="99"/>
      <c r="H178" s="102"/>
      <c r="I178" s="103">
        <v>1725.3</v>
      </c>
      <c r="J178" s="104">
        <f>+I178</f>
        <v>1725.3</v>
      </c>
      <c r="K178" s="104">
        <f t="shared" ref="K178:K185" si="17">J178*1.2</f>
        <v>2070.3599999999997</v>
      </c>
      <c r="L178" s="104">
        <v>2070.36</v>
      </c>
      <c r="M178" s="107">
        <v>45350</v>
      </c>
      <c r="N178" s="106">
        <f>+Table6[[#This Row],[стойност с ДДС]]-Table6[[#This Row],[плащане]]</f>
        <v>0</v>
      </c>
      <c r="O178" s="208">
        <v>45336</v>
      </c>
    </row>
    <row r="179" spans="1:15" ht="20.100000000000001" customHeight="1" x14ac:dyDescent="0.3">
      <c r="A179" s="116" t="s">
        <v>89</v>
      </c>
      <c r="B179" s="392">
        <v>3000002673</v>
      </c>
      <c r="C179" s="98">
        <v>45342</v>
      </c>
      <c r="D179" s="99" t="s">
        <v>90</v>
      </c>
      <c r="E179" s="132" t="s">
        <v>33</v>
      </c>
      <c r="F179" s="118"/>
      <c r="G179" s="99"/>
      <c r="H179" s="102"/>
      <c r="I179" s="103">
        <v>958.5</v>
      </c>
      <c r="J179" s="104">
        <f>+I179</f>
        <v>958.5</v>
      </c>
      <c r="K179" s="104">
        <f t="shared" si="17"/>
        <v>1150.2</v>
      </c>
      <c r="L179" s="104">
        <v>1150.2</v>
      </c>
      <c r="M179" s="107">
        <v>45350</v>
      </c>
      <c r="N179" s="106">
        <f>+Table6[[#This Row],[стойност с ДДС]]-Table6[[#This Row],[плащане]]</f>
        <v>0</v>
      </c>
      <c r="O179" s="208">
        <v>45336</v>
      </c>
    </row>
    <row r="180" spans="1:15" ht="20.100000000000001" customHeight="1" x14ac:dyDescent="0.3">
      <c r="A180" s="97" t="s">
        <v>94</v>
      </c>
      <c r="B180" s="392">
        <v>3000002655</v>
      </c>
      <c r="C180" s="98">
        <v>45331</v>
      </c>
      <c r="D180" s="99" t="s">
        <v>90</v>
      </c>
      <c r="E180" s="132" t="s">
        <v>33</v>
      </c>
      <c r="F180" s="118"/>
      <c r="G180" s="99"/>
      <c r="H180" s="102"/>
      <c r="I180" s="103">
        <v>324.29000000000002</v>
      </c>
      <c r="J180" s="104">
        <f>+I180</f>
        <v>324.29000000000002</v>
      </c>
      <c r="K180" s="104">
        <f t="shared" si="17"/>
        <v>389.14800000000002</v>
      </c>
      <c r="L180" s="104">
        <v>389.15</v>
      </c>
      <c r="M180" s="107">
        <v>45352</v>
      </c>
      <c r="N180" s="106">
        <f>+Table6[[#This Row],[стойност с ДДС]]-Table6[[#This Row],[плащане]]</f>
        <v>-1.9999999999527063E-3</v>
      </c>
      <c r="O180" s="208">
        <v>45336</v>
      </c>
    </row>
    <row r="181" spans="1:15" ht="20.100000000000001" customHeight="1" x14ac:dyDescent="0.3">
      <c r="A181" s="97" t="s">
        <v>94</v>
      </c>
      <c r="B181" s="392">
        <v>3000002655</v>
      </c>
      <c r="C181" s="98">
        <v>45331</v>
      </c>
      <c r="D181" s="99" t="s">
        <v>90</v>
      </c>
      <c r="E181" s="100" t="s">
        <v>63</v>
      </c>
      <c r="F181" s="101"/>
      <c r="G181" s="99"/>
      <c r="H181" s="102">
        <v>0.35</v>
      </c>
      <c r="I181" s="103">
        <v>47.251899999999999</v>
      </c>
      <c r="J181" s="104">
        <f>H181*I181</f>
        <v>16.538164999999999</v>
      </c>
      <c r="K181" s="104">
        <f t="shared" si="17"/>
        <v>19.845797999999998</v>
      </c>
      <c r="L181" s="104">
        <v>19.850000000000001</v>
      </c>
      <c r="M181" s="107">
        <v>45344</v>
      </c>
      <c r="N181" s="106">
        <f>+Table6[[#This Row],[стойност с ДДС]]-Table6[[#This Row],[плащане]]</f>
        <v>-4.2020000000029256E-3</v>
      </c>
      <c r="O181" s="208">
        <v>45336</v>
      </c>
    </row>
    <row r="182" spans="1:15" ht="20.100000000000001" customHeight="1" collapsed="1" x14ac:dyDescent="0.3">
      <c r="A182" s="97" t="s">
        <v>62</v>
      </c>
      <c r="B182" s="392">
        <v>3000002674</v>
      </c>
      <c r="C182" s="98">
        <v>45343</v>
      </c>
      <c r="D182" s="99" t="s">
        <v>97</v>
      </c>
      <c r="E182" s="132" t="s">
        <v>53</v>
      </c>
      <c r="F182" s="100"/>
      <c r="G182" s="99"/>
      <c r="H182" s="102">
        <v>62059.601000000002</v>
      </c>
      <c r="I182" s="103">
        <v>71.08</v>
      </c>
      <c r="J182" s="115">
        <f>ROUND(+H182*I182,2)</f>
        <v>4411196.4400000004</v>
      </c>
      <c r="K182" s="104">
        <f t="shared" si="17"/>
        <v>5293435.7280000001</v>
      </c>
      <c r="L182" s="104">
        <v>5293435.7300000004</v>
      </c>
      <c r="M182" s="107">
        <v>45345</v>
      </c>
      <c r="N182" s="106">
        <f>+Table6[[#This Row],[стойност с ДДС]]-Table6[[#This Row],[плащане]]</f>
        <v>-2.0000003278255463E-3</v>
      </c>
      <c r="O182" s="208">
        <v>45336</v>
      </c>
    </row>
    <row r="183" spans="1:15" ht="20.100000000000001" customHeight="1" x14ac:dyDescent="0.3">
      <c r="A183" s="97" t="s">
        <v>50</v>
      </c>
      <c r="B183" s="392">
        <v>3000002675</v>
      </c>
      <c r="C183" s="98">
        <v>45343</v>
      </c>
      <c r="D183" s="99" t="s">
        <v>97</v>
      </c>
      <c r="E183" s="100" t="s">
        <v>53</v>
      </c>
      <c r="F183" s="135"/>
      <c r="G183" s="99"/>
      <c r="H183" s="102">
        <v>9187.4120000000003</v>
      </c>
      <c r="I183" s="103">
        <v>71.08</v>
      </c>
      <c r="J183" s="104">
        <f>ROUND(+H183*I183,2)</f>
        <v>653041.24</v>
      </c>
      <c r="K183" s="104">
        <f t="shared" si="17"/>
        <v>783649.48800000001</v>
      </c>
      <c r="L183" s="104">
        <v>783649.49</v>
      </c>
      <c r="M183" s="107">
        <v>45345</v>
      </c>
      <c r="N183" s="106">
        <f>+Table6[[#This Row],[стойност с ДДС]]-Table6[[#This Row],[плащане]]</f>
        <v>-1.9999999785795808E-3</v>
      </c>
      <c r="O183" s="208">
        <v>45336</v>
      </c>
    </row>
    <row r="184" spans="1:15" ht="20.100000000000001" customHeight="1" x14ac:dyDescent="0.3">
      <c r="A184" s="116" t="s">
        <v>49</v>
      </c>
      <c r="B184" s="394">
        <v>3000002710</v>
      </c>
      <c r="C184" s="117">
        <v>45363</v>
      </c>
      <c r="D184" s="116"/>
      <c r="E184" s="132" t="s">
        <v>33</v>
      </c>
      <c r="F184" s="101"/>
      <c r="G184" s="97"/>
      <c r="H184" s="113">
        <v>1</v>
      </c>
      <c r="I184" s="114">
        <v>1604.33</v>
      </c>
      <c r="J184" s="115">
        <f>ROUND(+H184*I184,2)</f>
        <v>1604.33</v>
      </c>
      <c r="K184" s="115">
        <f t="shared" si="17"/>
        <v>1925.1959999999999</v>
      </c>
      <c r="L184" s="104">
        <v>1925.2</v>
      </c>
      <c r="M184" s="107">
        <v>45373</v>
      </c>
      <c r="N184" s="115">
        <f>+Table6[[#This Row],[стойност с ДДС]]-Table6[[#This Row],[плащане]]</f>
        <v>-4.0000000001327862E-3</v>
      </c>
      <c r="O184" s="208">
        <v>45336</v>
      </c>
    </row>
    <row r="185" spans="1:15" ht="20.100000000000001" customHeight="1" x14ac:dyDescent="0.3">
      <c r="A185" s="116" t="s">
        <v>49</v>
      </c>
      <c r="B185" s="394">
        <v>3000002710</v>
      </c>
      <c r="C185" s="117">
        <v>45363</v>
      </c>
      <c r="D185" s="116"/>
      <c r="E185" s="97" t="s">
        <v>63</v>
      </c>
      <c r="F185" s="101"/>
      <c r="G185" s="97"/>
      <c r="H185" s="113">
        <v>1.88</v>
      </c>
      <c r="I185" s="114">
        <v>39.405500000000004</v>
      </c>
      <c r="J185" s="115">
        <f>ROUND(+H185*I185,2)</f>
        <v>74.08</v>
      </c>
      <c r="K185" s="115">
        <f t="shared" si="17"/>
        <v>88.896000000000001</v>
      </c>
      <c r="L185" s="104">
        <v>88.9</v>
      </c>
      <c r="M185" s="107">
        <v>45373</v>
      </c>
      <c r="N185" s="115">
        <f>+Table6[[#This Row],[стойност с ДДС]]-Table6[[#This Row],[плащане]]</f>
        <v>-4.0000000000048885E-3</v>
      </c>
      <c r="O185" s="208">
        <v>45336</v>
      </c>
    </row>
    <row r="186" spans="1:15" ht="20.100000000000001" customHeight="1" collapsed="1" x14ac:dyDescent="0.3">
      <c r="A186" s="116" t="s">
        <v>64</v>
      </c>
      <c r="B186" s="397" t="s">
        <v>95</v>
      </c>
      <c r="C186" s="136">
        <v>45331</v>
      </c>
      <c r="D186" s="99"/>
      <c r="E186" s="100" t="s">
        <v>53</v>
      </c>
      <c r="F186" s="100"/>
      <c r="G186" s="99"/>
      <c r="H186" s="102"/>
      <c r="I186" s="103"/>
      <c r="J186" s="115"/>
      <c r="K186" s="104"/>
      <c r="L186" s="104"/>
      <c r="M186" s="107">
        <v>45349</v>
      </c>
      <c r="N186" s="115">
        <f>+Table6[[#This Row],[стойност с ДДС]]-Table6[[#This Row],[плащане]]</f>
        <v>0</v>
      </c>
      <c r="O186" s="208">
        <v>45336</v>
      </c>
    </row>
    <row r="187" spans="1:15" ht="20.100000000000001" customHeight="1" x14ac:dyDescent="0.3">
      <c r="A187" s="116" t="s">
        <v>62</v>
      </c>
      <c r="B187" s="397" t="s">
        <v>93</v>
      </c>
      <c r="C187" s="136">
        <v>45331</v>
      </c>
      <c r="D187" s="112"/>
      <c r="E187" s="100" t="s">
        <v>53</v>
      </c>
      <c r="F187" s="100"/>
      <c r="G187" s="99"/>
      <c r="H187" s="102"/>
      <c r="I187" s="103"/>
      <c r="J187" s="104"/>
      <c r="K187" s="104"/>
      <c r="L187" s="104"/>
      <c r="M187" s="107">
        <v>45349</v>
      </c>
      <c r="N187" s="115">
        <f>+Table6[[#This Row],[стойност с ДДС]]-Table6[[#This Row],[плащане]]</f>
        <v>0</v>
      </c>
      <c r="O187" s="208">
        <v>45336</v>
      </c>
    </row>
    <row r="188" spans="1:15" ht="20.100000000000001" customHeight="1" x14ac:dyDescent="0.3">
      <c r="A188" s="116" t="s">
        <v>64</v>
      </c>
      <c r="B188" s="397" t="s">
        <v>96</v>
      </c>
      <c r="C188" s="136">
        <v>45343</v>
      </c>
      <c r="D188" s="112"/>
      <c r="E188" s="100" t="s">
        <v>53</v>
      </c>
      <c r="F188" s="100"/>
      <c r="G188" s="99"/>
      <c r="H188" s="102"/>
      <c r="I188" s="103"/>
      <c r="J188" s="104">
        <v>648350.89</v>
      </c>
      <c r="K188" s="104">
        <f t="shared" ref="K188:K196" si="18">J188*1.2</f>
        <v>778021.06799999997</v>
      </c>
      <c r="L188" s="104">
        <v>778021.07</v>
      </c>
      <c r="M188" s="107">
        <v>45349</v>
      </c>
      <c r="N188" s="115">
        <f>+Table6[[#This Row],[стойност с ДДС]]-Table6[[#This Row],[плащане]]</f>
        <v>-1.9999999785795808E-3</v>
      </c>
      <c r="O188" s="208">
        <v>45336</v>
      </c>
    </row>
    <row r="189" spans="1:15" ht="20.100000000000001" customHeight="1" x14ac:dyDescent="0.3">
      <c r="A189" s="97" t="s">
        <v>67</v>
      </c>
      <c r="B189" s="392">
        <v>3000002677</v>
      </c>
      <c r="C189" s="98">
        <v>45343</v>
      </c>
      <c r="D189" s="99" t="s">
        <v>97</v>
      </c>
      <c r="E189" s="132" t="s">
        <v>53</v>
      </c>
      <c r="F189" s="135"/>
      <c r="G189" s="99"/>
      <c r="H189" s="102">
        <v>4362.63</v>
      </c>
      <c r="I189" s="103">
        <v>71.08</v>
      </c>
      <c r="J189" s="104">
        <f>ROUND(+H189*I189,2)</f>
        <v>310095.74</v>
      </c>
      <c r="K189" s="104">
        <f t="shared" si="18"/>
        <v>372114.88799999998</v>
      </c>
      <c r="L189" s="104">
        <v>372114.89</v>
      </c>
      <c r="M189" s="107">
        <v>45349</v>
      </c>
      <c r="N189" s="106">
        <f>+Table6[[#This Row],[стойност с ДДС]]-Table6[[#This Row],[плащане]]</f>
        <v>-2.0000000367872417E-3</v>
      </c>
      <c r="O189" s="208">
        <v>45336</v>
      </c>
    </row>
    <row r="190" spans="1:15" ht="20.100000000000001" customHeight="1" x14ac:dyDescent="0.3">
      <c r="A190" s="97" t="s">
        <v>99</v>
      </c>
      <c r="B190" s="393">
        <v>3000002678</v>
      </c>
      <c r="C190" s="110">
        <v>45351</v>
      </c>
      <c r="D190" s="97"/>
      <c r="E190" s="137" t="s">
        <v>100</v>
      </c>
      <c r="F190" s="118"/>
      <c r="G190" s="97"/>
      <c r="H190" s="113">
        <v>690.9</v>
      </c>
      <c r="I190" s="114">
        <v>47.717350000000003</v>
      </c>
      <c r="J190" s="115">
        <f>ROUND(+H190*I190,2)</f>
        <v>32967.919999999998</v>
      </c>
      <c r="K190" s="115">
        <f t="shared" si="18"/>
        <v>39561.503999999994</v>
      </c>
      <c r="L190" s="104">
        <v>39561.5</v>
      </c>
      <c r="M190" s="107">
        <v>45355</v>
      </c>
      <c r="N190" s="106">
        <f>+Table6[[#This Row],[стойност с ДДС]]-Table6[[#This Row],[плащане]]</f>
        <v>3.9999999935389496E-3</v>
      </c>
      <c r="O190" s="208">
        <v>45336</v>
      </c>
    </row>
    <row r="191" spans="1:15" ht="20.100000000000001" customHeight="1" x14ac:dyDescent="0.3">
      <c r="A191" s="97" t="s">
        <v>50</v>
      </c>
      <c r="B191" s="393">
        <v>3000002679</v>
      </c>
      <c r="C191" s="110">
        <v>45351</v>
      </c>
      <c r="D191" s="97"/>
      <c r="E191" s="111" t="s">
        <v>54</v>
      </c>
      <c r="F191" s="118"/>
      <c r="G191" s="97"/>
      <c r="H191" s="113">
        <v>1</v>
      </c>
      <c r="I191" s="114">
        <v>23809.95</v>
      </c>
      <c r="J191" s="115">
        <f>ROUND(+H191*I191,2)</f>
        <v>23809.95</v>
      </c>
      <c r="K191" s="115">
        <f t="shared" si="18"/>
        <v>28571.94</v>
      </c>
      <c r="L191" s="115">
        <v>28571.94</v>
      </c>
      <c r="M191" s="107">
        <v>45355</v>
      </c>
      <c r="N191" s="106">
        <f>+Table6[[#This Row],[стойност с ДДС]]-Table6[[#This Row],[плащане]]</f>
        <v>0</v>
      </c>
      <c r="O191" s="208">
        <v>45336</v>
      </c>
    </row>
    <row r="192" spans="1:15" ht="20.100000000000001" customHeight="1" x14ac:dyDescent="0.3">
      <c r="A192" s="97" t="s">
        <v>50</v>
      </c>
      <c r="B192" s="393">
        <v>3000002679</v>
      </c>
      <c r="C192" s="110">
        <v>45351</v>
      </c>
      <c r="D192" s="138"/>
      <c r="E192" s="100" t="s">
        <v>53</v>
      </c>
      <c r="F192" s="101"/>
      <c r="G192" s="97"/>
      <c r="H192" s="113">
        <v>3525.2820000000002</v>
      </c>
      <c r="I192" s="114">
        <v>71.08</v>
      </c>
      <c r="J192" s="115">
        <f>ROUND(+H192*I192,2)</f>
        <v>250577.04</v>
      </c>
      <c r="K192" s="115">
        <f t="shared" si="18"/>
        <v>300692.44799999997</v>
      </c>
      <c r="L192" s="115">
        <v>300692.45</v>
      </c>
      <c r="M192" s="107">
        <v>45355</v>
      </c>
      <c r="N192" s="106">
        <f>+Table6[[#This Row],[стойност с ДДС]]-Table6[[#This Row],[плащане]]</f>
        <v>-2.0000000367872417E-3</v>
      </c>
      <c r="O192" s="208">
        <v>45336</v>
      </c>
    </row>
    <row r="193" spans="1:15" ht="20.100000000000001" customHeight="1" x14ac:dyDescent="0.3">
      <c r="A193" s="97" t="s">
        <v>49</v>
      </c>
      <c r="B193" s="392">
        <v>3000002654</v>
      </c>
      <c r="C193" s="98">
        <v>45331</v>
      </c>
      <c r="D193" s="99" t="s">
        <v>90</v>
      </c>
      <c r="E193" s="132" t="s">
        <v>33</v>
      </c>
      <c r="F193" s="118"/>
      <c r="G193" s="99"/>
      <c r="H193" s="102"/>
      <c r="I193" s="103">
        <v>1699.74</v>
      </c>
      <c r="J193" s="104">
        <f>+I193</f>
        <v>1699.74</v>
      </c>
      <c r="K193" s="104">
        <f t="shared" si="18"/>
        <v>2039.6879999999999</v>
      </c>
      <c r="L193" s="104">
        <v>2039.69</v>
      </c>
      <c r="M193" s="107">
        <v>45342</v>
      </c>
      <c r="N193" s="106">
        <f>+Table6[[#This Row],[стойност с ДДС]]-Table6[[#This Row],[плащане]]</f>
        <v>-2.00000000018008E-3</v>
      </c>
      <c r="O193" s="208">
        <v>45336</v>
      </c>
    </row>
    <row r="194" spans="1:15" ht="20.100000000000001" customHeight="1" x14ac:dyDescent="0.3">
      <c r="A194" s="97" t="s">
        <v>49</v>
      </c>
      <c r="B194" s="392">
        <v>3000002654</v>
      </c>
      <c r="C194" s="98">
        <v>45331</v>
      </c>
      <c r="D194" s="99" t="s">
        <v>90</v>
      </c>
      <c r="E194" s="132" t="s">
        <v>63</v>
      </c>
      <c r="F194" s="100"/>
      <c r="G194" s="99"/>
      <c r="H194" s="102">
        <v>1.83</v>
      </c>
      <c r="I194" s="103">
        <v>47.251899999999999</v>
      </c>
      <c r="J194" s="104">
        <f>H194*I194</f>
        <v>86.470977000000005</v>
      </c>
      <c r="K194" s="104">
        <f t="shared" si="18"/>
        <v>103.7651724</v>
      </c>
      <c r="L194" s="104">
        <v>103.77</v>
      </c>
      <c r="M194" s="107">
        <v>45342</v>
      </c>
      <c r="N194" s="106">
        <f>+Table6[[#This Row],[стойност с ДДС]]-Table6[[#This Row],[плащане]]</f>
        <v>-4.8275999999987107E-3</v>
      </c>
      <c r="O194" s="208">
        <v>45336</v>
      </c>
    </row>
    <row r="195" spans="1:15" ht="20.100000000000001" customHeight="1" collapsed="1" x14ac:dyDescent="0.3">
      <c r="A195" s="97" t="s">
        <v>50</v>
      </c>
      <c r="B195" s="393">
        <v>3000002679</v>
      </c>
      <c r="C195" s="110">
        <v>45351</v>
      </c>
      <c r="D195" s="97"/>
      <c r="E195" s="139" t="s">
        <v>55</v>
      </c>
      <c r="F195" s="101"/>
      <c r="G195" s="97"/>
      <c r="H195" s="113">
        <v>367</v>
      </c>
      <c r="I195" s="114">
        <v>7.3657000000000004</v>
      </c>
      <c r="J195" s="115">
        <f>ROUND(+H195*I195,2)</f>
        <v>2703.21</v>
      </c>
      <c r="K195" s="115">
        <f t="shared" si="18"/>
        <v>3243.8519999999999</v>
      </c>
      <c r="L195" s="115">
        <v>3243.85</v>
      </c>
      <c r="M195" s="107">
        <v>45355</v>
      </c>
      <c r="N195" s="106">
        <f>+Table6[[#This Row],[стойност с ДДС]]-Table6[[#This Row],[плащане]]</f>
        <v>1.9999999999527063E-3</v>
      </c>
      <c r="O195" s="208">
        <v>45336</v>
      </c>
    </row>
    <row r="196" spans="1:15" ht="20.100000000000001" customHeight="1" x14ac:dyDescent="0.3">
      <c r="A196" s="97" t="s">
        <v>50</v>
      </c>
      <c r="B196" s="393">
        <v>3000002679</v>
      </c>
      <c r="C196" s="110">
        <v>45351</v>
      </c>
      <c r="D196" s="138"/>
      <c r="E196" s="139" t="s">
        <v>57</v>
      </c>
      <c r="F196" s="101"/>
      <c r="G196" s="97"/>
      <c r="H196" s="113">
        <v>880</v>
      </c>
      <c r="I196" s="114">
        <v>5.8925999999999998</v>
      </c>
      <c r="J196" s="115">
        <f>ROUND(+H196*I196,2)</f>
        <v>5185.49</v>
      </c>
      <c r="K196" s="115">
        <f t="shared" si="18"/>
        <v>6222.5879999999997</v>
      </c>
      <c r="L196" s="115">
        <v>6222.59</v>
      </c>
      <c r="M196" s="107">
        <v>45355</v>
      </c>
      <c r="N196" s="106">
        <f>+Table6[[#This Row],[стойност с ДДС]]-Table6[[#This Row],[плащане]]</f>
        <v>-2.0000000004074536E-3</v>
      </c>
      <c r="O196" s="208">
        <v>45336</v>
      </c>
    </row>
    <row r="197" spans="1:15" ht="20.100000000000001" customHeight="1" x14ac:dyDescent="0.3">
      <c r="A197" s="116" t="s">
        <v>75</v>
      </c>
      <c r="B197" s="392">
        <v>3000002660</v>
      </c>
      <c r="C197" s="98">
        <v>45331</v>
      </c>
      <c r="D197" s="131" t="s">
        <v>90</v>
      </c>
      <c r="E197" s="132" t="s">
        <v>33</v>
      </c>
      <c r="F197" s="101"/>
      <c r="G197" s="99"/>
      <c r="H197" s="102"/>
      <c r="I197" s="103">
        <v>35765.01</v>
      </c>
      <c r="J197" s="104">
        <f>+I197</f>
        <v>35765.01</v>
      </c>
      <c r="K197" s="104">
        <f>+J197*1.2</f>
        <v>42918.012000000002</v>
      </c>
      <c r="L197" s="104"/>
      <c r="M197" s="107">
        <v>45337</v>
      </c>
      <c r="N197" s="106">
        <f>+Table6[[#This Row],[стойност с ДДС]]-Table6[[#This Row],[плащане]]</f>
        <v>42918.012000000002</v>
      </c>
      <c r="O197" s="208">
        <v>45336</v>
      </c>
    </row>
    <row r="198" spans="1:15" ht="20.100000000000001" customHeight="1" x14ac:dyDescent="0.3">
      <c r="A198" s="116" t="s">
        <v>75</v>
      </c>
      <c r="B198" s="392">
        <v>3000002660</v>
      </c>
      <c r="C198" s="98">
        <v>45331</v>
      </c>
      <c r="D198" s="131"/>
      <c r="E198" s="132" t="s">
        <v>76</v>
      </c>
      <c r="F198" s="100"/>
      <c r="G198" s="99"/>
      <c r="H198" s="102">
        <v>30</v>
      </c>
      <c r="I198" s="103">
        <v>63.731630000000003</v>
      </c>
      <c r="J198" s="104">
        <f>+H198*I198</f>
        <v>1911.9489000000001</v>
      </c>
      <c r="K198" s="104">
        <f>+J198*1.2</f>
        <v>2294.3386799999998</v>
      </c>
      <c r="L198" s="104"/>
      <c r="M198" s="107">
        <v>45337</v>
      </c>
      <c r="N198" s="106">
        <f>+Table6[[#This Row],[стойност с ДДС]]-Table6[[#This Row],[плащане]]</f>
        <v>2294.3386799999998</v>
      </c>
      <c r="O198" s="208">
        <v>45336</v>
      </c>
    </row>
    <row r="199" spans="1:15" ht="20.100000000000001" customHeight="1" collapsed="1" x14ac:dyDescent="0.3">
      <c r="A199" s="116" t="s">
        <v>50</v>
      </c>
      <c r="B199" s="393">
        <v>3000002679</v>
      </c>
      <c r="C199" s="110">
        <v>45351</v>
      </c>
      <c r="E199" s="139" t="s">
        <v>56</v>
      </c>
      <c r="F199" s="101"/>
      <c r="G199" s="97"/>
      <c r="H199" s="113">
        <v>339.23200000000003</v>
      </c>
      <c r="I199" s="114">
        <v>8.3582999999999998</v>
      </c>
      <c r="J199" s="115">
        <f t="shared" ref="J199:J211" si="19">ROUND(+H199*I199,2)</f>
        <v>2835.4</v>
      </c>
      <c r="K199" s="115">
        <f t="shared" ref="K199:K229" si="20">J199*1.2</f>
        <v>3402.48</v>
      </c>
      <c r="L199" s="115">
        <v>3402.48</v>
      </c>
      <c r="M199" s="107">
        <v>45355</v>
      </c>
      <c r="N199" s="106">
        <f>+Table6[[#This Row],[стойност с ДДС]]-Table6[[#This Row],[плащане]]</f>
        <v>0</v>
      </c>
      <c r="O199" s="208">
        <v>45336</v>
      </c>
    </row>
    <row r="200" spans="1:15" ht="20.100000000000001" customHeight="1" x14ac:dyDescent="0.3">
      <c r="A200" s="97" t="s">
        <v>82</v>
      </c>
      <c r="B200" s="392">
        <v>3000002661</v>
      </c>
      <c r="C200" s="98">
        <v>45331</v>
      </c>
      <c r="D200" s="131"/>
      <c r="E200" s="132" t="s">
        <v>33</v>
      </c>
      <c r="F200" s="100"/>
      <c r="G200" s="99"/>
      <c r="H200" s="102">
        <v>1</v>
      </c>
      <c r="I200" s="103">
        <v>26152.75</v>
      </c>
      <c r="J200" s="104">
        <f t="shared" si="19"/>
        <v>26152.75</v>
      </c>
      <c r="K200" s="104">
        <f t="shared" si="20"/>
        <v>31383.3</v>
      </c>
      <c r="L200" s="104">
        <v>31383.3</v>
      </c>
      <c r="M200" s="107">
        <v>45343</v>
      </c>
      <c r="N200" s="106">
        <f>+Table6[[#This Row],[стойност с ДДС]]-Table6[[#This Row],[плащане]]</f>
        <v>0</v>
      </c>
      <c r="O200" s="208">
        <v>45336</v>
      </c>
    </row>
    <row r="201" spans="1:15" ht="20.100000000000001" customHeight="1" x14ac:dyDescent="0.3">
      <c r="A201" s="97" t="s">
        <v>82</v>
      </c>
      <c r="B201" s="392">
        <v>3000002661</v>
      </c>
      <c r="C201" s="98">
        <v>45331</v>
      </c>
      <c r="D201" s="131"/>
      <c r="E201" s="132" t="s">
        <v>33</v>
      </c>
      <c r="F201" s="100"/>
      <c r="G201" s="99"/>
      <c r="H201" s="102">
        <v>1</v>
      </c>
      <c r="I201" s="103">
        <v>211.25</v>
      </c>
      <c r="J201" s="104">
        <f t="shared" si="19"/>
        <v>211.25</v>
      </c>
      <c r="K201" s="104">
        <f t="shared" si="20"/>
        <v>253.5</v>
      </c>
      <c r="L201" s="104">
        <v>253.5</v>
      </c>
      <c r="M201" s="107">
        <v>45343</v>
      </c>
      <c r="N201" s="106">
        <f>+Table6[[#This Row],[стойност с ДДС]]-Table6[[#This Row],[плащане]]</f>
        <v>0</v>
      </c>
      <c r="O201" s="208">
        <v>45336</v>
      </c>
    </row>
    <row r="202" spans="1:15" ht="20.100000000000001" customHeight="1" x14ac:dyDescent="0.3">
      <c r="A202" s="97" t="s">
        <v>82</v>
      </c>
      <c r="B202" s="392">
        <v>3000002661</v>
      </c>
      <c r="C202" s="98">
        <v>45331</v>
      </c>
      <c r="D202" s="131"/>
      <c r="E202" s="132" t="s">
        <v>33</v>
      </c>
      <c r="F202" s="100"/>
      <c r="G202" s="99"/>
      <c r="H202" s="102">
        <v>1</v>
      </c>
      <c r="I202" s="103">
        <v>220.93</v>
      </c>
      <c r="J202" s="104">
        <f t="shared" si="19"/>
        <v>220.93</v>
      </c>
      <c r="K202" s="104">
        <f t="shared" si="20"/>
        <v>265.11599999999999</v>
      </c>
      <c r="L202" s="104">
        <v>265.12</v>
      </c>
      <c r="M202" s="107">
        <v>45343</v>
      </c>
      <c r="N202" s="106">
        <f>+Table6[[#This Row],[стойност с ДДС]]-Table6[[#This Row],[плащане]]</f>
        <v>-4.0000000000190994E-3</v>
      </c>
      <c r="O202" s="208">
        <v>45336</v>
      </c>
    </row>
    <row r="203" spans="1:15" ht="20.100000000000001" customHeight="1" x14ac:dyDescent="0.3">
      <c r="A203" s="97" t="s">
        <v>82</v>
      </c>
      <c r="B203" s="392">
        <v>3000002661</v>
      </c>
      <c r="C203" s="98">
        <v>45331</v>
      </c>
      <c r="D203" s="131"/>
      <c r="E203" s="132" t="s">
        <v>76</v>
      </c>
      <c r="F203" s="100"/>
      <c r="G203" s="99"/>
      <c r="H203" s="102">
        <v>87</v>
      </c>
      <c r="I203" s="103">
        <v>0.82769999999999999</v>
      </c>
      <c r="J203" s="104">
        <f t="shared" si="19"/>
        <v>72.010000000000005</v>
      </c>
      <c r="K203" s="104">
        <f t="shared" si="20"/>
        <v>86.412000000000006</v>
      </c>
      <c r="L203" s="104">
        <v>86.41</v>
      </c>
      <c r="M203" s="107">
        <v>45343</v>
      </c>
      <c r="N203" s="106">
        <f>+Table6[[#This Row],[стойност с ДДС]]-Table6[[#This Row],[плащане]]</f>
        <v>2.0000000000095497E-3</v>
      </c>
      <c r="O203" s="208">
        <v>45336</v>
      </c>
    </row>
    <row r="204" spans="1:15" ht="20.100000000000001" customHeight="1" x14ac:dyDescent="0.3">
      <c r="A204" s="97" t="s">
        <v>82</v>
      </c>
      <c r="B204" s="392">
        <v>3000002661</v>
      </c>
      <c r="C204" s="98">
        <v>45331</v>
      </c>
      <c r="D204" s="131"/>
      <c r="E204" s="132" t="s">
        <v>63</v>
      </c>
      <c r="F204" s="100"/>
      <c r="G204" s="99"/>
      <c r="H204" s="102">
        <v>261</v>
      </c>
      <c r="I204" s="103">
        <v>1.6876</v>
      </c>
      <c r="J204" s="104">
        <f t="shared" si="19"/>
        <v>440.46</v>
      </c>
      <c r="K204" s="104">
        <f t="shared" si="20"/>
        <v>528.55199999999991</v>
      </c>
      <c r="L204" s="104">
        <v>528.54999999999995</v>
      </c>
      <c r="M204" s="107">
        <v>45343</v>
      </c>
      <c r="N204" s="106">
        <f>+Table6[[#This Row],[стойност с ДДС]]-Table6[[#This Row],[плащане]]</f>
        <v>1.9999999999527063E-3</v>
      </c>
      <c r="O204" s="208">
        <v>45336</v>
      </c>
    </row>
    <row r="205" spans="1:15" ht="20.100000000000001" customHeight="1" x14ac:dyDescent="0.3">
      <c r="A205" s="97" t="s">
        <v>82</v>
      </c>
      <c r="B205" s="392">
        <v>3000002661</v>
      </c>
      <c r="C205" s="98">
        <v>45331</v>
      </c>
      <c r="D205" s="131"/>
      <c r="E205" s="132" t="s">
        <v>71</v>
      </c>
      <c r="F205" s="100"/>
      <c r="G205" s="99"/>
      <c r="H205" s="102">
        <v>522</v>
      </c>
      <c r="I205" s="103">
        <v>1.4756</v>
      </c>
      <c r="J205" s="104">
        <f t="shared" si="19"/>
        <v>770.26</v>
      </c>
      <c r="K205" s="104">
        <f t="shared" si="20"/>
        <v>924.3119999999999</v>
      </c>
      <c r="L205" s="104">
        <v>924.31</v>
      </c>
      <c r="M205" s="107">
        <v>45343</v>
      </c>
      <c r="N205" s="106">
        <f>+Table6[[#This Row],[стойност с ДДС]]-Table6[[#This Row],[плащане]]</f>
        <v>1.9999999999527063E-3</v>
      </c>
      <c r="O205" s="208">
        <v>45336</v>
      </c>
    </row>
    <row r="206" spans="1:15" ht="20.100000000000001" customHeight="1" collapsed="1" x14ac:dyDescent="0.3">
      <c r="A206" s="97" t="s">
        <v>50</v>
      </c>
      <c r="B206" s="393">
        <v>3000002679</v>
      </c>
      <c r="C206" s="110">
        <v>45351</v>
      </c>
      <c r="D206" s="138"/>
      <c r="E206" s="139" t="s">
        <v>58</v>
      </c>
      <c r="F206" s="101"/>
      <c r="G206" s="97"/>
      <c r="H206" s="113">
        <v>12712.694</v>
      </c>
      <c r="I206" s="114">
        <v>1.0194000000000001</v>
      </c>
      <c r="J206" s="115">
        <f t="shared" si="19"/>
        <v>12959.32</v>
      </c>
      <c r="K206" s="115">
        <f t="shared" si="20"/>
        <v>15551.183999999999</v>
      </c>
      <c r="L206" s="115">
        <v>15551.18</v>
      </c>
      <c r="M206" s="107">
        <v>45355</v>
      </c>
      <c r="N206" s="106">
        <f>+Table6[[#This Row],[стойност с ДДС]]-Table6[[#This Row],[плащане]]</f>
        <v>3.9999999989959178E-3</v>
      </c>
      <c r="O206" s="208">
        <v>45336</v>
      </c>
    </row>
    <row r="207" spans="1:15" ht="20.100000000000001" customHeight="1" x14ac:dyDescent="0.3">
      <c r="A207" s="116" t="s">
        <v>50</v>
      </c>
      <c r="B207" s="393">
        <v>3000002679</v>
      </c>
      <c r="C207" s="110">
        <v>45351</v>
      </c>
      <c r="D207" s="138"/>
      <c r="E207" s="97" t="s">
        <v>59</v>
      </c>
      <c r="F207" s="101"/>
      <c r="G207" s="97"/>
      <c r="H207" s="113">
        <v>2075.6880000000001</v>
      </c>
      <c r="I207" s="114">
        <v>0.6</v>
      </c>
      <c r="J207" s="115">
        <f t="shared" si="19"/>
        <v>1245.4100000000001</v>
      </c>
      <c r="K207" s="115">
        <f t="shared" si="20"/>
        <v>1494.492</v>
      </c>
      <c r="L207" s="115">
        <v>1494.49</v>
      </c>
      <c r="M207" s="107">
        <v>45355</v>
      </c>
      <c r="N207" s="106">
        <f>+Table6[[#This Row],[стойност с ДДС]]-Table6[[#This Row],[плащане]]</f>
        <v>1.9999999999527063E-3</v>
      </c>
      <c r="O207" s="208">
        <v>45336</v>
      </c>
    </row>
    <row r="208" spans="1:15" ht="20.100000000000001" customHeight="1" x14ac:dyDescent="0.3">
      <c r="A208" s="97" t="s">
        <v>50</v>
      </c>
      <c r="B208" s="393">
        <v>3000002679</v>
      </c>
      <c r="C208" s="110">
        <v>45351</v>
      </c>
      <c r="D208" s="138"/>
      <c r="E208" s="97" t="s">
        <v>60</v>
      </c>
      <c r="F208" s="101"/>
      <c r="G208" s="97"/>
      <c r="H208" s="113">
        <v>43690.01</v>
      </c>
      <c r="I208" s="114"/>
      <c r="J208" s="115">
        <f t="shared" si="19"/>
        <v>0</v>
      </c>
      <c r="K208" s="115">
        <f t="shared" si="20"/>
        <v>0</v>
      </c>
      <c r="L208" s="115"/>
      <c r="M208" s="107">
        <v>45355</v>
      </c>
      <c r="N208" s="106">
        <f>+Table6[[#This Row],[стойност с ДДС]]-Table6[[#This Row],[плащане]]</f>
        <v>0</v>
      </c>
      <c r="O208" s="208">
        <v>45336</v>
      </c>
    </row>
    <row r="209" spans="1:15" ht="20.100000000000001" customHeight="1" x14ac:dyDescent="0.3">
      <c r="A209" s="97" t="s">
        <v>64</v>
      </c>
      <c r="B209" s="393">
        <v>3000002680</v>
      </c>
      <c r="C209" s="110">
        <v>45351</v>
      </c>
      <c r="D209" s="97"/>
      <c r="E209" s="111" t="s">
        <v>54</v>
      </c>
      <c r="F209" s="118"/>
      <c r="G209" s="97"/>
      <c r="H209" s="113">
        <v>1</v>
      </c>
      <c r="I209" s="114">
        <v>15873.3</v>
      </c>
      <c r="J209" s="115">
        <f t="shared" si="19"/>
        <v>15873.3</v>
      </c>
      <c r="K209" s="115">
        <f t="shared" si="20"/>
        <v>19047.96</v>
      </c>
      <c r="L209" s="115">
        <v>19047.96</v>
      </c>
      <c r="M209" s="107">
        <v>45355</v>
      </c>
      <c r="N209" s="106">
        <f>+Table6[[#This Row],[стойност с ДДС]]-Table6[[#This Row],[плащане]]</f>
        <v>0</v>
      </c>
      <c r="O209" s="208">
        <v>45336</v>
      </c>
    </row>
    <row r="210" spans="1:15" ht="20.100000000000001" customHeight="1" x14ac:dyDescent="0.3">
      <c r="A210" s="97" t="s">
        <v>64</v>
      </c>
      <c r="B210" s="393">
        <v>3000002680</v>
      </c>
      <c r="C210" s="110">
        <v>45351</v>
      </c>
      <c r="D210" s="97"/>
      <c r="E210" s="100" t="s">
        <v>53</v>
      </c>
      <c r="F210" s="118"/>
      <c r="G210" s="97"/>
      <c r="H210" s="113">
        <v>2727.86</v>
      </c>
      <c r="I210" s="114">
        <v>71.08</v>
      </c>
      <c r="J210" s="115">
        <f t="shared" si="19"/>
        <v>193896.29</v>
      </c>
      <c r="K210" s="115">
        <f t="shared" si="20"/>
        <v>232675.54800000001</v>
      </c>
      <c r="L210" s="115">
        <v>232675.55</v>
      </c>
      <c r="M210" s="107">
        <v>45355</v>
      </c>
      <c r="N210" s="106">
        <f>+Table6[[#This Row],[стойност с ДДС]]-Table6[[#This Row],[плащане]]</f>
        <v>-1.9999999785795808E-3</v>
      </c>
      <c r="O210" s="208">
        <v>45336</v>
      </c>
    </row>
    <row r="211" spans="1:15" ht="20.100000000000001" customHeight="1" x14ac:dyDescent="0.3">
      <c r="A211" s="97" t="s">
        <v>64</v>
      </c>
      <c r="B211" s="393">
        <v>3000002680</v>
      </c>
      <c r="C211" s="110">
        <v>45351</v>
      </c>
      <c r="D211" s="97"/>
      <c r="E211" s="100" t="s">
        <v>53</v>
      </c>
      <c r="F211" s="118"/>
      <c r="G211" s="97"/>
      <c r="H211" s="113">
        <v>985.22699999999998</v>
      </c>
      <c r="I211" s="114">
        <v>71.08</v>
      </c>
      <c r="J211" s="115">
        <f t="shared" si="19"/>
        <v>70029.94</v>
      </c>
      <c r="K211" s="115">
        <f t="shared" si="20"/>
        <v>84035.928</v>
      </c>
      <c r="L211" s="115">
        <v>84035.93</v>
      </c>
      <c r="M211" s="107">
        <v>45355</v>
      </c>
      <c r="N211" s="106">
        <f>+Table6[[#This Row],[стойност с ДДС]]-Table6[[#This Row],[плащане]]</f>
        <v>-1.999999993131496E-3</v>
      </c>
      <c r="O211" s="208">
        <v>45336</v>
      </c>
    </row>
    <row r="212" spans="1:15" ht="20.100000000000001" customHeight="1" x14ac:dyDescent="0.3">
      <c r="A212" s="97" t="s">
        <v>98</v>
      </c>
      <c r="B212" s="392">
        <v>3000002652</v>
      </c>
      <c r="C212" s="98">
        <v>45331</v>
      </c>
      <c r="D212" s="99" t="s">
        <v>90</v>
      </c>
      <c r="E212" s="132" t="s">
        <v>33</v>
      </c>
      <c r="F212" s="118"/>
      <c r="G212" s="99"/>
      <c r="H212" s="102">
        <v>1</v>
      </c>
      <c r="I212" s="103">
        <v>53698.87</v>
      </c>
      <c r="J212" s="104">
        <f>+I212</f>
        <v>53698.87</v>
      </c>
      <c r="K212" s="104">
        <f t="shared" si="20"/>
        <v>64438.644</v>
      </c>
      <c r="L212" s="104">
        <v>64438.64</v>
      </c>
      <c r="M212" s="107">
        <v>45346</v>
      </c>
      <c r="N212" s="106">
        <f>+Table6[[#This Row],[стойност с ДДС]]-Table6[[#This Row],[плащане]]</f>
        <v>4.0000000008149073E-3</v>
      </c>
      <c r="O212" s="208">
        <v>45336</v>
      </c>
    </row>
    <row r="213" spans="1:15" ht="20.100000000000001" customHeight="1" x14ac:dyDescent="0.3">
      <c r="A213" s="97" t="s">
        <v>98</v>
      </c>
      <c r="B213" s="392">
        <v>3000002652</v>
      </c>
      <c r="C213" s="98">
        <v>45331</v>
      </c>
      <c r="D213" s="99" t="s">
        <v>90</v>
      </c>
      <c r="E213" s="132" t="s">
        <v>63</v>
      </c>
      <c r="F213" s="100"/>
      <c r="G213" s="99"/>
      <c r="H213" s="102">
        <v>1</v>
      </c>
      <c r="I213" s="103">
        <v>119.619</v>
      </c>
      <c r="J213" s="104">
        <f>H213*I213</f>
        <v>119.619</v>
      </c>
      <c r="K213" s="104">
        <f t="shared" si="20"/>
        <v>143.5428</v>
      </c>
      <c r="L213" s="104">
        <v>143.54</v>
      </c>
      <c r="M213" s="107">
        <v>45346</v>
      </c>
      <c r="N213" s="106">
        <f>+Table6[[#This Row],[стойност с ДДС]]-Table6[[#This Row],[плащане]]</f>
        <v>2.8000000000076852E-3</v>
      </c>
      <c r="O213" s="208">
        <v>45336</v>
      </c>
    </row>
    <row r="214" spans="1:15" ht="20.100000000000001" customHeight="1" collapsed="1" x14ac:dyDescent="0.3">
      <c r="A214" s="97" t="s">
        <v>64</v>
      </c>
      <c r="B214" s="393">
        <v>3000002680</v>
      </c>
      <c r="C214" s="110">
        <v>45351</v>
      </c>
      <c r="D214" s="97"/>
      <c r="E214" s="139" t="s">
        <v>55</v>
      </c>
      <c r="F214" s="101"/>
      <c r="G214" s="97"/>
      <c r="H214" s="113">
        <v>165</v>
      </c>
      <c r="I214" s="114">
        <v>7.3657000000000004</v>
      </c>
      <c r="J214" s="115">
        <f>ROUND(+H214*I214,2)</f>
        <v>1215.3399999999999</v>
      </c>
      <c r="K214" s="115">
        <f t="shared" si="20"/>
        <v>1458.4079999999999</v>
      </c>
      <c r="L214" s="115">
        <v>1458.41</v>
      </c>
      <c r="M214" s="107">
        <v>45355</v>
      </c>
      <c r="N214" s="106">
        <f>+Table6[[#This Row],[стойност с ДДС]]-Table6[[#This Row],[плащане]]</f>
        <v>-2.00000000018008E-3</v>
      </c>
      <c r="O214" s="208">
        <v>45336</v>
      </c>
    </row>
    <row r="215" spans="1:15" ht="20.100000000000001" customHeight="1" x14ac:dyDescent="0.3">
      <c r="A215" s="97" t="s">
        <v>64</v>
      </c>
      <c r="B215" s="393">
        <v>3000002680</v>
      </c>
      <c r="C215" s="110">
        <v>45351</v>
      </c>
      <c r="D215" s="97"/>
      <c r="E215" s="137" t="s">
        <v>57</v>
      </c>
      <c r="F215" s="118"/>
      <c r="G215" s="97"/>
      <c r="H215" s="113">
        <v>425</v>
      </c>
      <c r="I215" s="114">
        <v>5.8925999999999998</v>
      </c>
      <c r="J215" s="115">
        <f>ROUND(+H215*I215,2)</f>
        <v>2504.36</v>
      </c>
      <c r="K215" s="115">
        <f t="shared" si="20"/>
        <v>3005.232</v>
      </c>
      <c r="L215" s="115">
        <v>3005.23</v>
      </c>
      <c r="M215" s="107">
        <v>45355</v>
      </c>
      <c r="N215" s="106">
        <f>+Table6[[#This Row],[стойност с ДДС]]-Table6[[#This Row],[плащане]]</f>
        <v>1.9999999999527063E-3</v>
      </c>
      <c r="O215" s="208">
        <v>45336</v>
      </c>
    </row>
    <row r="216" spans="1:15" ht="20.100000000000001" customHeight="1" x14ac:dyDescent="0.3">
      <c r="A216" s="97" t="s">
        <v>80</v>
      </c>
      <c r="B216" s="392">
        <v>3000002662</v>
      </c>
      <c r="C216" s="98">
        <v>45331</v>
      </c>
      <c r="D216" s="99" t="s">
        <v>90</v>
      </c>
      <c r="E216" s="132" t="s">
        <v>33</v>
      </c>
      <c r="F216" s="118"/>
      <c r="G216" s="99"/>
      <c r="H216" s="102"/>
      <c r="I216" s="103">
        <v>64858</v>
      </c>
      <c r="J216" s="104">
        <f>+I216</f>
        <v>64858</v>
      </c>
      <c r="K216" s="104">
        <f t="shared" si="20"/>
        <v>77829.599999999991</v>
      </c>
      <c r="L216" s="104">
        <v>77829.600000000006</v>
      </c>
      <c r="M216" s="107">
        <v>45338</v>
      </c>
      <c r="N216" s="106">
        <f>+Table6[[#This Row],[стойност с ДДС]]-Table6[[#This Row],[плащане]]</f>
        <v>0</v>
      </c>
      <c r="O216" s="208">
        <v>45336</v>
      </c>
    </row>
    <row r="217" spans="1:15" ht="20.100000000000001" customHeight="1" x14ac:dyDescent="0.3">
      <c r="A217" s="97" t="s">
        <v>80</v>
      </c>
      <c r="B217" s="392">
        <v>3000002662</v>
      </c>
      <c r="C217" s="98">
        <v>45331</v>
      </c>
      <c r="D217" s="99" t="s">
        <v>90</v>
      </c>
      <c r="E217" s="132" t="s">
        <v>63</v>
      </c>
      <c r="F217" s="100"/>
      <c r="G217" s="99"/>
      <c r="H217" s="102">
        <v>70</v>
      </c>
      <c r="I217" s="103">
        <v>141.4717</v>
      </c>
      <c r="J217" s="104">
        <f>H217*I217</f>
        <v>9903.0190000000002</v>
      </c>
      <c r="K217" s="104">
        <f t="shared" si="20"/>
        <v>11883.622799999999</v>
      </c>
      <c r="L217" s="104">
        <v>11883.62</v>
      </c>
      <c r="M217" s="107">
        <v>45338</v>
      </c>
      <c r="N217" s="106">
        <f>+Table6[[#This Row],[стойност с ДДС]]-Table6[[#This Row],[плащане]]</f>
        <v>2.7999999983876478E-3</v>
      </c>
      <c r="O217" s="208">
        <v>45336</v>
      </c>
    </row>
    <row r="218" spans="1:15" ht="20.100000000000001" customHeight="1" collapsed="1" x14ac:dyDescent="0.3">
      <c r="A218" s="97" t="s">
        <v>64</v>
      </c>
      <c r="B218" s="393">
        <v>3000002680</v>
      </c>
      <c r="C218" s="110">
        <v>45351</v>
      </c>
      <c r="D218" s="97"/>
      <c r="E218" s="97" t="s">
        <v>56</v>
      </c>
      <c r="F218" s="101"/>
      <c r="G218" s="97"/>
      <c r="H218" s="113">
        <v>25.13</v>
      </c>
      <c r="I218" s="114">
        <v>8.3582999999999998</v>
      </c>
      <c r="J218" s="115">
        <f>ROUND(+H218*I218,2)</f>
        <v>210.04</v>
      </c>
      <c r="K218" s="115">
        <f t="shared" si="20"/>
        <v>252.04799999999997</v>
      </c>
      <c r="L218" s="115">
        <v>252.05</v>
      </c>
      <c r="M218" s="107">
        <v>45355</v>
      </c>
      <c r="N218" s="106">
        <f>+Table6[[#This Row],[стойност с ДДС]]-Table6[[#This Row],[плащане]]</f>
        <v>-2.0000000000379714E-3</v>
      </c>
      <c r="O218" s="208">
        <v>45336</v>
      </c>
    </row>
    <row r="219" spans="1:15" ht="20.100000000000001" customHeight="1" x14ac:dyDescent="0.3">
      <c r="A219" s="97" t="s">
        <v>64</v>
      </c>
      <c r="B219" s="393">
        <v>3000002680</v>
      </c>
      <c r="C219" s="110">
        <v>45351</v>
      </c>
      <c r="D219" s="97"/>
      <c r="E219" s="139" t="s">
        <v>58</v>
      </c>
      <c r="F219" s="118"/>
      <c r="G219" s="97"/>
      <c r="H219" s="113">
        <v>12834.513000000001</v>
      </c>
      <c r="I219" s="114">
        <v>1.0194000000000001</v>
      </c>
      <c r="J219" s="115">
        <f>ROUND(+H219*I219,2)</f>
        <v>13083.5</v>
      </c>
      <c r="K219" s="115">
        <f t="shared" si="20"/>
        <v>15700.199999999999</v>
      </c>
      <c r="L219" s="115">
        <v>15700.2</v>
      </c>
      <c r="M219" s="107">
        <v>45355</v>
      </c>
      <c r="N219" s="106">
        <f>+Table6[[#This Row],[стойност с ДДС]]-Table6[[#This Row],[плащане]]</f>
        <v>0</v>
      </c>
      <c r="O219" s="208">
        <v>45336</v>
      </c>
    </row>
    <row r="220" spans="1:15" ht="20.100000000000001" customHeight="1" x14ac:dyDescent="0.3">
      <c r="A220" s="97" t="s">
        <v>101</v>
      </c>
      <c r="B220" s="393">
        <v>3100000487</v>
      </c>
      <c r="C220" s="110">
        <v>45327</v>
      </c>
      <c r="D220" s="97" t="s">
        <v>102</v>
      </c>
      <c r="E220" s="101" t="s">
        <v>38</v>
      </c>
      <c r="F220" s="101"/>
      <c r="G220" s="97"/>
      <c r="H220" s="113">
        <v>200</v>
      </c>
      <c r="I220" s="114">
        <v>56.35</v>
      </c>
      <c r="J220" s="115">
        <f t="shared" ref="J220:J227" si="21">I220*H220</f>
        <v>11270</v>
      </c>
      <c r="K220" s="104">
        <f t="shared" si="20"/>
        <v>13524</v>
      </c>
      <c r="L220" s="104">
        <v>13524</v>
      </c>
      <c r="M220" s="107">
        <v>45335</v>
      </c>
      <c r="N220" s="106">
        <f>+Table6[[#This Row],[стойност с ДДС]]-Table6[[#This Row],[плащане]]</f>
        <v>0</v>
      </c>
      <c r="O220" s="208">
        <v>45336</v>
      </c>
    </row>
    <row r="221" spans="1:15" ht="20.100000000000001" customHeight="1" x14ac:dyDescent="0.3">
      <c r="A221" s="97" t="s">
        <v>101</v>
      </c>
      <c r="B221" s="393">
        <v>3100000487</v>
      </c>
      <c r="C221" s="110">
        <v>45327</v>
      </c>
      <c r="D221" s="97" t="s">
        <v>103</v>
      </c>
      <c r="E221" s="101" t="s">
        <v>38</v>
      </c>
      <c r="F221" s="101"/>
      <c r="G221" s="97"/>
      <c r="H221" s="113">
        <v>100</v>
      </c>
      <c r="I221" s="114">
        <v>56</v>
      </c>
      <c r="J221" s="115">
        <f t="shared" si="21"/>
        <v>5600</v>
      </c>
      <c r="K221" s="104">
        <f t="shared" si="20"/>
        <v>6720</v>
      </c>
      <c r="L221" s="104">
        <v>6720</v>
      </c>
      <c r="M221" s="107">
        <v>45335</v>
      </c>
      <c r="N221" s="106">
        <f>+Table6[[#This Row],[стойност с ДДС]]-Table6[[#This Row],[плащане]]</f>
        <v>0</v>
      </c>
      <c r="O221" s="208">
        <v>45336</v>
      </c>
    </row>
    <row r="222" spans="1:15" ht="20.100000000000001" customHeight="1" x14ac:dyDescent="0.3">
      <c r="A222" s="97" t="s">
        <v>101</v>
      </c>
      <c r="B222" s="393">
        <v>3100000487</v>
      </c>
      <c r="C222" s="110">
        <v>45327</v>
      </c>
      <c r="D222" s="97" t="s">
        <v>103</v>
      </c>
      <c r="E222" s="101" t="s">
        <v>38</v>
      </c>
      <c r="F222" s="101"/>
      <c r="G222" s="97"/>
      <c r="H222" s="113">
        <v>700</v>
      </c>
      <c r="I222" s="114">
        <v>56</v>
      </c>
      <c r="J222" s="115">
        <f t="shared" si="21"/>
        <v>39200</v>
      </c>
      <c r="K222" s="104">
        <f t="shared" si="20"/>
        <v>47040</v>
      </c>
      <c r="L222" s="104">
        <v>47040</v>
      </c>
      <c r="M222" s="107">
        <v>45335</v>
      </c>
      <c r="N222" s="106">
        <f>+Table6[[#This Row],[стойност с ДДС]]-Table6[[#This Row],[плащане]]</f>
        <v>0</v>
      </c>
      <c r="O222" s="208">
        <v>45336</v>
      </c>
    </row>
    <row r="223" spans="1:15" ht="20.100000000000001" customHeight="1" x14ac:dyDescent="0.3">
      <c r="A223" s="97" t="s">
        <v>101</v>
      </c>
      <c r="B223" s="393">
        <v>3100000487</v>
      </c>
      <c r="C223" s="110">
        <v>45327</v>
      </c>
      <c r="D223" s="97" t="s">
        <v>103</v>
      </c>
      <c r="E223" s="101" t="s">
        <v>38</v>
      </c>
      <c r="F223" s="101"/>
      <c r="G223" s="97"/>
      <c r="H223" s="113">
        <v>200</v>
      </c>
      <c r="I223" s="114">
        <v>55.2</v>
      </c>
      <c r="J223" s="115">
        <f t="shared" si="21"/>
        <v>11040</v>
      </c>
      <c r="K223" s="104">
        <f t="shared" si="20"/>
        <v>13248</v>
      </c>
      <c r="L223" s="104">
        <v>13248</v>
      </c>
      <c r="M223" s="107">
        <v>45335</v>
      </c>
      <c r="N223" s="106">
        <f>+Table6[[#This Row],[стойност с ДДС]]-Table6[[#This Row],[плащане]]</f>
        <v>0</v>
      </c>
      <c r="O223" s="208">
        <v>45336</v>
      </c>
    </row>
    <row r="224" spans="1:15" ht="20.100000000000001" customHeight="1" x14ac:dyDescent="0.3">
      <c r="A224" s="97" t="s">
        <v>101</v>
      </c>
      <c r="B224" s="393">
        <v>3100000487</v>
      </c>
      <c r="C224" s="110">
        <v>45327</v>
      </c>
      <c r="D224" s="97" t="s">
        <v>104</v>
      </c>
      <c r="E224" s="101" t="s">
        <v>38</v>
      </c>
      <c r="F224" s="101"/>
      <c r="G224" s="97"/>
      <c r="H224" s="113">
        <v>200</v>
      </c>
      <c r="I224" s="114">
        <v>55.2</v>
      </c>
      <c r="J224" s="115">
        <f t="shared" si="21"/>
        <v>11040</v>
      </c>
      <c r="K224" s="104">
        <f t="shared" si="20"/>
        <v>13248</v>
      </c>
      <c r="L224" s="104">
        <v>13248</v>
      </c>
      <c r="M224" s="107">
        <v>45335</v>
      </c>
      <c r="N224" s="106">
        <f>+Table6[[#This Row],[стойност с ДДС]]-Table6[[#This Row],[плащане]]</f>
        <v>0</v>
      </c>
      <c r="O224" s="208">
        <v>45336</v>
      </c>
    </row>
    <row r="225" spans="1:15" ht="20.100000000000001" customHeight="1" collapsed="1" x14ac:dyDescent="0.3">
      <c r="A225" s="116" t="s">
        <v>105</v>
      </c>
      <c r="B225" s="394">
        <v>3100000491</v>
      </c>
      <c r="C225" s="117">
        <v>45347</v>
      </c>
      <c r="D225" s="97" t="s">
        <v>106</v>
      </c>
      <c r="E225" s="101" t="s">
        <v>38</v>
      </c>
      <c r="F225" s="101"/>
      <c r="G225" s="97"/>
      <c r="H225" s="113">
        <v>50</v>
      </c>
      <c r="I225" s="114">
        <v>47</v>
      </c>
      <c r="J225" s="115">
        <f t="shared" si="21"/>
        <v>2350</v>
      </c>
      <c r="K225" s="104">
        <f>J225*1.2</f>
        <v>2820</v>
      </c>
      <c r="L225" s="104">
        <v>2820</v>
      </c>
      <c r="M225" s="107">
        <v>45352</v>
      </c>
      <c r="N225" s="115">
        <f>+Table6[[#This Row],[стойност с ДДС]]-Table6[[#This Row],[плащане]]</f>
        <v>0</v>
      </c>
      <c r="O225" s="208">
        <v>45336</v>
      </c>
    </row>
    <row r="226" spans="1:15" ht="20.100000000000001" customHeight="1" x14ac:dyDescent="0.3">
      <c r="A226" s="97" t="s">
        <v>105</v>
      </c>
      <c r="B226" s="394">
        <v>3100000492</v>
      </c>
      <c r="C226" s="117">
        <v>45347</v>
      </c>
      <c r="D226" s="116" t="s">
        <v>106</v>
      </c>
      <c r="E226" s="101" t="s">
        <v>38</v>
      </c>
      <c r="F226" s="118"/>
      <c r="G226" s="116"/>
      <c r="H226" s="113">
        <v>20</v>
      </c>
      <c r="I226" s="114">
        <v>47.7</v>
      </c>
      <c r="J226" s="115">
        <f t="shared" si="21"/>
        <v>954</v>
      </c>
      <c r="K226" s="104">
        <f>J226*1.2</f>
        <v>1144.8</v>
      </c>
      <c r="L226" s="104">
        <v>1144.8</v>
      </c>
      <c r="M226" s="107">
        <v>45352</v>
      </c>
      <c r="N226" s="115">
        <f>+Table6[[#This Row],[стойност с ДДС]]-Table6[[#This Row],[плащане]]</f>
        <v>0</v>
      </c>
      <c r="O226" s="208">
        <v>45336</v>
      </c>
    </row>
    <row r="227" spans="1:15" ht="20.100000000000001" customHeight="1" x14ac:dyDescent="0.3">
      <c r="A227" s="116" t="s">
        <v>101</v>
      </c>
      <c r="B227" s="394">
        <v>3100000488</v>
      </c>
      <c r="C227" s="117">
        <v>45329</v>
      </c>
      <c r="D227" s="116" t="s">
        <v>107</v>
      </c>
      <c r="E227" s="118" t="s">
        <v>38</v>
      </c>
      <c r="F227" s="118"/>
      <c r="G227" s="116"/>
      <c r="H227" s="113">
        <v>9</v>
      </c>
      <c r="I227" s="114">
        <v>55.01</v>
      </c>
      <c r="J227" s="115">
        <f t="shared" si="21"/>
        <v>495.09</v>
      </c>
      <c r="K227" s="104">
        <f>J227*1.2</f>
        <v>594.10799999999995</v>
      </c>
      <c r="L227" s="104">
        <v>594.11</v>
      </c>
      <c r="M227" s="107">
        <v>45336</v>
      </c>
      <c r="N227" s="115">
        <f>+Table6[[#This Row],[стойност с ДДС]]-Table6[[#This Row],[плащане]]</f>
        <v>-2.0000000000663931E-3</v>
      </c>
      <c r="O227" s="208">
        <v>45336</v>
      </c>
    </row>
    <row r="228" spans="1:15" ht="20.100000000000001" customHeight="1" collapsed="1" x14ac:dyDescent="0.3">
      <c r="A228" s="97" t="s">
        <v>64</v>
      </c>
      <c r="B228" s="393">
        <v>3000002680</v>
      </c>
      <c r="C228" s="110">
        <v>45351</v>
      </c>
      <c r="D228" s="97"/>
      <c r="E228" s="139" t="s">
        <v>59</v>
      </c>
      <c r="F228" s="101"/>
      <c r="G228" s="97"/>
      <c r="H228" s="113">
        <v>10309.266</v>
      </c>
      <c r="I228" s="114">
        <v>0.6</v>
      </c>
      <c r="J228" s="115">
        <f>ROUND(+H228*I228,2)</f>
        <v>6185.56</v>
      </c>
      <c r="K228" s="115">
        <f t="shared" si="20"/>
        <v>7422.6720000000005</v>
      </c>
      <c r="L228" s="115">
        <v>7422.67</v>
      </c>
      <c r="M228" s="107">
        <v>45355</v>
      </c>
      <c r="N228" s="106">
        <f>+Table6[[#This Row],[стойност с ДДС]]-Table6[[#This Row],[плащане]]</f>
        <v>2.0000000004074536E-3</v>
      </c>
      <c r="O228" s="208">
        <v>45336</v>
      </c>
    </row>
    <row r="229" spans="1:15" ht="20.100000000000001" customHeight="1" x14ac:dyDescent="0.3">
      <c r="A229" s="97" t="s">
        <v>64</v>
      </c>
      <c r="B229" s="393">
        <v>3000002680</v>
      </c>
      <c r="C229" s="110">
        <v>45351</v>
      </c>
      <c r="D229" s="97"/>
      <c r="E229" s="97" t="s">
        <v>60</v>
      </c>
      <c r="F229" s="101"/>
      <c r="G229" s="97"/>
      <c r="H229" s="113">
        <v>35894.981</v>
      </c>
      <c r="I229" s="114"/>
      <c r="J229" s="115">
        <f>ROUND(+H229*I229,2)</f>
        <v>0</v>
      </c>
      <c r="K229" s="115">
        <f t="shared" si="20"/>
        <v>0</v>
      </c>
      <c r="L229" s="115"/>
      <c r="M229" s="107">
        <v>45355</v>
      </c>
      <c r="N229" s="106">
        <f>+Table6[[#This Row],[стойност с ДДС]]-Table6[[#This Row],[плащане]]</f>
        <v>0</v>
      </c>
      <c r="O229" s="208">
        <v>45336</v>
      </c>
    </row>
    <row r="230" spans="1:15" ht="20.100000000000001" customHeight="1" x14ac:dyDescent="0.3">
      <c r="A230" s="97" t="s">
        <v>83</v>
      </c>
      <c r="B230" s="393">
        <v>3000002683</v>
      </c>
      <c r="C230" s="110">
        <v>45351</v>
      </c>
      <c r="D230" s="97"/>
      <c r="E230" s="111" t="s">
        <v>54</v>
      </c>
      <c r="F230" s="97"/>
      <c r="G230" s="97"/>
      <c r="H230" s="97">
        <v>1</v>
      </c>
      <c r="I230" s="114">
        <v>4761.99</v>
      </c>
      <c r="J230" s="140">
        <f>+Table6[[#This Row],[единична цена]]</f>
        <v>4761.99</v>
      </c>
      <c r="K230" s="156">
        <f>+Table6[[#This Row],[стойност]]*1.2</f>
        <v>5714.3879999999999</v>
      </c>
      <c r="L230" s="109">
        <v>5714.38</v>
      </c>
      <c r="M230" s="107">
        <v>45336</v>
      </c>
      <c r="N230" s="106"/>
      <c r="O230" s="208">
        <v>45336</v>
      </c>
    </row>
    <row r="231" spans="1:15" ht="20.100000000000001" customHeight="1" x14ac:dyDescent="0.3">
      <c r="A231" s="97" t="s">
        <v>83</v>
      </c>
      <c r="B231" s="393">
        <v>3000002683</v>
      </c>
      <c r="C231" s="110">
        <v>45351</v>
      </c>
      <c r="D231" s="97"/>
      <c r="E231" s="100" t="s">
        <v>53</v>
      </c>
      <c r="F231" s="101"/>
      <c r="G231" s="97"/>
      <c r="H231" s="113">
        <v>106</v>
      </c>
      <c r="I231" s="114">
        <v>71.08</v>
      </c>
      <c r="J231" s="115">
        <f>ROUND(+H231*I231,2)</f>
        <v>7534.48</v>
      </c>
      <c r="K231" s="115">
        <f>J231*1.2</f>
        <v>9041.3759999999984</v>
      </c>
      <c r="L231" s="104">
        <v>9041</v>
      </c>
      <c r="M231" s="107">
        <v>45336</v>
      </c>
      <c r="N231" s="115">
        <f>+Table6[[#This Row],[стойност с ДДС]]-Table6[[#This Row],[плащане]]</f>
        <v>0.37599999999838474</v>
      </c>
      <c r="O231" s="208">
        <v>45336</v>
      </c>
    </row>
    <row r="232" spans="1:15" ht="20.100000000000001" customHeight="1" x14ac:dyDescent="0.3">
      <c r="A232" s="97" t="s">
        <v>83</v>
      </c>
      <c r="B232" s="393">
        <v>3000002683</v>
      </c>
      <c r="C232" s="110">
        <v>45351</v>
      </c>
      <c r="D232" s="97"/>
      <c r="E232" s="139" t="s">
        <v>57</v>
      </c>
      <c r="F232" s="101"/>
      <c r="G232" s="97"/>
      <c r="H232" s="113">
        <v>220</v>
      </c>
      <c r="I232" s="114">
        <v>5.8922999999999996</v>
      </c>
      <c r="J232" s="115">
        <f>ROUND(+H232*I232,2)</f>
        <v>1296.31</v>
      </c>
      <c r="K232" s="115">
        <f>J232*1.2</f>
        <v>1555.5719999999999</v>
      </c>
      <c r="L232" s="104">
        <v>1555.57</v>
      </c>
      <c r="M232" s="107">
        <v>45336</v>
      </c>
      <c r="N232" s="115">
        <f>+Table6[[#This Row],[стойност с ДДС]]-Table6[[#This Row],[плащане]]</f>
        <v>1.9999999999527063E-3</v>
      </c>
      <c r="O232" s="208">
        <v>45336</v>
      </c>
    </row>
    <row r="233" spans="1:15" ht="20.100000000000001" customHeight="1" x14ac:dyDescent="0.3">
      <c r="A233" s="97" t="s">
        <v>83</v>
      </c>
      <c r="B233" s="393">
        <v>3000002683</v>
      </c>
      <c r="C233" s="110">
        <v>45351</v>
      </c>
      <c r="D233" s="97"/>
      <c r="E233" s="137" t="s">
        <v>58</v>
      </c>
      <c r="F233" s="101"/>
      <c r="G233" s="97"/>
      <c r="H233" s="113">
        <v>106.313</v>
      </c>
      <c r="I233" s="114">
        <v>1.0194000000000001</v>
      </c>
      <c r="J233" s="115">
        <f>ROUND(+H233*I233,2)</f>
        <v>108.38</v>
      </c>
      <c r="K233" s="115">
        <f>J233*1.2</f>
        <v>130.05599999999998</v>
      </c>
      <c r="L233" s="104">
        <v>130.06</v>
      </c>
      <c r="M233" s="107">
        <v>45336</v>
      </c>
      <c r="N233" s="115">
        <f>+Table6[[#This Row],[стойност с ДДС]]-Table6[[#This Row],[плащане]]</f>
        <v>-4.0000000000190994E-3</v>
      </c>
      <c r="O233" s="208">
        <v>45336</v>
      </c>
    </row>
    <row r="234" spans="1:15" ht="20.100000000000001" customHeight="1" x14ac:dyDescent="0.3">
      <c r="A234" s="97" t="s">
        <v>83</v>
      </c>
      <c r="B234" s="393">
        <v>3000002683</v>
      </c>
      <c r="C234" s="110">
        <v>45351</v>
      </c>
      <c r="D234" s="97"/>
      <c r="E234" s="97" t="s">
        <v>60</v>
      </c>
      <c r="F234" s="101"/>
      <c r="G234" s="97"/>
      <c r="H234" s="113">
        <v>382.072</v>
      </c>
      <c r="I234" s="114"/>
      <c r="J234" s="115">
        <f>ROUND(+H234*I234,2)</f>
        <v>0</v>
      </c>
      <c r="K234" s="115">
        <f>J234*1.2</f>
        <v>0</v>
      </c>
      <c r="L234" s="104"/>
      <c r="M234" s="107">
        <v>45336</v>
      </c>
      <c r="N234" s="115">
        <f>+Table6[[#This Row],[стойност с ДДС]]-Table6[[#This Row],[плащане]]</f>
        <v>0</v>
      </c>
      <c r="O234" s="208">
        <v>45336</v>
      </c>
    </row>
    <row r="235" spans="1:15" ht="20.100000000000001" customHeight="1" x14ac:dyDescent="0.3">
      <c r="A235" s="97" t="s">
        <v>77</v>
      </c>
      <c r="B235" s="393">
        <v>3000002684</v>
      </c>
      <c r="C235" s="110">
        <v>45351</v>
      </c>
      <c r="D235" s="97"/>
      <c r="E235" s="100" t="s">
        <v>53</v>
      </c>
      <c r="F235" s="101"/>
      <c r="G235" s="97"/>
      <c r="H235" s="113">
        <v>12424.931</v>
      </c>
      <c r="I235" s="114">
        <v>71.08</v>
      </c>
      <c r="J235" s="115">
        <f t="shared" ref="J235:J242" si="22">ROUND(+H235*I235,2)</f>
        <v>883164.1</v>
      </c>
      <c r="K235" s="115">
        <f t="shared" ref="K235:K254" si="23">J235*1.2</f>
        <v>1059796.92</v>
      </c>
      <c r="L235" s="115">
        <v>1059796.92</v>
      </c>
      <c r="M235" s="107">
        <v>45355</v>
      </c>
      <c r="N235" s="106">
        <f>+Table6[[#This Row],[стойност с ДДС]]-Table6[[#This Row],[плащане]]</f>
        <v>0</v>
      </c>
      <c r="O235" s="208">
        <v>45336</v>
      </c>
    </row>
    <row r="236" spans="1:15" ht="20.100000000000001" customHeight="1" x14ac:dyDescent="0.3">
      <c r="A236" s="97" t="s">
        <v>77</v>
      </c>
      <c r="B236" s="393">
        <v>3000002684</v>
      </c>
      <c r="C236" s="110">
        <v>45351</v>
      </c>
      <c r="D236" s="97"/>
      <c r="E236" s="139" t="s">
        <v>55</v>
      </c>
      <c r="F236" s="101"/>
      <c r="G236" s="97"/>
      <c r="H236" s="113">
        <v>1599.002</v>
      </c>
      <c r="I236" s="114">
        <v>7.3657000000000004</v>
      </c>
      <c r="J236" s="115">
        <f t="shared" si="22"/>
        <v>11777.77</v>
      </c>
      <c r="K236" s="115">
        <f t="shared" si="23"/>
        <v>14133.324000000001</v>
      </c>
      <c r="L236" s="106">
        <v>14133.32</v>
      </c>
      <c r="M236" s="107">
        <v>45355</v>
      </c>
      <c r="N236" s="106">
        <f>+Table6[[#This Row],[стойност с ДДС]]-Table6[[#This Row],[плащане]]</f>
        <v>4.0000000008149073E-3</v>
      </c>
      <c r="O236" s="208">
        <v>45336</v>
      </c>
    </row>
    <row r="237" spans="1:15" ht="20.100000000000001" customHeight="1" x14ac:dyDescent="0.3">
      <c r="A237" s="97" t="s">
        <v>77</v>
      </c>
      <c r="B237" s="393">
        <v>3000002684</v>
      </c>
      <c r="C237" s="110">
        <v>45351</v>
      </c>
      <c r="D237" s="97"/>
      <c r="E237" s="137" t="s">
        <v>57</v>
      </c>
      <c r="F237" s="101"/>
      <c r="G237" s="97"/>
      <c r="H237" s="113">
        <v>10845</v>
      </c>
      <c r="I237" s="114">
        <v>5.8925999999999998</v>
      </c>
      <c r="J237" s="115">
        <f t="shared" si="22"/>
        <v>63905.25</v>
      </c>
      <c r="K237" s="115">
        <f t="shared" si="23"/>
        <v>76686.3</v>
      </c>
      <c r="L237" s="115">
        <v>76686.3</v>
      </c>
      <c r="M237" s="107">
        <v>45355</v>
      </c>
      <c r="N237" s="106">
        <f>+Table6[[#This Row],[стойност с ДДС]]-Table6[[#This Row],[плащане]]</f>
        <v>0</v>
      </c>
      <c r="O237" s="208">
        <v>45336</v>
      </c>
    </row>
    <row r="238" spans="1:15" ht="20.100000000000001" customHeight="1" x14ac:dyDescent="0.3">
      <c r="A238" s="116" t="s">
        <v>77</v>
      </c>
      <c r="B238" s="394">
        <v>3000002684</v>
      </c>
      <c r="C238" s="117">
        <v>45351</v>
      </c>
      <c r="D238" s="116"/>
      <c r="E238" s="137" t="s">
        <v>56</v>
      </c>
      <c r="F238" s="118"/>
      <c r="G238" s="97"/>
      <c r="H238" s="141">
        <v>26.552</v>
      </c>
      <c r="I238" s="142">
        <v>8.3582999999999998</v>
      </c>
      <c r="J238" s="130">
        <f t="shared" si="22"/>
        <v>221.93</v>
      </c>
      <c r="K238" s="130">
        <f t="shared" si="23"/>
        <v>266.31599999999997</v>
      </c>
      <c r="L238" s="130">
        <v>266.32</v>
      </c>
      <c r="M238" s="107">
        <v>45355</v>
      </c>
      <c r="N238" s="143">
        <f>+Table6[[#This Row],[стойност с ДДС]]-Table6[[#This Row],[плащане]]</f>
        <v>-4.0000000000190994E-3</v>
      </c>
      <c r="O238" s="208">
        <v>45336</v>
      </c>
    </row>
    <row r="239" spans="1:15" ht="20.100000000000001" customHeight="1" x14ac:dyDescent="0.3">
      <c r="A239" s="116" t="s">
        <v>77</v>
      </c>
      <c r="B239" s="394">
        <v>3000002684</v>
      </c>
      <c r="C239" s="117">
        <v>45351</v>
      </c>
      <c r="D239" s="116"/>
      <c r="E239" s="137" t="s">
        <v>58</v>
      </c>
      <c r="F239" s="101"/>
      <c r="G239" s="97"/>
      <c r="H239" s="141">
        <v>12424.931</v>
      </c>
      <c r="I239" s="142">
        <v>1.0194000000000001</v>
      </c>
      <c r="J239" s="130">
        <f t="shared" si="22"/>
        <v>12665.97</v>
      </c>
      <c r="K239" s="130">
        <f t="shared" si="23"/>
        <v>15199.163999999999</v>
      </c>
      <c r="L239" s="130">
        <v>15199.16</v>
      </c>
      <c r="M239" s="107">
        <v>45355</v>
      </c>
      <c r="N239" s="143">
        <f>+Table6[[#This Row],[стойност с ДДС]]-Table6[[#This Row],[плащане]]</f>
        <v>3.9999999989959178E-3</v>
      </c>
      <c r="O239" s="208">
        <v>45336</v>
      </c>
    </row>
    <row r="240" spans="1:15" ht="20.100000000000001" customHeight="1" x14ac:dyDescent="0.3">
      <c r="A240" s="116" t="s">
        <v>91</v>
      </c>
      <c r="B240" s="394">
        <v>3000002685</v>
      </c>
      <c r="C240" s="117">
        <v>45351</v>
      </c>
      <c r="D240" s="116"/>
      <c r="E240" s="132" t="s">
        <v>33</v>
      </c>
      <c r="F240" s="118"/>
      <c r="G240" s="97"/>
      <c r="H240" s="141">
        <v>1</v>
      </c>
      <c r="I240" s="142">
        <v>2283.21</v>
      </c>
      <c r="J240" s="130">
        <f t="shared" si="22"/>
        <v>2283.21</v>
      </c>
      <c r="K240" s="130">
        <f t="shared" si="23"/>
        <v>2739.8519999999999</v>
      </c>
      <c r="L240" s="130">
        <v>2739.85</v>
      </c>
      <c r="M240" s="107">
        <v>45355</v>
      </c>
      <c r="N240" s="143">
        <f>+Table6[[#This Row],[стойност с ДДС]]-Table6[[#This Row],[плащане]]</f>
        <v>1.9999999999527063E-3</v>
      </c>
      <c r="O240" s="208">
        <v>45336</v>
      </c>
    </row>
    <row r="241" spans="1:15" ht="20.100000000000001" customHeight="1" x14ac:dyDescent="0.3">
      <c r="A241" s="97" t="s">
        <v>91</v>
      </c>
      <c r="B241" s="393">
        <v>3000002686</v>
      </c>
      <c r="C241" s="110">
        <v>45351</v>
      </c>
      <c r="D241" s="97"/>
      <c r="E241" s="97" t="s">
        <v>59</v>
      </c>
      <c r="F241" s="118"/>
      <c r="G241" s="97"/>
      <c r="H241" s="113">
        <v>194.46799999999999</v>
      </c>
      <c r="I241" s="114">
        <v>0.6</v>
      </c>
      <c r="J241" s="115">
        <f t="shared" si="22"/>
        <v>116.68</v>
      </c>
      <c r="K241" s="115">
        <f t="shared" si="23"/>
        <v>140.01599999999999</v>
      </c>
      <c r="L241" s="115">
        <v>140.02000000000001</v>
      </c>
      <c r="M241" s="107">
        <v>45355</v>
      </c>
      <c r="N241" s="106">
        <f>+Table6[[#This Row],[стойност с ДДС]]-Table6[[#This Row],[плащане]]</f>
        <v>-4.0000000000190994E-3</v>
      </c>
      <c r="O241" s="208">
        <v>45336</v>
      </c>
    </row>
    <row r="242" spans="1:15" ht="20.100000000000001" customHeight="1" x14ac:dyDescent="0.3">
      <c r="A242" s="97" t="s">
        <v>69</v>
      </c>
      <c r="B242" s="393">
        <v>3000002687</v>
      </c>
      <c r="C242" s="110">
        <v>45351</v>
      </c>
      <c r="D242" s="97"/>
      <c r="E242" s="132" t="s">
        <v>33</v>
      </c>
      <c r="F242" s="101"/>
      <c r="G242" s="97"/>
      <c r="H242" s="113">
        <v>1</v>
      </c>
      <c r="I242" s="114">
        <v>26345.77</v>
      </c>
      <c r="J242" s="115">
        <f t="shared" si="22"/>
        <v>26345.77</v>
      </c>
      <c r="K242" s="115">
        <f t="shared" si="23"/>
        <v>31614.923999999999</v>
      </c>
      <c r="L242" s="115">
        <v>31614.92</v>
      </c>
      <c r="M242" s="107">
        <v>45355</v>
      </c>
      <c r="N242" s="106">
        <f>+Table6[[#This Row],[стойност с ДДС]]-Table6[[#This Row],[плащане]]</f>
        <v>4.0000000008149073E-3</v>
      </c>
      <c r="O242" s="208">
        <v>45336</v>
      </c>
    </row>
    <row r="243" spans="1:15" ht="20.100000000000001" customHeight="1" x14ac:dyDescent="0.3">
      <c r="A243" s="97" t="s">
        <v>69</v>
      </c>
      <c r="B243" s="393">
        <v>3000002688</v>
      </c>
      <c r="C243" s="110">
        <v>45351</v>
      </c>
      <c r="D243" s="97"/>
      <c r="E243" s="132" t="s">
        <v>33</v>
      </c>
      <c r="F243" s="101"/>
      <c r="G243" s="97"/>
      <c r="H243" s="113">
        <v>-1</v>
      </c>
      <c r="I243" s="114">
        <v>617.87</v>
      </c>
      <c r="J243" s="115">
        <v>-617.87</v>
      </c>
      <c r="K243" s="115">
        <f t="shared" si="23"/>
        <v>-741.44399999999996</v>
      </c>
      <c r="L243" s="115">
        <v>-741.44</v>
      </c>
      <c r="M243" s="107">
        <v>45355</v>
      </c>
      <c r="N243" s="106">
        <f>+Table6[[#This Row],[стойност с ДДС]]-Table6[[#This Row],[плащане]]</f>
        <v>-3.9999999999054126E-3</v>
      </c>
      <c r="O243" s="208">
        <v>45336</v>
      </c>
    </row>
    <row r="244" spans="1:15" ht="20.100000000000001" customHeight="1" x14ac:dyDescent="0.3">
      <c r="A244" s="116" t="s">
        <v>69</v>
      </c>
      <c r="B244" s="394">
        <v>3000002688</v>
      </c>
      <c r="C244" s="117">
        <v>45351</v>
      </c>
      <c r="D244" s="116"/>
      <c r="E244" s="144" t="s">
        <v>33</v>
      </c>
      <c r="F244" s="118"/>
      <c r="G244" s="97"/>
      <c r="H244" s="141">
        <v>11.474</v>
      </c>
      <c r="I244" s="142">
        <v>53.85</v>
      </c>
      <c r="J244" s="130">
        <f t="shared" ref="J244:J253" si="24">ROUND(+H244*I244,2)</f>
        <v>617.87</v>
      </c>
      <c r="K244" s="130">
        <f t="shared" si="23"/>
        <v>741.44399999999996</v>
      </c>
      <c r="L244" s="130">
        <v>741.44</v>
      </c>
      <c r="M244" s="107">
        <v>45355</v>
      </c>
      <c r="N244" s="143">
        <f>+Table6[[#This Row],[стойност с ДДС]]-Table6[[#This Row],[плащане]]</f>
        <v>3.9999999999054126E-3</v>
      </c>
      <c r="O244" s="208">
        <v>45336</v>
      </c>
    </row>
    <row r="245" spans="1:15" ht="20.100000000000001" customHeight="1" x14ac:dyDescent="0.3">
      <c r="A245" s="116" t="s">
        <v>69</v>
      </c>
      <c r="B245" s="394">
        <v>3000002688</v>
      </c>
      <c r="C245" s="117">
        <v>45351</v>
      </c>
      <c r="D245" s="116"/>
      <c r="E245" s="145" t="s">
        <v>58</v>
      </c>
      <c r="F245" s="118"/>
      <c r="G245" s="116"/>
      <c r="H245" s="141">
        <v>11.474</v>
      </c>
      <c r="I245" s="142">
        <v>0.52290000000000003</v>
      </c>
      <c r="J245" s="130">
        <f t="shared" si="24"/>
        <v>6</v>
      </c>
      <c r="K245" s="130">
        <f t="shared" si="23"/>
        <v>7.1999999999999993</v>
      </c>
      <c r="L245" s="130">
        <v>7.2</v>
      </c>
      <c r="M245" s="107">
        <v>45355</v>
      </c>
      <c r="N245" s="143">
        <f>+Table6[[#This Row],[стойност с ДДС]]-Table6[[#This Row],[плащане]]</f>
        <v>0</v>
      </c>
      <c r="O245" s="208">
        <v>45336</v>
      </c>
    </row>
    <row r="246" spans="1:15" ht="20.100000000000001" customHeight="1" x14ac:dyDescent="0.3">
      <c r="A246" s="97" t="s">
        <v>69</v>
      </c>
      <c r="B246" s="393">
        <v>3000002688</v>
      </c>
      <c r="C246" s="110">
        <v>45351</v>
      </c>
      <c r="D246" s="97"/>
      <c r="E246" s="145" t="s">
        <v>59</v>
      </c>
      <c r="F246" s="101"/>
      <c r="G246" s="116"/>
      <c r="H246" s="113">
        <v>41.305999999999997</v>
      </c>
      <c r="I246" s="114">
        <v>0.6</v>
      </c>
      <c r="J246" s="115">
        <f t="shared" si="24"/>
        <v>24.78</v>
      </c>
      <c r="K246" s="115">
        <f t="shared" si="23"/>
        <v>29.736000000000001</v>
      </c>
      <c r="L246" s="115">
        <v>29.74</v>
      </c>
      <c r="M246" s="107">
        <v>45355</v>
      </c>
      <c r="N246" s="106">
        <f>+Table6[[#This Row],[стойност с ДДС]]-Table6[[#This Row],[плащане]]</f>
        <v>-3.9999999999977831E-3</v>
      </c>
      <c r="O246" s="208">
        <v>45336</v>
      </c>
    </row>
    <row r="247" spans="1:15" ht="20.100000000000001" customHeight="1" x14ac:dyDescent="0.3">
      <c r="A247" s="97" t="s">
        <v>72</v>
      </c>
      <c r="B247" s="393">
        <v>3000002689</v>
      </c>
      <c r="C247" s="110">
        <v>45351</v>
      </c>
      <c r="D247" s="97"/>
      <c r="E247" s="132" t="s">
        <v>33</v>
      </c>
      <c r="F247" s="101" t="s">
        <v>85</v>
      </c>
      <c r="G247" s="116"/>
      <c r="H247" s="113">
        <v>-1</v>
      </c>
      <c r="I247" s="114">
        <v>3775.64</v>
      </c>
      <c r="J247" s="115">
        <f t="shared" si="24"/>
        <v>-3775.64</v>
      </c>
      <c r="K247" s="115">
        <f t="shared" si="23"/>
        <v>-4530.768</v>
      </c>
      <c r="L247" s="115">
        <v>-4530.7700000000004</v>
      </c>
      <c r="M247" s="107">
        <v>45362</v>
      </c>
      <c r="N247" s="106">
        <f>+Table6[[#This Row],[стойност с ДДС]]-Table6[[#This Row],[плащане]]</f>
        <v>2.0000000004074536E-3</v>
      </c>
      <c r="O247" s="208">
        <v>45362</v>
      </c>
    </row>
    <row r="248" spans="1:15" ht="20.100000000000001" customHeight="1" x14ac:dyDescent="0.3">
      <c r="A248" s="97" t="s">
        <v>72</v>
      </c>
      <c r="B248" s="393">
        <v>3000002690</v>
      </c>
      <c r="C248" s="110">
        <v>45351</v>
      </c>
      <c r="D248" s="97"/>
      <c r="E248" s="132" t="s">
        <v>33</v>
      </c>
      <c r="F248" s="101"/>
      <c r="G248" s="116"/>
      <c r="H248" s="113">
        <v>-1</v>
      </c>
      <c r="I248" s="114">
        <v>29835.759999999998</v>
      </c>
      <c r="J248" s="115">
        <f t="shared" si="24"/>
        <v>-29835.759999999998</v>
      </c>
      <c r="K248" s="115">
        <f t="shared" si="23"/>
        <v>-35802.911999999997</v>
      </c>
      <c r="L248" s="115">
        <v>-35802.910000000003</v>
      </c>
      <c r="M248" s="107">
        <v>45363</v>
      </c>
      <c r="N248" s="106">
        <f>+Table6[[#This Row],[стойност с ДДС]]-Table6[[#This Row],[плащане]]</f>
        <v>-1.999999993131496E-3</v>
      </c>
      <c r="O248" s="208">
        <v>45362</v>
      </c>
    </row>
    <row r="249" spans="1:15" ht="20.100000000000001" customHeight="1" x14ac:dyDescent="0.3">
      <c r="A249" s="116" t="s">
        <v>72</v>
      </c>
      <c r="B249" s="394">
        <v>3000002690</v>
      </c>
      <c r="C249" s="117">
        <v>45351</v>
      </c>
      <c r="D249" s="116"/>
      <c r="E249" s="132" t="s">
        <v>33</v>
      </c>
      <c r="F249" s="118"/>
      <c r="G249" s="116"/>
      <c r="H249" s="141">
        <v>482.54500000000002</v>
      </c>
      <c r="I249" s="142">
        <v>61.83</v>
      </c>
      <c r="J249" s="130">
        <f t="shared" si="24"/>
        <v>29835.759999999998</v>
      </c>
      <c r="K249" s="130">
        <f t="shared" si="23"/>
        <v>35802.911999999997</v>
      </c>
      <c r="L249" s="130">
        <v>35802.910000000003</v>
      </c>
      <c r="M249" s="107">
        <v>45363</v>
      </c>
      <c r="N249" s="143">
        <f>+Table6[[#This Row],[стойност с ДДС]]-Table6[[#This Row],[плащане]]</f>
        <v>1.999999993131496E-3</v>
      </c>
      <c r="O249" s="208">
        <v>45362</v>
      </c>
    </row>
    <row r="250" spans="1:15" ht="20.100000000000001" customHeight="1" x14ac:dyDescent="0.3">
      <c r="A250" s="116" t="s">
        <v>72</v>
      </c>
      <c r="B250" s="394">
        <v>3000002690</v>
      </c>
      <c r="C250" s="117">
        <v>45351</v>
      </c>
      <c r="D250" s="116"/>
      <c r="E250" s="116" t="s">
        <v>56</v>
      </c>
      <c r="F250" s="118"/>
      <c r="G250" s="116"/>
      <c r="H250" s="141">
        <v>6.3</v>
      </c>
      <c r="I250" s="142">
        <v>3.3016999999999999</v>
      </c>
      <c r="J250" s="130">
        <f t="shared" si="24"/>
        <v>20.8</v>
      </c>
      <c r="K250" s="130">
        <f t="shared" si="23"/>
        <v>24.96</v>
      </c>
      <c r="L250" s="130">
        <v>24.96</v>
      </c>
      <c r="M250" s="107">
        <v>45363</v>
      </c>
      <c r="N250" s="143">
        <f>+Table6[[#This Row],[стойност с ДДС]]-Table6[[#This Row],[плащане]]</f>
        <v>0</v>
      </c>
      <c r="O250" s="208">
        <v>45362</v>
      </c>
    </row>
    <row r="251" spans="1:15" ht="20.100000000000001" customHeight="1" x14ac:dyDescent="0.3">
      <c r="A251" s="116" t="s">
        <v>72</v>
      </c>
      <c r="B251" s="394">
        <v>3000002690</v>
      </c>
      <c r="C251" s="117">
        <v>45351</v>
      </c>
      <c r="D251" s="116"/>
      <c r="E251" s="145" t="s">
        <v>58</v>
      </c>
      <c r="F251" s="118"/>
      <c r="G251" s="116"/>
      <c r="H251" s="141">
        <v>482.54500000000002</v>
      </c>
      <c r="I251" s="142">
        <v>0.52290000000000003</v>
      </c>
      <c r="J251" s="130">
        <f t="shared" si="24"/>
        <v>252.32</v>
      </c>
      <c r="K251" s="130">
        <f t="shared" si="23"/>
        <v>302.78399999999999</v>
      </c>
      <c r="L251" s="130">
        <v>302.32</v>
      </c>
      <c r="M251" s="107">
        <v>45363</v>
      </c>
      <c r="N251" s="143">
        <f>+Table6[[#This Row],[стойност с ДДС]]-Table6[[#This Row],[плащане]]</f>
        <v>0.46399999999999864</v>
      </c>
      <c r="O251" s="208">
        <v>45362</v>
      </c>
    </row>
    <row r="252" spans="1:15" ht="20.100000000000001" customHeight="1" x14ac:dyDescent="0.3">
      <c r="A252" s="116" t="s">
        <v>72</v>
      </c>
      <c r="B252" s="394">
        <v>3000002690</v>
      </c>
      <c r="C252" s="117">
        <v>45351</v>
      </c>
      <c r="D252" s="116"/>
      <c r="E252" s="145" t="s">
        <v>59</v>
      </c>
      <c r="F252" s="118"/>
      <c r="G252" s="116"/>
      <c r="H252" s="141">
        <v>1737.162</v>
      </c>
      <c r="I252" s="142">
        <v>0.6</v>
      </c>
      <c r="J252" s="130">
        <f t="shared" si="24"/>
        <v>1042.3</v>
      </c>
      <c r="K252" s="130">
        <f t="shared" si="23"/>
        <v>1250.76</v>
      </c>
      <c r="L252" s="130">
        <v>1250.76</v>
      </c>
      <c r="M252" s="107">
        <v>45363</v>
      </c>
      <c r="N252" s="143">
        <f>+Table6[[#This Row],[стойност с ДДС]]-Table6[[#This Row],[плащане]]</f>
        <v>0</v>
      </c>
      <c r="O252" s="208">
        <v>45362</v>
      </c>
    </row>
    <row r="253" spans="1:15" ht="20.100000000000001" customHeight="1" x14ac:dyDescent="0.3">
      <c r="A253" s="116" t="s">
        <v>94</v>
      </c>
      <c r="B253" s="394">
        <v>3000002691</v>
      </c>
      <c r="C253" s="117">
        <v>45351</v>
      </c>
      <c r="D253" s="116"/>
      <c r="E253" s="144" t="s">
        <v>33</v>
      </c>
      <c r="F253" s="118"/>
      <c r="G253" s="116"/>
      <c r="H253" s="141">
        <v>-1</v>
      </c>
      <c r="I253" s="142">
        <v>188.69</v>
      </c>
      <c r="J253" s="130">
        <f t="shared" si="24"/>
        <v>-188.69</v>
      </c>
      <c r="K253" s="130">
        <f t="shared" si="23"/>
        <v>-226.428</v>
      </c>
      <c r="L253" s="130">
        <v>226.43</v>
      </c>
      <c r="M253" s="107">
        <v>45355</v>
      </c>
      <c r="N253" s="143">
        <f>+Table6[[#This Row],[стойност с ДДС]]-Table6[[#This Row],[плащане]]</f>
        <v>-452.858</v>
      </c>
      <c r="O253" s="208">
        <v>45336</v>
      </c>
    </row>
    <row r="254" spans="1:15" ht="20.100000000000001" customHeight="1" x14ac:dyDescent="0.3">
      <c r="A254" s="116" t="s">
        <v>98</v>
      </c>
      <c r="B254" s="394">
        <v>3000002693</v>
      </c>
      <c r="C254" s="117">
        <v>45351</v>
      </c>
      <c r="D254" s="146"/>
      <c r="E254" s="144" t="s">
        <v>33</v>
      </c>
      <c r="F254" s="101"/>
      <c r="G254" s="97"/>
      <c r="H254" s="113">
        <v>1</v>
      </c>
      <c r="I254" s="114">
        <v>79718.41</v>
      </c>
      <c r="J254" s="115">
        <f>ROUND(+H254*I254,2)</f>
        <v>79718.41</v>
      </c>
      <c r="K254" s="115">
        <f t="shared" si="23"/>
        <v>95662.092000000004</v>
      </c>
      <c r="L254" s="115">
        <v>95662.09</v>
      </c>
      <c r="M254" s="107">
        <v>45355</v>
      </c>
      <c r="N254" s="106">
        <f>+Table6[[#This Row],[стойност с ДДС]]-Table6[[#This Row],[плащане]]</f>
        <v>2.0000000076834112E-3</v>
      </c>
      <c r="O254" s="208">
        <v>45336</v>
      </c>
    </row>
    <row r="255" spans="1:15" ht="20.100000000000001" customHeight="1" x14ac:dyDescent="0.3">
      <c r="A255" s="116" t="s">
        <v>82</v>
      </c>
      <c r="B255" s="394">
        <v>3000002695</v>
      </c>
      <c r="C255" s="117">
        <v>45351</v>
      </c>
      <c r="D255" s="146"/>
      <c r="E255" s="132" t="s">
        <v>33</v>
      </c>
      <c r="F255" s="101"/>
      <c r="G255" s="97"/>
      <c r="H255" s="113">
        <v>1</v>
      </c>
      <c r="I255" s="114">
        <v>13166.924999999999</v>
      </c>
      <c r="J255" s="115">
        <f t="shared" ref="J255:J262" si="25">ROUND(+H255*I255,2)</f>
        <v>13166.93</v>
      </c>
      <c r="K255" s="115">
        <f t="shared" ref="K255" si="26">J255*1.2</f>
        <v>15800.315999999999</v>
      </c>
      <c r="L255" s="115">
        <v>15800.32</v>
      </c>
      <c r="M255" s="107">
        <v>45355</v>
      </c>
      <c r="N255" s="106">
        <f>+Table6[[#This Row],[стойност с ДДС]]-Table6[[#This Row],[плащане]]</f>
        <v>-4.0000000008149073E-3</v>
      </c>
      <c r="O255" s="208">
        <v>45336</v>
      </c>
    </row>
    <row r="256" spans="1:15" ht="20.100000000000001" customHeight="1" x14ac:dyDescent="0.3">
      <c r="A256" s="97" t="s">
        <v>98</v>
      </c>
      <c r="B256" s="394">
        <v>3000002694</v>
      </c>
      <c r="C256" s="117">
        <v>45351</v>
      </c>
      <c r="D256" s="146"/>
      <c r="E256" s="132" t="s">
        <v>33</v>
      </c>
      <c r="F256" s="101"/>
      <c r="G256" s="97"/>
      <c r="H256" s="113">
        <v>-1</v>
      </c>
      <c r="I256" s="114">
        <v>27679.33</v>
      </c>
      <c r="J256" s="115">
        <f t="shared" si="25"/>
        <v>-27679.33</v>
      </c>
      <c r="K256" s="115">
        <f>+Table6[[#This Row],[стойност]]*1.2</f>
        <v>-33215.196000000004</v>
      </c>
      <c r="L256" s="115">
        <v>-33215.199999999997</v>
      </c>
      <c r="M256" s="107">
        <v>45356</v>
      </c>
      <c r="N256" s="106">
        <f>+Table6[[#This Row],[стойност с ДДС]]-Table6[[#This Row],[плащане]]</f>
        <v>3.9999999935389496E-3</v>
      </c>
      <c r="O256" s="208">
        <v>45336</v>
      </c>
    </row>
    <row r="257" spans="1:15" ht="20.100000000000001" customHeight="1" x14ac:dyDescent="0.3">
      <c r="A257" s="97" t="s">
        <v>98</v>
      </c>
      <c r="B257" s="393">
        <v>3000002694</v>
      </c>
      <c r="C257" s="110">
        <v>45351</v>
      </c>
      <c r="D257" s="138"/>
      <c r="E257" s="132" t="s">
        <v>33</v>
      </c>
      <c r="F257" s="101"/>
      <c r="G257" s="97"/>
      <c r="H257" s="113">
        <v>514.00800000000004</v>
      </c>
      <c r="I257" s="114">
        <v>53.85</v>
      </c>
      <c r="J257" s="115">
        <f t="shared" si="25"/>
        <v>27679.33</v>
      </c>
      <c r="K257" s="115">
        <f t="shared" ref="K257:K262" si="27">J257*1.2</f>
        <v>33215.196000000004</v>
      </c>
      <c r="L257" s="115">
        <v>33215.196000000004</v>
      </c>
      <c r="M257" s="107">
        <v>45356</v>
      </c>
      <c r="N257" s="106">
        <f>+Table6[[#This Row],[стойност с ДДС]]-Table6[[#This Row],[плащане]]</f>
        <v>0</v>
      </c>
      <c r="O257" s="208">
        <v>45336</v>
      </c>
    </row>
    <row r="258" spans="1:15" ht="20.100000000000001" customHeight="1" x14ac:dyDescent="0.3">
      <c r="A258" s="97" t="s">
        <v>98</v>
      </c>
      <c r="B258" s="393">
        <v>3000002694</v>
      </c>
      <c r="C258" s="110">
        <v>45351</v>
      </c>
      <c r="D258" s="138"/>
      <c r="E258" s="139" t="s">
        <v>55</v>
      </c>
      <c r="F258" s="101"/>
      <c r="G258" s="97"/>
      <c r="H258" s="113">
        <v>29.77</v>
      </c>
      <c r="I258" s="114">
        <v>7.3657000000000004</v>
      </c>
      <c r="J258" s="115">
        <f t="shared" si="25"/>
        <v>219.28</v>
      </c>
      <c r="K258" s="115">
        <f t="shared" si="27"/>
        <v>263.13599999999997</v>
      </c>
      <c r="L258" s="115">
        <v>263.13599999999997</v>
      </c>
      <c r="M258" s="107">
        <v>45356</v>
      </c>
      <c r="N258" s="106">
        <f>+Table6[[#This Row],[стойност с ДДС]]-Table6[[#This Row],[плащане]]</f>
        <v>0</v>
      </c>
      <c r="O258" s="208">
        <v>45336</v>
      </c>
    </row>
    <row r="259" spans="1:15" ht="20.100000000000001" customHeight="1" x14ac:dyDescent="0.3">
      <c r="A259" s="97" t="s">
        <v>98</v>
      </c>
      <c r="B259" s="393">
        <v>3000002694</v>
      </c>
      <c r="C259" s="110">
        <v>45351</v>
      </c>
      <c r="D259" s="138"/>
      <c r="E259" s="139" t="s">
        <v>57</v>
      </c>
      <c r="F259" s="101"/>
      <c r="G259" s="97"/>
      <c r="H259" s="113">
        <v>771.6</v>
      </c>
      <c r="I259" s="114">
        <v>5.8925999999999998</v>
      </c>
      <c r="J259" s="115">
        <f t="shared" si="25"/>
        <v>4546.7299999999996</v>
      </c>
      <c r="K259" s="115">
        <f t="shared" si="27"/>
        <v>5456.0759999999991</v>
      </c>
      <c r="L259" s="115">
        <v>5456.0759999999991</v>
      </c>
      <c r="M259" s="107">
        <v>45356</v>
      </c>
      <c r="N259" s="106">
        <f>+Table6[[#This Row],[стойност с ДДС]]-Table6[[#This Row],[плащане]]</f>
        <v>0</v>
      </c>
      <c r="O259" s="208">
        <v>45336</v>
      </c>
    </row>
    <row r="260" spans="1:15" ht="20.100000000000001" customHeight="1" x14ac:dyDescent="0.3">
      <c r="A260" s="97" t="s">
        <v>98</v>
      </c>
      <c r="B260" s="393">
        <v>3000002694</v>
      </c>
      <c r="C260" s="110">
        <v>45351</v>
      </c>
      <c r="D260" s="138"/>
      <c r="E260" s="139" t="s">
        <v>56</v>
      </c>
      <c r="F260" s="101"/>
      <c r="G260" s="97"/>
      <c r="H260" s="113">
        <v>6.9420000000000002</v>
      </c>
      <c r="I260" s="114">
        <v>8.3582999999999998</v>
      </c>
      <c r="J260" s="115">
        <f t="shared" si="25"/>
        <v>58.02</v>
      </c>
      <c r="K260" s="115">
        <f t="shared" si="27"/>
        <v>69.623999999999995</v>
      </c>
      <c r="L260" s="115">
        <v>69.623999999999995</v>
      </c>
      <c r="M260" s="107">
        <v>45356</v>
      </c>
      <c r="N260" s="106">
        <f>+Table6[[#This Row],[стойност с ДДС]]-Table6[[#This Row],[плащане]]</f>
        <v>0</v>
      </c>
      <c r="O260" s="208">
        <v>45336</v>
      </c>
    </row>
    <row r="261" spans="1:15" ht="20.100000000000001" customHeight="1" x14ac:dyDescent="0.3">
      <c r="A261" s="97" t="s">
        <v>98</v>
      </c>
      <c r="B261" s="393">
        <v>3000002694</v>
      </c>
      <c r="C261" s="110">
        <v>45351</v>
      </c>
      <c r="D261" s="138"/>
      <c r="E261" s="139" t="s">
        <v>58</v>
      </c>
      <c r="F261" s="101"/>
      <c r="G261" s="97"/>
      <c r="H261" s="113">
        <v>514.00800000000004</v>
      </c>
      <c r="I261" s="114">
        <v>1.0194000000000001</v>
      </c>
      <c r="J261" s="115">
        <f t="shared" si="25"/>
        <v>523.98</v>
      </c>
      <c r="K261" s="115">
        <f t="shared" si="27"/>
        <v>628.77599999999995</v>
      </c>
      <c r="L261" s="115">
        <v>628.77599999999995</v>
      </c>
      <c r="M261" s="107">
        <v>45356</v>
      </c>
      <c r="N261" s="106">
        <f>+Table6[[#This Row],[стойност с ДДС]]-Table6[[#This Row],[плащане]]</f>
        <v>0</v>
      </c>
      <c r="O261" s="208">
        <v>45336</v>
      </c>
    </row>
    <row r="262" spans="1:15" ht="20.100000000000001" customHeight="1" x14ac:dyDescent="0.3">
      <c r="A262" s="116" t="s">
        <v>98</v>
      </c>
      <c r="B262" s="394">
        <v>3000002694</v>
      </c>
      <c r="C262" s="117">
        <v>45351</v>
      </c>
      <c r="D262" s="146"/>
      <c r="E262" s="97" t="s">
        <v>59</v>
      </c>
      <c r="F262" s="101"/>
      <c r="G262" s="97"/>
      <c r="H262" s="113">
        <v>1850.4290000000001</v>
      </c>
      <c r="I262" s="114">
        <v>0.6</v>
      </c>
      <c r="J262" s="115">
        <f t="shared" si="25"/>
        <v>1110.26</v>
      </c>
      <c r="K262" s="115">
        <f t="shared" si="27"/>
        <v>1332.3119999999999</v>
      </c>
      <c r="L262" s="115">
        <v>1332.3119999999999</v>
      </c>
      <c r="M262" s="107">
        <v>45356</v>
      </c>
      <c r="N262" s="106">
        <f>+Table6[[#This Row],[стойност с ДДС]]-Table6[[#This Row],[плащане]]</f>
        <v>0</v>
      </c>
      <c r="O262" s="208">
        <v>45336</v>
      </c>
    </row>
    <row r="263" spans="1:15" ht="20.100000000000001" customHeight="1" collapsed="1" x14ac:dyDescent="0.3">
      <c r="A263" s="116" t="s">
        <v>82</v>
      </c>
      <c r="B263" s="394">
        <v>3000002696</v>
      </c>
      <c r="C263" s="117">
        <v>45351</v>
      </c>
      <c r="E263" s="132" t="s">
        <v>33</v>
      </c>
      <c r="F263" s="101"/>
      <c r="G263" s="97"/>
      <c r="H263" s="113"/>
      <c r="I263" s="114"/>
      <c r="J263" s="115">
        <v>1419.92</v>
      </c>
      <c r="K263" s="115">
        <f t="shared" ref="K263:K290" si="28">J263*1.2</f>
        <v>1703.904</v>
      </c>
      <c r="L263" s="115">
        <v>1703.904</v>
      </c>
      <c r="M263" s="107">
        <v>45356</v>
      </c>
      <c r="N263" s="106">
        <f>+Table6[[#This Row],[стойност с ДДС]]-Table6[[#This Row],[плащане]]</f>
        <v>0</v>
      </c>
      <c r="O263" s="208">
        <v>45336</v>
      </c>
    </row>
    <row r="264" spans="1:15" ht="20.100000000000001" customHeight="1" x14ac:dyDescent="0.3">
      <c r="A264" s="116" t="s">
        <v>49</v>
      </c>
      <c r="B264" s="393">
        <v>3000002697</v>
      </c>
      <c r="C264" s="110">
        <v>45351</v>
      </c>
      <c r="D264" s="138"/>
      <c r="E264" s="132" t="s">
        <v>33</v>
      </c>
      <c r="F264" s="101" t="s">
        <v>85</v>
      </c>
      <c r="G264" s="97"/>
      <c r="H264" s="113">
        <v>1</v>
      </c>
      <c r="I264" s="114">
        <v>253.57</v>
      </c>
      <c r="J264" s="115">
        <f t="shared" ref="J264:J269" si="29">ROUND(+H264*I264,2)</f>
        <v>253.57</v>
      </c>
      <c r="K264" s="115">
        <f t="shared" si="28"/>
        <v>304.28399999999999</v>
      </c>
      <c r="L264" s="115">
        <v>304.28399999999999</v>
      </c>
      <c r="M264" s="107">
        <v>45356</v>
      </c>
      <c r="N264" s="106">
        <f>+Table6[[#This Row],[стойност с ДДС]]-Table6[[#This Row],[плащане]]</f>
        <v>0</v>
      </c>
      <c r="O264" s="208">
        <v>45336</v>
      </c>
    </row>
    <row r="265" spans="1:15" ht="20.100000000000001" customHeight="1" x14ac:dyDescent="0.3">
      <c r="A265" s="116" t="s">
        <v>62</v>
      </c>
      <c r="B265" s="394">
        <v>3000002681</v>
      </c>
      <c r="C265" s="117">
        <v>45351</v>
      </c>
      <c r="D265" s="146"/>
      <c r="E265" s="111" t="s">
        <v>54</v>
      </c>
      <c r="F265" s="101"/>
      <c r="G265" s="97"/>
      <c r="H265" s="113">
        <v>1</v>
      </c>
      <c r="I265" s="114">
        <v>63493.2</v>
      </c>
      <c r="J265" s="115">
        <f t="shared" si="29"/>
        <v>63493.2</v>
      </c>
      <c r="K265" s="115">
        <f t="shared" si="28"/>
        <v>76191.839999999997</v>
      </c>
      <c r="L265" s="115">
        <v>76191.839999999997</v>
      </c>
      <c r="M265" s="107">
        <v>45356</v>
      </c>
      <c r="N265" s="106">
        <f>+Table6[[#This Row],[стойност с ДДС]]-Table6[[#This Row],[плащане]]</f>
        <v>0</v>
      </c>
      <c r="O265" s="208">
        <v>45336</v>
      </c>
    </row>
    <row r="266" spans="1:15" ht="20.100000000000001" customHeight="1" x14ac:dyDescent="0.3">
      <c r="A266" s="116" t="s">
        <v>62</v>
      </c>
      <c r="B266" s="394">
        <v>3000002681</v>
      </c>
      <c r="C266" s="117">
        <v>45351</v>
      </c>
      <c r="D266" s="146"/>
      <c r="E266" s="100" t="s">
        <v>53</v>
      </c>
      <c r="F266" s="101"/>
      <c r="G266" s="97"/>
      <c r="H266" s="113">
        <v>26948.986000000001</v>
      </c>
      <c r="I266" s="114">
        <v>71.08</v>
      </c>
      <c r="J266" s="115">
        <f t="shared" si="29"/>
        <v>1915533.92</v>
      </c>
      <c r="K266" s="115">
        <f t="shared" si="28"/>
        <v>2298640.7039999999</v>
      </c>
      <c r="L266" s="115">
        <v>2298640.7039999999</v>
      </c>
      <c r="M266" s="107">
        <v>45356</v>
      </c>
      <c r="N266" s="106">
        <f>+Table6[[#This Row],[стойност с ДДС]]-Table6[[#This Row],[плащане]]</f>
        <v>0</v>
      </c>
      <c r="O266" s="208">
        <v>45336</v>
      </c>
    </row>
    <row r="267" spans="1:15" ht="20.100000000000001" customHeight="1" x14ac:dyDescent="0.3">
      <c r="A267" s="116" t="s">
        <v>62</v>
      </c>
      <c r="B267" s="394">
        <v>3000002681</v>
      </c>
      <c r="C267" s="117">
        <v>45351</v>
      </c>
      <c r="D267" s="146"/>
      <c r="E267" s="139" t="s">
        <v>55</v>
      </c>
      <c r="F267" s="101"/>
      <c r="G267" s="97"/>
      <c r="H267" s="113">
        <v>50</v>
      </c>
      <c r="I267" s="114">
        <v>7.3657000000000004</v>
      </c>
      <c r="J267" s="115">
        <f t="shared" si="29"/>
        <v>368.29</v>
      </c>
      <c r="K267" s="115">
        <f t="shared" si="28"/>
        <v>441.94800000000004</v>
      </c>
      <c r="L267" s="115">
        <v>441.94800000000004</v>
      </c>
      <c r="M267" s="107">
        <v>45356</v>
      </c>
      <c r="N267" s="106">
        <f>+Table6[[#This Row],[стойност с ДДС]]-Table6[[#This Row],[плащане]]</f>
        <v>0</v>
      </c>
      <c r="O267" s="208">
        <v>45336</v>
      </c>
    </row>
    <row r="268" spans="1:15" ht="20.100000000000001" customHeight="1" x14ac:dyDescent="0.3">
      <c r="A268" s="116" t="s">
        <v>62</v>
      </c>
      <c r="B268" s="394">
        <v>3000002681</v>
      </c>
      <c r="C268" s="117">
        <v>45351</v>
      </c>
      <c r="D268" s="146"/>
      <c r="E268" s="139" t="s">
        <v>55</v>
      </c>
      <c r="F268" s="101"/>
      <c r="G268" s="97"/>
      <c r="H268" s="113">
        <v>600</v>
      </c>
      <c r="I268" s="114">
        <v>5.8925999999999998</v>
      </c>
      <c r="J268" s="115">
        <f t="shared" si="29"/>
        <v>3535.56</v>
      </c>
      <c r="K268" s="115">
        <f t="shared" si="28"/>
        <v>4242.6719999999996</v>
      </c>
      <c r="L268" s="115">
        <v>4242.6719999999996</v>
      </c>
      <c r="M268" s="107">
        <v>45356</v>
      </c>
      <c r="N268" s="106">
        <f>+Table6[[#This Row],[стойност с ДДС]]-Table6[[#This Row],[плащане]]</f>
        <v>0</v>
      </c>
      <c r="O268" s="208">
        <v>45336</v>
      </c>
    </row>
    <row r="269" spans="1:15" ht="20.100000000000001" customHeight="1" x14ac:dyDescent="0.3">
      <c r="A269" s="116" t="s">
        <v>62</v>
      </c>
      <c r="B269" s="394">
        <v>3000002681</v>
      </c>
      <c r="C269" s="117">
        <v>45351</v>
      </c>
      <c r="D269" s="146"/>
      <c r="E269" s="139" t="s">
        <v>58</v>
      </c>
      <c r="F269" s="101"/>
      <c r="G269" s="97"/>
      <c r="H269" s="113">
        <v>89008.587</v>
      </c>
      <c r="I269" s="114">
        <v>1.0194000000000001</v>
      </c>
      <c r="J269" s="115">
        <f t="shared" si="29"/>
        <v>90735.35</v>
      </c>
      <c r="K269" s="115">
        <f t="shared" si="28"/>
        <v>108882.42</v>
      </c>
      <c r="L269" s="115">
        <v>108882.42</v>
      </c>
      <c r="M269" s="107">
        <v>45356</v>
      </c>
      <c r="N269" s="106">
        <f>+Table6[[#This Row],[стойност с ДДС]]-Table6[[#This Row],[плащане]]</f>
        <v>0</v>
      </c>
      <c r="O269" s="208">
        <v>45336</v>
      </c>
    </row>
    <row r="270" spans="1:15" ht="20.100000000000001" customHeight="1" x14ac:dyDescent="0.3">
      <c r="A270" s="116" t="s">
        <v>62</v>
      </c>
      <c r="B270" s="394">
        <v>3000002681</v>
      </c>
      <c r="C270" s="117">
        <v>45351</v>
      </c>
      <c r="D270" s="146"/>
      <c r="E270" s="97" t="s">
        <v>60</v>
      </c>
      <c r="F270" s="101"/>
      <c r="G270" s="97"/>
      <c r="H270" s="113">
        <v>320430.913</v>
      </c>
      <c r="I270" s="114"/>
      <c r="J270" s="115">
        <v>2073666.32</v>
      </c>
      <c r="K270" s="115">
        <f t="shared" si="28"/>
        <v>2488399.5839999998</v>
      </c>
      <c r="L270" s="115">
        <v>2488399.5839999998</v>
      </c>
      <c r="M270" s="107">
        <v>45356</v>
      </c>
      <c r="N270" s="106">
        <f>+Table6[[#This Row],[стойност с ДДС]]-Table6[[#This Row],[плащане]]</f>
        <v>0</v>
      </c>
      <c r="O270" s="208">
        <v>45336</v>
      </c>
    </row>
    <row r="271" spans="1:15" ht="20.100000000000001" customHeight="1" x14ac:dyDescent="0.3">
      <c r="A271" s="116" t="s">
        <v>67</v>
      </c>
      <c r="B271" s="394">
        <v>3000002682</v>
      </c>
      <c r="C271" s="117">
        <v>45351</v>
      </c>
      <c r="D271" s="116"/>
      <c r="E271" s="147" t="s">
        <v>53</v>
      </c>
      <c r="F271" s="101"/>
      <c r="G271" s="97"/>
      <c r="H271" s="113">
        <v>1639.002</v>
      </c>
      <c r="I271" s="114">
        <v>71.08</v>
      </c>
      <c r="J271" s="115">
        <f t="shared" ref="J271:J282" si="30">ROUND(+H271*I271,2)</f>
        <v>116500.26</v>
      </c>
      <c r="K271" s="115">
        <f t="shared" si="28"/>
        <v>139800.31199999998</v>
      </c>
      <c r="L271" s="115">
        <v>139800.31199999998</v>
      </c>
      <c r="M271" s="107">
        <v>45356</v>
      </c>
      <c r="N271" s="106">
        <f>+Table6[[#This Row],[стойност с ДДС]]-Table6[[#This Row],[плащане]]</f>
        <v>0</v>
      </c>
      <c r="O271" s="208">
        <v>45336</v>
      </c>
    </row>
    <row r="272" spans="1:15" ht="20.100000000000001" customHeight="1" x14ac:dyDescent="0.3">
      <c r="A272" s="116" t="s">
        <v>67</v>
      </c>
      <c r="B272" s="394">
        <v>3000002682</v>
      </c>
      <c r="C272" s="117">
        <v>45351</v>
      </c>
      <c r="D272" s="116"/>
      <c r="E272" s="111" t="s">
        <v>108</v>
      </c>
      <c r="F272" s="101"/>
      <c r="G272" s="97"/>
      <c r="H272" s="113">
        <v>1</v>
      </c>
      <c r="I272" s="114">
        <v>4624.88</v>
      </c>
      <c r="J272" s="115">
        <f t="shared" si="30"/>
        <v>4624.88</v>
      </c>
      <c r="K272" s="115">
        <f t="shared" si="28"/>
        <v>5549.8559999999998</v>
      </c>
      <c r="L272" s="115">
        <v>5549.8559999999998</v>
      </c>
      <c r="M272" s="107">
        <v>45356</v>
      </c>
      <c r="N272" s="106">
        <f>+Table6[[#This Row],[стойност с ДДС]]-Table6[[#This Row],[плащане]]</f>
        <v>0</v>
      </c>
      <c r="O272" s="208">
        <v>45336</v>
      </c>
    </row>
    <row r="273" spans="1:15" ht="20.100000000000001" customHeight="1" x14ac:dyDescent="0.3">
      <c r="A273" s="116" t="s">
        <v>67</v>
      </c>
      <c r="B273" s="394">
        <v>3000002682</v>
      </c>
      <c r="C273" s="117">
        <v>45351</v>
      </c>
      <c r="D273" s="116"/>
      <c r="E273" s="148" t="s">
        <v>55</v>
      </c>
      <c r="F273" s="101"/>
      <c r="G273" s="97"/>
      <c r="H273" s="113">
        <v>3066</v>
      </c>
      <c r="I273" s="114">
        <v>7.3657000000000004</v>
      </c>
      <c r="J273" s="115">
        <f t="shared" si="30"/>
        <v>22583.24</v>
      </c>
      <c r="K273" s="115">
        <f t="shared" si="28"/>
        <v>27099.888000000003</v>
      </c>
      <c r="L273" s="115">
        <v>27099.888000000003</v>
      </c>
      <c r="M273" s="107">
        <v>45356</v>
      </c>
      <c r="N273" s="106">
        <f>+Table6[[#This Row],[стойност с ДДС]]-Table6[[#This Row],[плащане]]</f>
        <v>0</v>
      </c>
      <c r="O273" s="208">
        <v>45336</v>
      </c>
    </row>
    <row r="274" spans="1:15" ht="20.100000000000001" customHeight="1" x14ac:dyDescent="0.3">
      <c r="A274" s="116" t="s">
        <v>67</v>
      </c>
      <c r="B274" s="394">
        <v>3000002682</v>
      </c>
      <c r="C274" s="117">
        <v>45351</v>
      </c>
      <c r="D274" s="116"/>
      <c r="E274" s="148" t="s">
        <v>57</v>
      </c>
      <c r="F274" s="101"/>
      <c r="G274" s="97"/>
      <c r="H274" s="113">
        <v>3180</v>
      </c>
      <c r="I274" s="114">
        <v>5.8925999999999998</v>
      </c>
      <c r="J274" s="115">
        <f t="shared" si="30"/>
        <v>18738.47</v>
      </c>
      <c r="K274" s="115">
        <f t="shared" si="28"/>
        <v>22486.164000000001</v>
      </c>
      <c r="L274" s="115">
        <v>22486.164000000001</v>
      </c>
      <c r="M274" s="107">
        <v>45356</v>
      </c>
      <c r="N274" s="106">
        <f>+Table6[[#This Row],[стойност с ДДС]]-Table6[[#This Row],[плащане]]</f>
        <v>0</v>
      </c>
      <c r="O274" s="208">
        <v>45336</v>
      </c>
    </row>
    <row r="275" spans="1:15" ht="20.100000000000001" customHeight="1" x14ac:dyDescent="0.3">
      <c r="A275" s="116" t="s">
        <v>67</v>
      </c>
      <c r="B275" s="394">
        <v>3000002682</v>
      </c>
      <c r="C275" s="117">
        <v>45351</v>
      </c>
      <c r="D275" s="116"/>
      <c r="E275" s="148" t="s">
        <v>56</v>
      </c>
      <c r="F275" s="101"/>
      <c r="G275" s="97"/>
      <c r="H275" s="113">
        <v>69.855000000000004</v>
      </c>
      <c r="I275" s="114">
        <v>8.3582999999999998</v>
      </c>
      <c r="J275" s="115">
        <f t="shared" si="30"/>
        <v>583.87</v>
      </c>
      <c r="K275" s="115">
        <f t="shared" si="28"/>
        <v>700.64400000000001</v>
      </c>
      <c r="L275" s="115">
        <v>700.64400000000001</v>
      </c>
      <c r="M275" s="107">
        <v>45356</v>
      </c>
      <c r="N275" s="106">
        <f>+Table6[[#This Row],[стойност с ДДС]]-Table6[[#This Row],[плащане]]</f>
        <v>0</v>
      </c>
      <c r="O275" s="208">
        <v>45336</v>
      </c>
    </row>
    <row r="276" spans="1:15" ht="20.100000000000001" customHeight="1" x14ac:dyDescent="0.3">
      <c r="A276" s="116" t="s">
        <v>67</v>
      </c>
      <c r="B276" s="394">
        <v>3000002682</v>
      </c>
      <c r="C276" s="117">
        <v>45351</v>
      </c>
      <c r="D276" s="116"/>
      <c r="E276" s="148" t="s">
        <v>58</v>
      </c>
      <c r="F276" s="101"/>
      <c r="G276" s="97"/>
      <c r="H276" s="113">
        <v>6001.6319999999996</v>
      </c>
      <c r="I276" s="114">
        <v>1.0194000000000001</v>
      </c>
      <c r="J276" s="115">
        <f t="shared" si="30"/>
        <v>6118.06</v>
      </c>
      <c r="K276" s="115">
        <f t="shared" si="28"/>
        <v>7341.6720000000005</v>
      </c>
      <c r="L276" s="115">
        <v>7341.6720000000005</v>
      </c>
      <c r="M276" s="107">
        <v>45356</v>
      </c>
      <c r="N276" s="106">
        <f>+Table6[[#This Row],[стойност с ДДС]]-Table6[[#This Row],[плащане]]</f>
        <v>0</v>
      </c>
      <c r="O276" s="208">
        <v>45336</v>
      </c>
    </row>
    <row r="277" spans="1:15" ht="20.100000000000001" customHeight="1" x14ac:dyDescent="0.3">
      <c r="A277" s="116" t="s">
        <v>67</v>
      </c>
      <c r="B277" s="394">
        <v>3000002682</v>
      </c>
      <c r="C277" s="117">
        <v>45351</v>
      </c>
      <c r="D277" s="116"/>
      <c r="E277" s="146" t="s">
        <v>60</v>
      </c>
      <c r="F277" s="101"/>
      <c r="G277" s="97"/>
      <c r="H277" s="113">
        <v>21605.875</v>
      </c>
      <c r="I277" s="114"/>
      <c r="J277" s="115">
        <f t="shared" si="30"/>
        <v>0</v>
      </c>
      <c r="K277" s="115">
        <f t="shared" si="28"/>
        <v>0</v>
      </c>
      <c r="L277" s="115">
        <v>0</v>
      </c>
      <c r="M277" s="107">
        <v>45356</v>
      </c>
      <c r="N277" s="106">
        <f>+Table6[[#This Row],[стойност с ДДС]]-Table6[[#This Row],[плащане]]</f>
        <v>0</v>
      </c>
      <c r="O277" s="208">
        <v>45336</v>
      </c>
    </row>
    <row r="278" spans="1:15" ht="20.100000000000001" customHeight="1" x14ac:dyDescent="0.3">
      <c r="A278" s="116" t="s">
        <v>83</v>
      </c>
      <c r="B278" s="394">
        <v>3000002683</v>
      </c>
      <c r="C278" s="117">
        <v>45351</v>
      </c>
      <c r="D278" s="116"/>
      <c r="E278" s="111" t="s">
        <v>54</v>
      </c>
      <c r="F278" s="101"/>
      <c r="G278" s="97"/>
      <c r="H278" s="113">
        <v>1</v>
      </c>
      <c r="I278" s="114">
        <v>4761.99</v>
      </c>
      <c r="J278" s="115">
        <f t="shared" si="30"/>
        <v>4761.99</v>
      </c>
      <c r="K278" s="115">
        <f t="shared" si="28"/>
        <v>5714.3879999999999</v>
      </c>
      <c r="L278" s="115">
        <v>5714.3879999999999</v>
      </c>
      <c r="M278" s="107">
        <v>45355</v>
      </c>
      <c r="N278" s="106">
        <f>+Table6[[#This Row],[стойност с ДДС]]-Table6[[#This Row],[плащане]]</f>
        <v>0</v>
      </c>
      <c r="O278" s="208">
        <v>45336</v>
      </c>
    </row>
    <row r="279" spans="1:15" ht="20.100000000000001" customHeight="1" x14ac:dyDescent="0.3">
      <c r="A279" s="116" t="s">
        <v>83</v>
      </c>
      <c r="B279" s="394">
        <v>3000002683</v>
      </c>
      <c r="C279" s="117">
        <v>45351</v>
      </c>
      <c r="D279" s="116"/>
      <c r="E279" s="147" t="s">
        <v>53</v>
      </c>
      <c r="F279" s="101"/>
      <c r="G279" s="97"/>
      <c r="H279" s="113">
        <v>106.131</v>
      </c>
      <c r="I279" s="114">
        <v>71.08</v>
      </c>
      <c r="J279" s="115">
        <f t="shared" si="30"/>
        <v>7543.79</v>
      </c>
      <c r="K279" s="115">
        <f t="shared" si="28"/>
        <v>9052.5479999999989</v>
      </c>
      <c r="L279" s="115">
        <v>9052.5479999999989</v>
      </c>
      <c r="M279" s="107">
        <v>45355</v>
      </c>
      <c r="N279" s="106">
        <f>+Table6[[#This Row],[стойност с ДДС]]-Table6[[#This Row],[плащане]]</f>
        <v>0</v>
      </c>
      <c r="O279" s="208">
        <v>45336</v>
      </c>
    </row>
    <row r="280" spans="1:15" ht="20.100000000000001" customHeight="1" x14ac:dyDescent="0.3">
      <c r="A280" s="116" t="s">
        <v>83</v>
      </c>
      <c r="B280" s="394">
        <v>3000002683</v>
      </c>
      <c r="C280" s="117">
        <v>45351</v>
      </c>
      <c r="D280" s="97"/>
      <c r="E280" s="148" t="s">
        <v>57</v>
      </c>
      <c r="F280" s="101"/>
      <c r="G280" s="97"/>
      <c r="H280" s="113">
        <v>220</v>
      </c>
      <c r="I280" s="114">
        <v>5.8925999999999998</v>
      </c>
      <c r="J280" s="115">
        <f t="shared" si="30"/>
        <v>1296.3699999999999</v>
      </c>
      <c r="K280" s="115">
        <f t="shared" si="28"/>
        <v>1555.6439999999998</v>
      </c>
      <c r="L280" s="115">
        <v>1555.6439999999998</v>
      </c>
      <c r="M280" s="107">
        <v>45355</v>
      </c>
      <c r="N280" s="106">
        <f>+Table6[[#This Row],[стойност с ДДС]]-Table6[[#This Row],[плащане]]</f>
        <v>0</v>
      </c>
      <c r="O280" s="208">
        <v>45336</v>
      </c>
    </row>
    <row r="281" spans="1:15" ht="20.100000000000001" customHeight="1" x14ac:dyDescent="0.3">
      <c r="A281" s="116" t="s">
        <v>83</v>
      </c>
      <c r="B281" s="394">
        <v>3000002683</v>
      </c>
      <c r="C281" s="117">
        <v>45351</v>
      </c>
      <c r="D281" s="97"/>
      <c r="E281" s="148" t="s">
        <v>58</v>
      </c>
      <c r="F281" s="101"/>
      <c r="G281" s="97"/>
      <c r="H281" s="113">
        <v>106.131</v>
      </c>
      <c r="I281" s="114">
        <v>1.0194000000000001</v>
      </c>
      <c r="J281" s="115">
        <f t="shared" si="30"/>
        <v>108.19</v>
      </c>
      <c r="K281" s="115">
        <f t="shared" si="28"/>
        <v>129.828</v>
      </c>
      <c r="L281" s="115">
        <v>129.828</v>
      </c>
      <c r="M281" s="107">
        <v>45355</v>
      </c>
      <c r="N281" s="106">
        <f>+Table6[[#This Row],[стойност с ДДС]]-Table6[[#This Row],[плащане]]</f>
        <v>0</v>
      </c>
      <c r="O281" s="208">
        <v>45336</v>
      </c>
    </row>
    <row r="282" spans="1:15" ht="20.100000000000001" customHeight="1" x14ac:dyDescent="0.3">
      <c r="A282" s="116" t="s">
        <v>83</v>
      </c>
      <c r="B282" s="394">
        <v>3000002683</v>
      </c>
      <c r="C282" s="117">
        <v>45351</v>
      </c>
      <c r="D282" s="97"/>
      <c r="E282" s="146" t="s">
        <v>60</v>
      </c>
      <c r="F282" s="101"/>
      <c r="G282" s="97"/>
      <c r="H282" s="113">
        <v>382.072</v>
      </c>
      <c r="I282" s="114"/>
      <c r="J282" s="115">
        <f t="shared" si="30"/>
        <v>0</v>
      </c>
      <c r="K282" s="115">
        <f t="shared" si="28"/>
        <v>0</v>
      </c>
      <c r="L282" s="115">
        <v>0</v>
      </c>
      <c r="M282" s="107">
        <v>45355</v>
      </c>
      <c r="N282" s="106">
        <f>+Table6[[#This Row],[стойност с ДДС]]-Table6[[#This Row],[плащане]]</f>
        <v>0</v>
      </c>
      <c r="O282" s="208">
        <v>45336</v>
      </c>
    </row>
    <row r="283" spans="1:15" ht="20.100000000000001" customHeight="1" x14ac:dyDescent="0.3">
      <c r="A283" s="116" t="s">
        <v>91</v>
      </c>
      <c r="B283" s="394">
        <v>3000002686</v>
      </c>
      <c r="C283" s="117">
        <v>45351</v>
      </c>
      <c r="D283" s="97"/>
      <c r="E283" s="132" t="s">
        <v>33</v>
      </c>
      <c r="F283" s="118"/>
      <c r="G283" s="116"/>
      <c r="H283" s="113">
        <v>-1</v>
      </c>
      <c r="I283" s="114">
        <v>3339.99</v>
      </c>
      <c r="J283" s="115">
        <f>ROUND(+H283*I283,2)</f>
        <v>-3339.99</v>
      </c>
      <c r="K283" s="115">
        <f t="shared" ref="K283:K285" si="31">J283*1.2</f>
        <v>-4007.9879999999994</v>
      </c>
      <c r="L283" s="115">
        <v>-4007.9879999999994</v>
      </c>
      <c r="M283" s="107">
        <v>45355</v>
      </c>
      <c r="N283" s="106">
        <f>+Table6[[#This Row],[стойност с ДДС]]-Table6[[#This Row],[плащане]]</f>
        <v>0</v>
      </c>
      <c r="O283" s="208">
        <v>45336</v>
      </c>
    </row>
    <row r="284" spans="1:15" ht="20.100000000000001" customHeight="1" x14ac:dyDescent="0.3">
      <c r="A284" s="97" t="s">
        <v>91</v>
      </c>
      <c r="B284" s="393">
        <v>3000002686</v>
      </c>
      <c r="C284" s="110">
        <v>45351</v>
      </c>
      <c r="D284" s="97"/>
      <c r="E284" s="132" t="s">
        <v>33</v>
      </c>
      <c r="F284" s="101"/>
      <c r="G284" s="116"/>
      <c r="H284" s="113">
        <v>54.018999999999998</v>
      </c>
      <c r="I284" s="114">
        <v>61.83</v>
      </c>
      <c r="J284" s="115">
        <f>ROUND(+H284*I284,2)</f>
        <v>3339.99</v>
      </c>
      <c r="K284" s="115">
        <f t="shared" si="31"/>
        <v>4007.9879999999994</v>
      </c>
      <c r="L284" s="115">
        <v>4007.9879999999994</v>
      </c>
      <c r="M284" s="107">
        <v>45355</v>
      </c>
      <c r="N284" s="106">
        <f>+Table6[[#This Row],[стойност с ДДС]]-Table6[[#This Row],[плащане]]</f>
        <v>0</v>
      </c>
      <c r="O284" s="208">
        <v>45336</v>
      </c>
    </row>
    <row r="285" spans="1:15" ht="20.100000000000001" customHeight="1" x14ac:dyDescent="0.3">
      <c r="A285" s="97" t="s">
        <v>91</v>
      </c>
      <c r="B285" s="393">
        <v>3000002686</v>
      </c>
      <c r="C285" s="110">
        <v>45351</v>
      </c>
      <c r="D285" s="97"/>
      <c r="E285" s="145" t="s">
        <v>58</v>
      </c>
      <c r="F285" s="101"/>
      <c r="G285" s="116"/>
      <c r="H285" s="113">
        <v>54.018999999999998</v>
      </c>
      <c r="I285" s="114">
        <v>0.52290000000000003</v>
      </c>
      <c r="J285" s="115">
        <f>ROUND(+H285*I285,2)</f>
        <v>28.25</v>
      </c>
      <c r="K285" s="115">
        <f t="shared" si="31"/>
        <v>33.9</v>
      </c>
      <c r="L285" s="115">
        <v>33.9</v>
      </c>
      <c r="M285" s="107">
        <v>45355</v>
      </c>
      <c r="N285" s="106">
        <f>+Table6[[#This Row],[стойност с ДДС]]-Table6[[#This Row],[плащане]]</f>
        <v>0</v>
      </c>
      <c r="O285" s="208">
        <v>45336</v>
      </c>
    </row>
    <row r="286" spans="1:15" ht="20.100000000000001" customHeight="1" x14ac:dyDescent="0.3">
      <c r="A286" s="116" t="s">
        <v>92</v>
      </c>
      <c r="B286" s="394">
        <v>3000002699</v>
      </c>
      <c r="C286" s="117">
        <v>45351</v>
      </c>
      <c r="D286" s="97"/>
      <c r="E286" s="138" t="s">
        <v>109</v>
      </c>
      <c r="F286" s="101" t="s">
        <v>85</v>
      </c>
      <c r="G286" s="97"/>
      <c r="H286" s="113">
        <v>-1</v>
      </c>
      <c r="I286" s="114">
        <v>1163.57</v>
      </c>
      <c r="J286" s="115">
        <f>ROUND(+H286*I286,2)</f>
        <v>-1163.57</v>
      </c>
      <c r="K286" s="115">
        <f t="shared" si="28"/>
        <v>-1396.2839999999999</v>
      </c>
      <c r="L286" s="115">
        <v>-1396.28</v>
      </c>
      <c r="M286" s="107">
        <v>45355</v>
      </c>
      <c r="N286" s="106">
        <f>+Table6[[#This Row],[стойност с ДДС]]-Table6[[#This Row],[плащане]]</f>
        <v>-3.9999999999054126E-3</v>
      </c>
      <c r="O286" s="208">
        <v>45336</v>
      </c>
    </row>
    <row r="287" spans="1:15" ht="20.100000000000001" customHeight="1" x14ac:dyDescent="0.3">
      <c r="A287" s="116" t="s">
        <v>75</v>
      </c>
      <c r="B287" s="398">
        <v>3000002702</v>
      </c>
      <c r="C287" s="117">
        <v>45351</v>
      </c>
      <c r="D287" s="116"/>
      <c r="E287" s="132" t="s">
        <v>33</v>
      </c>
      <c r="F287" s="135"/>
      <c r="G287" s="116"/>
      <c r="H287" s="141">
        <v>1</v>
      </c>
      <c r="I287" s="142">
        <v>13014.89</v>
      </c>
      <c r="J287" s="130">
        <v>13014.89</v>
      </c>
      <c r="K287" s="130">
        <f t="shared" si="28"/>
        <v>15617.867999999999</v>
      </c>
      <c r="L287" s="130">
        <v>15617.87</v>
      </c>
      <c r="M287" s="107">
        <v>45355</v>
      </c>
      <c r="N287" s="143">
        <f>+Table6[[#This Row],[стойност с ДДС]]-Table6[[#This Row],[плащане]]</f>
        <v>-2.000000002226443E-3</v>
      </c>
      <c r="O287" s="208">
        <v>45336</v>
      </c>
    </row>
    <row r="288" spans="1:15" ht="20.100000000000001" customHeight="1" x14ac:dyDescent="0.3">
      <c r="A288" s="97" t="s">
        <v>75</v>
      </c>
      <c r="B288" s="394">
        <v>3000002703</v>
      </c>
      <c r="C288" s="117">
        <v>45351</v>
      </c>
      <c r="D288" s="116"/>
      <c r="E288" s="132" t="s">
        <v>33</v>
      </c>
      <c r="F288" s="118"/>
      <c r="G288" s="116"/>
      <c r="H288" s="141">
        <v>-1</v>
      </c>
      <c r="I288" s="142">
        <v>58515.13</v>
      </c>
      <c r="J288" s="130">
        <f t="shared" ref="J288:J326" si="32">ROUND(+H288*I288,2)</f>
        <v>-58515.13</v>
      </c>
      <c r="K288" s="130">
        <f t="shared" si="28"/>
        <v>-70218.155999999988</v>
      </c>
      <c r="L288" s="130">
        <v>-70218.155999999988</v>
      </c>
      <c r="M288" s="107">
        <v>45355</v>
      </c>
      <c r="N288" s="143">
        <f>+Table6[[#This Row],[стойност с ДДС]]-Table6[[#This Row],[плащане]]</f>
        <v>0</v>
      </c>
      <c r="O288" s="208">
        <v>45336</v>
      </c>
    </row>
    <row r="289" spans="1:15" ht="20.100000000000001" customHeight="1" x14ac:dyDescent="0.3">
      <c r="A289" s="97" t="s">
        <v>94</v>
      </c>
      <c r="B289" s="393">
        <v>3000002692</v>
      </c>
      <c r="C289" s="110">
        <v>45351</v>
      </c>
      <c r="D289" s="97"/>
      <c r="E289" s="132" t="s">
        <v>33</v>
      </c>
      <c r="F289" s="118"/>
      <c r="G289" s="116"/>
      <c r="H289" s="113">
        <v>-1</v>
      </c>
      <c r="I289" s="114">
        <v>459.89</v>
      </c>
      <c r="J289" s="115">
        <f t="shared" si="32"/>
        <v>-459.89</v>
      </c>
      <c r="K289" s="115">
        <f t="shared" si="28"/>
        <v>-551.86799999999994</v>
      </c>
      <c r="L289" s="115">
        <v>-551.86799999999994</v>
      </c>
      <c r="M289" s="107">
        <v>45355</v>
      </c>
      <c r="N289" s="106">
        <f>+Table6[[#This Row],[стойност с ДДС]]-Table6[[#This Row],[плащане]]</f>
        <v>0</v>
      </c>
      <c r="O289" s="208">
        <v>45336</v>
      </c>
    </row>
    <row r="290" spans="1:15" ht="20.100000000000001" customHeight="1" x14ac:dyDescent="0.3">
      <c r="A290" s="97" t="s">
        <v>94</v>
      </c>
      <c r="B290" s="393">
        <v>3000002692</v>
      </c>
      <c r="C290" s="110">
        <v>45351</v>
      </c>
      <c r="D290" s="97"/>
      <c r="E290" s="132" t="s">
        <v>33</v>
      </c>
      <c r="F290" s="101"/>
      <c r="G290" s="116"/>
      <c r="H290" s="113">
        <v>7.4379999999999997</v>
      </c>
      <c r="I290" s="114">
        <v>61.83</v>
      </c>
      <c r="J290" s="115">
        <f t="shared" si="32"/>
        <v>459.89</v>
      </c>
      <c r="K290" s="115">
        <f t="shared" si="28"/>
        <v>551.86799999999994</v>
      </c>
      <c r="L290" s="115">
        <v>551.86799999999994</v>
      </c>
      <c r="M290" s="107">
        <v>45355</v>
      </c>
      <c r="N290" s="106">
        <f>+Table6[[#This Row],[стойност с ДДС]]-Table6[[#This Row],[плащане]]</f>
        <v>0</v>
      </c>
      <c r="O290" s="208">
        <v>45336</v>
      </c>
    </row>
    <row r="291" spans="1:15" ht="20.100000000000001" customHeight="1" x14ac:dyDescent="0.3">
      <c r="A291" s="97" t="s">
        <v>94</v>
      </c>
      <c r="B291" s="393">
        <v>3000002692</v>
      </c>
      <c r="C291" s="110">
        <v>45351</v>
      </c>
      <c r="D291" s="97"/>
      <c r="E291" s="145" t="s">
        <v>56</v>
      </c>
      <c r="F291" s="101"/>
      <c r="G291" s="116"/>
      <c r="H291" s="113">
        <v>0.222</v>
      </c>
      <c r="I291" s="114">
        <v>3.3016999999999999</v>
      </c>
      <c r="J291" s="115">
        <f t="shared" si="32"/>
        <v>0.73</v>
      </c>
      <c r="K291" s="115">
        <f t="shared" ref="K291:K323" si="33">J291*1.2</f>
        <v>0.876</v>
      </c>
      <c r="L291" s="115">
        <v>0.876</v>
      </c>
      <c r="M291" s="107">
        <v>45355</v>
      </c>
      <c r="N291" s="106">
        <f>+Table6[[#This Row],[стойност с ДДС]]-Table6[[#This Row],[плащане]]</f>
        <v>0</v>
      </c>
      <c r="O291" s="208">
        <v>45336</v>
      </c>
    </row>
    <row r="292" spans="1:15" ht="20.100000000000001" customHeight="1" x14ac:dyDescent="0.3">
      <c r="A292" s="97" t="s">
        <v>94</v>
      </c>
      <c r="B292" s="393">
        <v>3000002692</v>
      </c>
      <c r="C292" s="110">
        <v>45351</v>
      </c>
      <c r="D292" s="97"/>
      <c r="E292" s="145" t="s">
        <v>58</v>
      </c>
      <c r="F292" s="101"/>
      <c r="G292" s="116"/>
      <c r="H292" s="113">
        <v>7.4379999999999997</v>
      </c>
      <c r="I292" s="114">
        <v>0.52290000000000003</v>
      </c>
      <c r="J292" s="115">
        <f t="shared" si="32"/>
        <v>3.89</v>
      </c>
      <c r="K292" s="115">
        <f t="shared" si="33"/>
        <v>4.6680000000000001</v>
      </c>
      <c r="L292" s="115">
        <v>4.6680000000000001</v>
      </c>
      <c r="M292" s="107">
        <v>45355</v>
      </c>
      <c r="N292" s="106">
        <f>+Table6[[#This Row],[стойност с ДДС]]-Table6[[#This Row],[плащане]]</f>
        <v>0</v>
      </c>
      <c r="O292" s="208">
        <v>45336</v>
      </c>
    </row>
    <row r="293" spans="1:15" ht="20.100000000000001" customHeight="1" x14ac:dyDescent="0.3">
      <c r="A293" s="116" t="s">
        <v>94</v>
      </c>
      <c r="B293" s="394">
        <v>3000002692</v>
      </c>
      <c r="C293" s="117">
        <v>45351</v>
      </c>
      <c r="D293" s="116"/>
      <c r="E293" s="116" t="s">
        <v>59</v>
      </c>
      <c r="F293" s="118"/>
      <c r="G293" s="116"/>
      <c r="H293" s="141">
        <v>26.777000000000001</v>
      </c>
      <c r="I293" s="142">
        <v>0.6</v>
      </c>
      <c r="J293" s="130">
        <f t="shared" si="32"/>
        <v>16.07</v>
      </c>
      <c r="K293" s="130">
        <f t="shared" si="33"/>
        <v>19.283999999999999</v>
      </c>
      <c r="L293" s="130">
        <v>19.283999999999999</v>
      </c>
      <c r="M293" s="107">
        <v>45355</v>
      </c>
      <c r="N293" s="143">
        <f>+Table6[[#This Row],[стойност с ДДС]]-Table6[[#This Row],[плащане]]</f>
        <v>0</v>
      </c>
      <c r="O293" s="208">
        <v>45336</v>
      </c>
    </row>
    <row r="294" spans="1:15" ht="20.100000000000001" customHeight="1" collapsed="1" x14ac:dyDescent="0.3">
      <c r="A294" s="116" t="s">
        <v>75</v>
      </c>
      <c r="B294" s="394">
        <v>3000002703</v>
      </c>
      <c r="C294" s="117">
        <v>45351</v>
      </c>
      <c r="D294" s="97"/>
      <c r="E294" s="132" t="s">
        <v>33</v>
      </c>
      <c r="F294" s="101"/>
      <c r="G294" s="97"/>
      <c r="H294" s="113">
        <v>1086.6320000000001</v>
      </c>
      <c r="I294" s="114">
        <v>53.85</v>
      </c>
      <c r="J294" s="115">
        <f t="shared" si="32"/>
        <v>58515.13</v>
      </c>
      <c r="K294" s="115">
        <f t="shared" si="33"/>
        <v>70218.155999999988</v>
      </c>
      <c r="L294" s="115">
        <v>70218.155999999988</v>
      </c>
      <c r="M294" s="107">
        <v>45356</v>
      </c>
      <c r="N294" s="115">
        <f>+Table6[[#This Row],[стойност с ДДС]]-Table6[[#This Row],[плащане]]</f>
        <v>0</v>
      </c>
      <c r="O294" s="208">
        <v>45336</v>
      </c>
    </row>
    <row r="295" spans="1:15" ht="20.100000000000001" customHeight="1" x14ac:dyDescent="0.3">
      <c r="A295" s="116" t="s">
        <v>75</v>
      </c>
      <c r="B295" s="394">
        <v>3000002703</v>
      </c>
      <c r="C295" s="117">
        <v>45351</v>
      </c>
      <c r="D295" s="116"/>
      <c r="E295" s="97" t="s">
        <v>56</v>
      </c>
      <c r="F295" s="118"/>
      <c r="G295" s="116"/>
      <c r="H295" s="141">
        <v>24.207999999999998</v>
      </c>
      <c r="I295" s="142">
        <v>8.3582999999999998</v>
      </c>
      <c r="J295" s="130">
        <f t="shared" si="32"/>
        <v>202.34</v>
      </c>
      <c r="K295" s="130">
        <f t="shared" si="33"/>
        <v>242.80799999999999</v>
      </c>
      <c r="L295" s="130">
        <v>242.80799999999999</v>
      </c>
      <c r="M295" s="107">
        <v>45356</v>
      </c>
      <c r="N295" s="143">
        <f>+Table6[[#This Row],[стойност с ДДС]]-Table6[[#This Row],[плащане]]</f>
        <v>0</v>
      </c>
      <c r="O295" s="208">
        <v>45336</v>
      </c>
    </row>
    <row r="296" spans="1:15" ht="20.100000000000001" customHeight="1" x14ac:dyDescent="0.3">
      <c r="A296" s="116" t="s">
        <v>82</v>
      </c>
      <c r="B296" s="394">
        <v>3000002696</v>
      </c>
      <c r="C296" s="117">
        <v>45351</v>
      </c>
      <c r="D296" s="116"/>
      <c r="E296" s="144" t="s">
        <v>33</v>
      </c>
      <c r="F296" s="118"/>
      <c r="G296" s="116"/>
      <c r="H296" s="141">
        <v>-1</v>
      </c>
      <c r="I296" s="142">
        <v>39330.51</v>
      </c>
      <c r="J296" s="130">
        <f t="shared" si="32"/>
        <v>-39330.51</v>
      </c>
      <c r="K296" s="130">
        <f t="shared" si="33"/>
        <v>-47196.612000000001</v>
      </c>
      <c r="L296" s="129">
        <v>-47196.61</v>
      </c>
      <c r="M296" s="107">
        <v>45355</v>
      </c>
      <c r="N296" s="143">
        <f>+Table6[[#This Row],[стойност с ДДС]]-Table6[[#This Row],[плащане]]</f>
        <v>-2.0000000004074536E-3</v>
      </c>
      <c r="O296" s="208">
        <v>45336</v>
      </c>
    </row>
    <row r="297" spans="1:15" ht="20.100000000000001" customHeight="1" x14ac:dyDescent="0.3">
      <c r="A297" s="116" t="s">
        <v>82</v>
      </c>
      <c r="B297" s="394">
        <v>3000002696</v>
      </c>
      <c r="C297" s="117">
        <v>45351</v>
      </c>
      <c r="D297" s="97"/>
      <c r="E297" s="132" t="s">
        <v>33</v>
      </c>
      <c r="F297" s="118"/>
      <c r="G297" s="116"/>
      <c r="H297" s="113">
        <v>-1</v>
      </c>
      <c r="I297" s="114">
        <v>328.69</v>
      </c>
      <c r="J297" s="115">
        <f t="shared" si="32"/>
        <v>-328.69</v>
      </c>
      <c r="K297" s="115">
        <f t="shared" si="33"/>
        <v>-394.428</v>
      </c>
      <c r="L297" s="104">
        <v>-394.43</v>
      </c>
      <c r="M297" s="107">
        <v>45355</v>
      </c>
      <c r="N297" s="106">
        <f>+Table6[[#This Row],[стойност с ДДС]]-Table6[[#This Row],[плащане]]</f>
        <v>2.0000000000095497E-3</v>
      </c>
      <c r="O297" s="208">
        <v>45336</v>
      </c>
    </row>
    <row r="298" spans="1:15" ht="20.100000000000001" customHeight="1" x14ac:dyDescent="0.3">
      <c r="A298" s="116" t="s">
        <v>82</v>
      </c>
      <c r="B298" s="394">
        <v>3000002696</v>
      </c>
      <c r="C298" s="117">
        <v>45351</v>
      </c>
      <c r="D298" s="97"/>
      <c r="E298" s="132" t="s">
        <v>33</v>
      </c>
      <c r="F298" s="118"/>
      <c r="G298" s="116"/>
      <c r="H298" s="113">
        <v>-1</v>
      </c>
      <c r="I298" s="114">
        <v>343.74</v>
      </c>
      <c r="J298" s="115">
        <f t="shared" si="32"/>
        <v>-343.74</v>
      </c>
      <c r="K298" s="115">
        <f t="shared" si="33"/>
        <v>-412.488</v>
      </c>
      <c r="L298" s="104">
        <v>-412.49</v>
      </c>
      <c r="M298" s="107">
        <v>45355</v>
      </c>
      <c r="N298" s="106">
        <f>+Table6[[#This Row],[стойност с ДДС]]-Table6[[#This Row],[плащане]]</f>
        <v>2.0000000000095497E-3</v>
      </c>
      <c r="O298" s="208">
        <v>45336</v>
      </c>
    </row>
    <row r="299" spans="1:15" ht="20.100000000000001" customHeight="1" x14ac:dyDescent="0.3">
      <c r="A299" s="116" t="s">
        <v>82</v>
      </c>
      <c r="B299" s="394">
        <v>3000002696</v>
      </c>
      <c r="C299" s="117">
        <v>45351</v>
      </c>
      <c r="D299" s="97"/>
      <c r="E299" s="132" t="s">
        <v>33</v>
      </c>
      <c r="F299" s="101"/>
      <c r="G299" s="116"/>
      <c r="H299" s="113">
        <v>657.37099999999998</v>
      </c>
      <c r="I299" s="114">
        <v>59.83</v>
      </c>
      <c r="J299" s="115">
        <f t="shared" si="32"/>
        <v>39330.51</v>
      </c>
      <c r="K299" s="115">
        <f t="shared" si="33"/>
        <v>47196.612000000001</v>
      </c>
      <c r="L299" s="104">
        <v>47196.61</v>
      </c>
      <c r="M299" s="107">
        <v>45355</v>
      </c>
      <c r="N299" s="106">
        <f>+Table6[[#This Row],[стойност с ДДС]]-Table6[[#This Row],[плащане]]</f>
        <v>2.0000000004074536E-3</v>
      </c>
      <c r="O299" s="208">
        <v>45336</v>
      </c>
    </row>
    <row r="300" spans="1:15" ht="20.100000000000001" customHeight="1" x14ac:dyDescent="0.3">
      <c r="A300" s="116" t="s">
        <v>82</v>
      </c>
      <c r="B300" s="394">
        <v>3000002696</v>
      </c>
      <c r="C300" s="117">
        <v>45351</v>
      </c>
      <c r="D300" s="97"/>
      <c r="E300" s="145" t="s">
        <v>58</v>
      </c>
      <c r="F300" s="101"/>
      <c r="G300" s="116"/>
      <c r="H300" s="113">
        <v>657.37099999999998</v>
      </c>
      <c r="I300" s="114">
        <v>0.52290000000000003</v>
      </c>
      <c r="J300" s="115">
        <f t="shared" si="32"/>
        <v>343.74</v>
      </c>
      <c r="K300" s="115">
        <f t="shared" si="33"/>
        <v>412.488</v>
      </c>
      <c r="L300" s="104">
        <v>412.49</v>
      </c>
      <c r="M300" s="107">
        <v>45355</v>
      </c>
      <c r="N300" s="106">
        <f>+Table6[[#This Row],[стойност с ДДС]]-Table6[[#This Row],[плащане]]</f>
        <v>-2.0000000000095497E-3</v>
      </c>
      <c r="O300" s="208">
        <v>45336</v>
      </c>
    </row>
    <row r="301" spans="1:15" ht="20.100000000000001" customHeight="1" x14ac:dyDescent="0.3">
      <c r="A301" s="116" t="s">
        <v>82</v>
      </c>
      <c r="B301" s="394">
        <v>3000002696</v>
      </c>
      <c r="C301" s="117">
        <v>45351</v>
      </c>
      <c r="D301" s="97"/>
      <c r="E301" s="132" t="s">
        <v>33</v>
      </c>
      <c r="F301" s="101"/>
      <c r="G301" s="116"/>
      <c r="H301" s="113">
        <v>657.37099999999998</v>
      </c>
      <c r="I301" s="114">
        <v>0.5</v>
      </c>
      <c r="J301" s="115">
        <f t="shared" si="32"/>
        <v>328.69</v>
      </c>
      <c r="K301" s="115">
        <f t="shared" si="33"/>
        <v>394.428</v>
      </c>
      <c r="L301" s="104">
        <v>394.43</v>
      </c>
      <c r="M301" s="107">
        <v>45355</v>
      </c>
      <c r="N301" s="106">
        <f>+Table6[[#This Row],[стойност с ДДС]]-Table6[[#This Row],[плащане]]</f>
        <v>-2.0000000000095497E-3</v>
      </c>
      <c r="O301" s="208">
        <v>45336</v>
      </c>
    </row>
    <row r="302" spans="1:15" ht="20.100000000000001" customHeight="1" x14ac:dyDescent="0.3">
      <c r="A302" s="116" t="s">
        <v>82</v>
      </c>
      <c r="B302" s="394">
        <v>3000002696</v>
      </c>
      <c r="C302" s="117">
        <v>45351</v>
      </c>
      <c r="D302" s="97"/>
      <c r="E302" s="116" t="s">
        <v>110</v>
      </c>
      <c r="F302" s="101"/>
      <c r="G302" s="116"/>
      <c r="H302" s="113">
        <v>2366.5360000000001</v>
      </c>
      <c r="I302" s="114">
        <v>0.6</v>
      </c>
      <c r="J302" s="115">
        <f t="shared" si="32"/>
        <v>1419.92</v>
      </c>
      <c r="K302" s="115">
        <f t="shared" si="33"/>
        <v>1703.904</v>
      </c>
      <c r="L302" s="104">
        <v>1703.9</v>
      </c>
      <c r="M302" s="107">
        <v>45355</v>
      </c>
      <c r="N302" s="106">
        <f>+Table6[[#This Row],[стойност с ДДС]]-Table6[[#This Row],[плащане]]</f>
        <v>3.9999999999054126E-3</v>
      </c>
      <c r="O302" s="208">
        <v>45336</v>
      </c>
    </row>
    <row r="303" spans="1:15" ht="20.100000000000001" customHeight="1" collapsed="1" x14ac:dyDescent="0.3">
      <c r="A303" s="116" t="s">
        <v>75</v>
      </c>
      <c r="B303" s="394">
        <v>3000002703</v>
      </c>
      <c r="C303" s="117">
        <v>45351</v>
      </c>
      <c r="D303" s="97"/>
      <c r="E303" s="97" t="s">
        <v>58</v>
      </c>
      <c r="F303" s="101"/>
      <c r="G303" s="97"/>
      <c r="H303" s="113">
        <v>1086.6320000000001</v>
      </c>
      <c r="I303" s="114">
        <v>1.0194000000000001</v>
      </c>
      <c r="J303" s="115">
        <f t="shared" si="32"/>
        <v>1107.71</v>
      </c>
      <c r="K303" s="115">
        <f t="shared" si="33"/>
        <v>1329.252</v>
      </c>
      <c r="L303" s="115">
        <v>1329.252</v>
      </c>
      <c r="M303" s="107">
        <v>45356</v>
      </c>
      <c r="N303" s="115">
        <f>+Table6[[#This Row],[стойност с ДДС]]-Table6[[#This Row],[плащане]]</f>
        <v>0</v>
      </c>
      <c r="O303" s="208">
        <v>45336</v>
      </c>
    </row>
    <row r="304" spans="1:15" ht="20.100000000000001" customHeight="1" x14ac:dyDescent="0.3">
      <c r="A304" s="97" t="s">
        <v>49</v>
      </c>
      <c r="B304" s="393">
        <v>3000002698</v>
      </c>
      <c r="C304" s="110">
        <v>45351</v>
      </c>
      <c r="D304" s="116"/>
      <c r="E304" s="132" t="s">
        <v>33</v>
      </c>
      <c r="F304" s="118"/>
      <c r="G304" s="116"/>
      <c r="H304" s="141">
        <v>-1</v>
      </c>
      <c r="I304" s="142">
        <v>3145.91</v>
      </c>
      <c r="J304" s="130">
        <f t="shared" si="32"/>
        <v>-3145.91</v>
      </c>
      <c r="K304" s="130">
        <f t="shared" si="33"/>
        <v>-3775.0919999999996</v>
      </c>
      <c r="L304" s="130">
        <v>-3775.09</v>
      </c>
      <c r="M304" s="107">
        <v>45342</v>
      </c>
      <c r="N304" s="143">
        <f>+Table6[[#This Row],[стойност с ДДС]]-Table6[[#This Row],[плащане]]</f>
        <v>-1.9999999994979589E-3</v>
      </c>
      <c r="O304" s="208">
        <v>45336</v>
      </c>
    </row>
    <row r="305" spans="1:15" ht="20.100000000000001" customHeight="1" x14ac:dyDescent="0.3">
      <c r="A305" s="97" t="s">
        <v>49</v>
      </c>
      <c r="B305" s="393">
        <v>3000002698</v>
      </c>
      <c r="C305" s="110">
        <v>45351</v>
      </c>
      <c r="D305" s="97"/>
      <c r="E305" s="132" t="s">
        <v>33</v>
      </c>
      <c r="F305" s="101"/>
      <c r="G305" s="116"/>
      <c r="H305" s="113">
        <v>50.88</v>
      </c>
      <c r="I305" s="114">
        <v>61.83</v>
      </c>
      <c r="J305" s="115">
        <f t="shared" si="32"/>
        <v>3145.91</v>
      </c>
      <c r="K305" s="115">
        <f t="shared" si="33"/>
        <v>3775.0919999999996</v>
      </c>
      <c r="L305" s="115">
        <v>3775.09</v>
      </c>
      <c r="M305" s="107">
        <v>45342</v>
      </c>
      <c r="N305" s="106">
        <f>+Table6[[#This Row],[стойност с ДДС]]-Table6[[#This Row],[плащане]]</f>
        <v>1.9999999994979589E-3</v>
      </c>
      <c r="O305" s="208">
        <v>45336</v>
      </c>
    </row>
    <row r="306" spans="1:15" ht="20.100000000000001" customHeight="1" x14ac:dyDescent="0.3">
      <c r="A306" s="97" t="s">
        <v>49</v>
      </c>
      <c r="B306" s="393">
        <v>3000002698</v>
      </c>
      <c r="C306" s="110">
        <v>45351</v>
      </c>
      <c r="D306" s="97"/>
      <c r="E306" s="139" t="s">
        <v>56</v>
      </c>
      <c r="F306" s="101"/>
      <c r="G306" s="116"/>
      <c r="H306" s="113">
        <v>4.1379999999999999</v>
      </c>
      <c r="I306" s="114">
        <v>3.3016999999999999</v>
      </c>
      <c r="J306" s="115">
        <f t="shared" si="32"/>
        <v>13.66</v>
      </c>
      <c r="K306" s="115">
        <f t="shared" si="33"/>
        <v>16.391999999999999</v>
      </c>
      <c r="L306" s="115">
        <v>16.39</v>
      </c>
      <c r="M306" s="107">
        <v>45366</v>
      </c>
      <c r="N306" s="106">
        <f>+Table6[[#This Row],[стойност с ДДС]]-Table6[[#This Row],[плащане]]</f>
        <v>1.9999999999988916E-3</v>
      </c>
      <c r="O306" s="208">
        <v>45336</v>
      </c>
    </row>
    <row r="307" spans="1:15" ht="20.100000000000001" customHeight="1" x14ac:dyDescent="0.3">
      <c r="A307" s="97" t="s">
        <v>49</v>
      </c>
      <c r="B307" s="393">
        <v>3000002698</v>
      </c>
      <c r="C307" s="110">
        <v>45351</v>
      </c>
      <c r="D307" s="97"/>
      <c r="E307" s="139" t="s">
        <v>58</v>
      </c>
      <c r="F307" s="101"/>
      <c r="G307" s="116"/>
      <c r="H307" s="113">
        <v>50.88</v>
      </c>
      <c r="I307" s="114">
        <v>0.52290000000000003</v>
      </c>
      <c r="J307" s="115">
        <f t="shared" si="32"/>
        <v>26.61</v>
      </c>
      <c r="K307" s="115">
        <f t="shared" si="33"/>
        <v>31.931999999999999</v>
      </c>
      <c r="L307" s="115">
        <v>31.91</v>
      </c>
      <c r="M307" s="107">
        <v>45366</v>
      </c>
      <c r="N307" s="106">
        <f>+Table6[[#This Row],[стойност с ДДС]]-Table6[[#This Row],[плащане]]</f>
        <v>2.1999999999998465E-2</v>
      </c>
      <c r="O307" s="208">
        <v>45336</v>
      </c>
    </row>
    <row r="308" spans="1:15" ht="20.100000000000001" customHeight="1" x14ac:dyDescent="0.3">
      <c r="A308" s="97" t="s">
        <v>49</v>
      </c>
      <c r="B308" s="393">
        <v>3000002698</v>
      </c>
      <c r="C308" s="110">
        <v>45351</v>
      </c>
      <c r="D308" s="97"/>
      <c r="E308" s="139" t="s">
        <v>59</v>
      </c>
      <c r="F308" s="101"/>
      <c r="G308" s="116"/>
      <c r="H308" s="113">
        <v>183.16800000000001</v>
      </c>
      <c r="I308" s="114">
        <v>0.6</v>
      </c>
      <c r="J308" s="115">
        <f t="shared" si="32"/>
        <v>109.9</v>
      </c>
      <c r="K308" s="115">
        <f t="shared" si="33"/>
        <v>131.88</v>
      </c>
      <c r="L308" s="115">
        <v>131.88</v>
      </c>
      <c r="M308" s="107">
        <v>45366</v>
      </c>
      <c r="N308" s="106">
        <f>+Table6[[#This Row],[стойност с ДДС]]-Table6[[#This Row],[плащане]]</f>
        <v>0</v>
      </c>
      <c r="O308" s="208">
        <v>45336</v>
      </c>
    </row>
    <row r="309" spans="1:15" ht="20.100000000000001" customHeight="1" collapsed="1" x14ac:dyDescent="0.3">
      <c r="A309" s="97" t="s">
        <v>75</v>
      </c>
      <c r="B309" s="393">
        <v>3000002703</v>
      </c>
      <c r="C309" s="110">
        <v>45351</v>
      </c>
      <c r="D309" s="97"/>
      <c r="E309" s="97" t="s">
        <v>111</v>
      </c>
      <c r="F309" s="101"/>
      <c r="G309" s="97"/>
      <c r="H309" s="113">
        <v>3911.875</v>
      </c>
      <c r="I309" s="114">
        <v>0.85</v>
      </c>
      <c r="J309" s="115">
        <f t="shared" si="32"/>
        <v>3325.09</v>
      </c>
      <c r="K309" s="115">
        <f t="shared" si="33"/>
        <v>3990.1080000000002</v>
      </c>
      <c r="L309" s="115">
        <v>3990.1080000000002</v>
      </c>
      <c r="M309" s="107">
        <v>45355</v>
      </c>
      <c r="N309" s="115">
        <f>+Table6[[#This Row],[стойност с ДДС]]-Table6[[#This Row],[плащане]]</f>
        <v>0</v>
      </c>
      <c r="O309" s="208">
        <v>45336</v>
      </c>
    </row>
    <row r="310" spans="1:15" ht="20.100000000000001" customHeight="1" x14ac:dyDescent="0.3">
      <c r="A310" s="97" t="s">
        <v>89</v>
      </c>
      <c r="B310" s="393">
        <v>3000002704</v>
      </c>
      <c r="C310" s="110">
        <v>45351</v>
      </c>
      <c r="D310" s="97"/>
      <c r="E310" s="132" t="s">
        <v>33</v>
      </c>
      <c r="F310" s="101"/>
      <c r="G310" s="97"/>
      <c r="H310" s="113">
        <v>-1</v>
      </c>
      <c r="I310" s="114">
        <v>1917</v>
      </c>
      <c r="J310" s="115">
        <f t="shared" si="32"/>
        <v>-1917</v>
      </c>
      <c r="K310" s="115">
        <f t="shared" si="33"/>
        <v>-2300.4</v>
      </c>
      <c r="L310" s="115">
        <v>-2300.4</v>
      </c>
      <c r="M310" s="107">
        <v>45356</v>
      </c>
      <c r="N310" s="106">
        <f>+Table6[[#This Row],[стойност с ДДС]]-Table6[[#This Row],[плащане]]</f>
        <v>0</v>
      </c>
      <c r="O310" s="208">
        <v>45336</v>
      </c>
    </row>
    <row r="311" spans="1:15" ht="20.100000000000001" customHeight="1" x14ac:dyDescent="0.3">
      <c r="A311" s="116" t="s">
        <v>89</v>
      </c>
      <c r="B311" s="394">
        <v>3000002704</v>
      </c>
      <c r="C311" s="117">
        <v>45351</v>
      </c>
      <c r="D311" s="116"/>
      <c r="E311" s="144" t="s">
        <v>33</v>
      </c>
      <c r="F311" s="118"/>
      <c r="G311" s="116"/>
      <c r="H311" s="141">
        <v>35.545000000000002</v>
      </c>
      <c r="I311" s="142">
        <v>61.83</v>
      </c>
      <c r="J311" s="130">
        <f t="shared" si="32"/>
        <v>2197.75</v>
      </c>
      <c r="K311" s="130">
        <f t="shared" si="33"/>
        <v>2637.2999999999997</v>
      </c>
      <c r="L311" s="130">
        <v>2637.3</v>
      </c>
      <c r="M311" s="107">
        <v>45356</v>
      </c>
      <c r="N311" s="143">
        <f>+Table6[[#This Row],[стойност с ДДС]]-Table6[[#This Row],[плащане]]</f>
        <v>0</v>
      </c>
      <c r="O311" s="208">
        <v>45336</v>
      </c>
    </row>
    <row r="312" spans="1:15" ht="20.100000000000001" customHeight="1" x14ac:dyDescent="0.3">
      <c r="A312" s="116" t="s">
        <v>92</v>
      </c>
      <c r="B312" s="394">
        <v>3000002700</v>
      </c>
      <c r="C312" s="117">
        <v>45351</v>
      </c>
      <c r="D312" s="116"/>
      <c r="E312" s="132" t="s">
        <v>33</v>
      </c>
      <c r="F312" s="118" t="s">
        <v>85</v>
      </c>
      <c r="G312" s="116"/>
      <c r="H312" s="141">
        <v>-1</v>
      </c>
      <c r="I312" s="142">
        <v>2287.0300000000002</v>
      </c>
      <c r="J312" s="130">
        <f t="shared" si="32"/>
        <v>-2287.0300000000002</v>
      </c>
      <c r="K312" s="130">
        <f t="shared" si="33"/>
        <v>-2744.4360000000001</v>
      </c>
      <c r="L312" s="130">
        <v>-2744.4360000000001</v>
      </c>
      <c r="M312" s="107">
        <v>45355</v>
      </c>
      <c r="N312" s="143">
        <f>+Table6[[#This Row],[стойност с ДДС]]-Table6[[#This Row],[плащане]]</f>
        <v>0</v>
      </c>
      <c r="O312" s="208">
        <v>45336</v>
      </c>
    </row>
    <row r="313" spans="1:15" ht="20.100000000000001" customHeight="1" x14ac:dyDescent="0.3">
      <c r="A313" s="116" t="s">
        <v>92</v>
      </c>
      <c r="B313" s="394">
        <v>3000002700</v>
      </c>
      <c r="C313" s="117">
        <v>45351</v>
      </c>
      <c r="D313" s="116"/>
      <c r="E313" s="132" t="s">
        <v>33</v>
      </c>
      <c r="F313" s="118"/>
      <c r="G313" s="116"/>
      <c r="H313" s="141">
        <v>36.988999999999997</v>
      </c>
      <c r="I313" s="142">
        <v>61.83</v>
      </c>
      <c r="J313" s="130">
        <f t="shared" si="32"/>
        <v>2287.0300000000002</v>
      </c>
      <c r="K313" s="130">
        <f t="shared" si="33"/>
        <v>2744.4360000000001</v>
      </c>
      <c r="L313" s="130">
        <v>2744.4360000000001</v>
      </c>
      <c r="M313" s="107">
        <v>45355</v>
      </c>
      <c r="N313" s="143">
        <f>+Table6[[#This Row],[стойност с ДДС]]-Table6[[#This Row],[плащане]]</f>
        <v>0</v>
      </c>
      <c r="O313" s="208">
        <v>45336</v>
      </c>
    </row>
    <row r="314" spans="1:15" ht="20.100000000000001" customHeight="1" x14ac:dyDescent="0.3">
      <c r="A314" s="116" t="s">
        <v>92</v>
      </c>
      <c r="B314" s="394">
        <v>3000002700</v>
      </c>
      <c r="C314" s="117">
        <v>45351</v>
      </c>
      <c r="D314" s="97"/>
      <c r="E314" s="139" t="s">
        <v>58</v>
      </c>
      <c r="F314" s="101"/>
      <c r="G314" s="116"/>
      <c r="H314" s="113">
        <v>36.988999999999997</v>
      </c>
      <c r="I314" s="114">
        <v>1.0194000000000001</v>
      </c>
      <c r="J314" s="115">
        <f t="shared" si="32"/>
        <v>37.71</v>
      </c>
      <c r="K314" s="115">
        <f t="shared" si="33"/>
        <v>45.252000000000002</v>
      </c>
      <c r="L314" s="115">
        <v>45.252000000000002</v>
      </c>
      <c r="M314" s="107">
        <v>45355</v>
      </c>
      <c r="N314" s="106">
        <f>+Table6[[#This Row],[стойност с ДДС]]-Table6[[#This Row],[плащане]]</f>
        <v>0</v>
      </c>
      <c r="O314" s="208">
        <v>45336</v>
      </c>
    </row>
    <row r="315" spans="1:15" ht="20.100000000000001" customHeight="1" x14ac:dyDescent="0.3">
      <c r="A315" s="116" t="s">
        <v>92</v>
      </c>
      <c r="B315" s="394">
        <v>3000002700</v>
      </c>
      <c r="C315" s="117">
        <v>45351</v>
      </c>
      <c r="D315" s="97"/>
      <c r="E315" s="139" t="s">
        <v>59</v>
      </c>
      <c r="F315" s="101"/>
      <c r="G315" s="116"/>
      <c r="H315" s="113">
        <v>133.16</v>
      </c>
      <c r="I315" s="114">
        <v>0.6</v>
      </c>
      <c r="J315" s="115">
        <f t="shared" si="32"/>
        <v>79.900000000000006</v>
      </c>
      <c r="K315" s="115">
        <f t="shared" si="33"/>
        <v>95.88000000000001</v>
      </c>
      <c r="L315" s="115">
        <v>95.88000000000001</v>
      </c>
      <c r="M315" s="107">
        <v>45355</v>
      </c>
      <c r="N315" s="106">
        <f>+Table6[[#This Row],[стойност с ДДС]]-Table6[[#This Row],[плащане]]</f>
        <v>0</v>
      </c>
      <c r="O315" s="208">
        <v>45336</v>
      </c>
    </row>
    <row r="316" spans="1:15" ht="20.100000000000001" customHeight="1" collapsed="1" x14ac:dyDescent="0.3">
      <c r="A316" s="116" t="s">
        <v>89</v>
      </c>
      <c r="B316" s="394">
        <v>3000002704</v>
      </c>
      <c r="C316" s="117">
        <v>45351</v>
      </c>
      <c r="D316" s="97"/>
      <c r="E316" s="139" t="s">
        <v>58</v>
      </c>
      <c r="F316" s="101"/>
      <c r="G316" s="97"/>
      <c r="H316" s="113">
        <v>35.545000000000002</v>
      </c>
      <c r="I316" s="114">
        <v>1.0194000000000001</v>
      </c>
      <c r="J316" s="115">
        <f t="shared" si="32"/>
        <v>36.229999999999997</v>
      </c>
      <c r="K316" s="115">
        <f t="shared" si="33"/>
        <v>43.475999999999992</v>
      </c>
      <c r="L316" s="115">
        <v>43.48</v>
      </c>
      <c r="M316" s="107">
        <v>45356</v>
      </c>
      <c r="N316" s="115">
        <f>+Table6[[#This Row],[стойност с ДДС]]-Table6[[#This Row],[плащане]]</f>
        <v>-4.0000000000048885E-3</v>
      </c>
      <c r="O316" s="208">
        <v>45336</v>
      </c>
    </row>
    <row r="317" spans="1:15" ht="20.100000000000001" customHeight="1" x14ac:dyDescent="0.3">
      <c r="A317" s="97" t="s">
        <v>31</v>
      </c>
      <c r="B317" s="392">
        <v>3000002644</v>
      </c>
      <c r="C317" s="98">
        <v>45322</v>
      </c>
      <c r="D317" s="97"/>
      <c r="E317" s="101" t="s">
        <v>59</v>
      </c>
      <c r="F317" s="101"/>
      <c r="G317" s="97"/>
      <c r="H317" s="113">
        <v>1485.385</v>
      </c>
      <c r="I317" s="114">
        <v>0.6</v>
      </c>
      <c r="J317" s="115">
        <f>ROUND(+H317*I317,2)</f>
        <v>891.23</v>
      </c>
      <c r="K317" s="115">
        <f>J317*1.2</f>
        <v>1069.4759999999999</v>
      </c>
      <c r="L317" s="104"/>
      <c r="M317" s="105"/>
      <c r="N317" s="115">
        <f>+Table6[[#This Row],[стойност с ДДС]]-Table6[[#This Row],[плащане]]</f>
        <v>1069.4759999999999</v>
      </c>
      <c r="O317" s="208">
        <v>45336</v>
      </c>
    </row>
    <row r="318" spans="1:15" ht="20.100000000000001" customHeight="1" x14ac:dyDescent="0.3">
      <c r="A318" s="116" t="s">
        <v>31</v>
      </c>
      <c r="B318" s="394">
        <v>3000002701</v>
      </c>
      <c r="C318" s="117">
        <v>45351</v>
      </c>
      <c r="D318" s="97"/>
      <c r="E318" s="132" t="s">
        <v>33</v>
      </c>
      <c r="F318" s="101"/>
      <c r="G318" s="116"/>
      <c r="H318" s="113">
        <v>63.06</v>
      </c>
      <c r="I318" s="114">
        <v>61.83</v>
      </c>
      <c r="J318" s="115">
        <f t="shared" si="32"/>
        <v>3899</v>
      </c>
      <c r="K318" s="115">
        <f t="shared" si="33"/>
        <v>4678.8</v>
      </c>
      <c r="L318" s="115"/>
      <c r="M318" s="107"/>
      <c r="N318" s="106">
        <f>+Table6[[#This Row],[стойност с ДДС]]-Table6[[#This Row],[плащане]]</f>
        <v>4678.8</v>
      </c>
      <c r="O318" s="208">
        <v>45362</v>
      </c>
    </row>
    <row r="319" spans="1:15" ht="20.100000000000001" customHeight="1" x14ac:dyDescent="0.3">
      <c r="A319" s="97" t="s">
        <v>31</v>
      </c>
      <c r="B319" s="393">
        <v>3000002701</v>
      </c>
      <c r="C319" s="110">
        <v>45351</v>
      </c>
      <c r="D319" s="97"/>
      <c r="E319" s="139" t="s">
        <v>58</v>
      </c>
      <c r="F319" s="101"/>
      <c r="G319" s="116"/>
      <c r="H319" s="113">
        <v>63.06</v>
      </c>
      <c r="I319" s="114">
        <v>0.52290000000000003</v>
      </c>
      <c r="J319" s="115">
        <f t="shared" si="32"/>
        <v>32.97</v>
      </c>
      <c r="K319" s="115">
        <f t="shared" si="33"/>
        <v>39.564</v>
      </c>
      <c r="L319" s="115"/>
      <c r="M319" s="107"/>
      <c r="N319" s="106">
        <f>+Table6[[#This Row],[стойност с ДДС]]-Table6[[#This Row],[плащане]]</f>
        <v>39.564</v>
      </c>
      <c r="O319" s="208">
        <v>45362</v>
      </c>
    </row>
    <row r="320" spans="1:15" ht="20.100000000000001" customHeight="1" x14ac:dyDescent="0.3">
      <c r="A320" s="116" t="s">
        <v>31</v>
      </c>
      <c r="B320" s="394">
        <v>3000002701</v>
      </c>
      <c r="C320" s="117">
        <v>45351</v>
      </c>
      <c r="D320" s="116"/>
      <c r="E320" s="139" t="s">
        <v>59</v>
      </c>
      <c r="F320" s="118"/>
      <c r="G320" s="116"/>
      <c r="H320" s="141">
        <v>227.01599999999999</v>
      </c>
      <c r="I320" s="142">
        <v>0.6</v>
      </c>
      <c r="J320" s="130">
        <f t="shared" si="32"/>
        <v>136.21</v>
      </c>
      <c r="K320" s="130">
        <f t="shared" si="33"/>
        <v>163.452</v>
      </c>
      <c r="L320" s="130"/>
      <c r="M320" s="107"/>
      <c r="N320" s="143">
        <f>+Table6[[#This Row],[стойност с ДДС]]-Table6[[#This Row],[плащане]]</f>
        <v>163.452</v>
      </c>
      <c r="O320" s="208">
        <v>45362</v>
      </c>
    </row>
    <row r="321" spans="1:15" ht="20.100000000000001" customHeight="1" collapsed="1" x14ac:dyDescent="0.3">
      <c r="A321" s="116" t="s">
        <v>89</v>
      </c>
      <c r="B321" s="394">
        <v>3000002704</v>
      </c>
      <c r="C321" s="117">
        <v>45351</v>
      </c>
      <c r="D321" s="97"/>
      <c r="E321" s="139" t="s">
        <v>59</v>
      </c>
      <c r="F321" s="101"/>
      <c r="G321" s="97"/>
      <c r="H321" s="113">
        <v>127.962</v>
      </c>
      <c r="I321" s="114">
        <v>0.6</v>
      </c>
      <c r="J321" s="115">
        <f t="shared" si="32"/>
        <v>76.78</v>
      </c>
      <c r="K321" s="115">
        <f t="shared" si="33"/>
        <v>92.135999999999996</v>
      </c>
      <c r="L321" s="115">
        <v>92.14</v>
      </c>
      <c r="M321" s="107">
        <v>45352</v>
      </c>
      <c r="N321" s="115">
        <f>+Table6[[#This Row],[стойност с ДДС]]-Table6[[#This Row],[плащане]]</f>
        <v>-4.0000000000048885E-3</v>
      </c>
      <c r="O321" s="208">
        <v>45362</v>
      </c>
    </row>
    <row r="322" spans="1:15" ht="20.100000000000001" customHeight="1" x14ac:dyDescent="0.3">
      <c r="A322" s="116" t="s">
        <v>80</v>
      </c>
      <c r="B322" s="394">
        <v>3000002705</v>
      </c>
      <c r="C322" s="117">
        <v>45351</v>
      </c>
      <c r="D322" s="116"/>
      <c r="E322" s="132" t="s">
        <v>33</v>
      </c>
      <c r="F322" s="118"/>
      <c r="G322" s="116"/>
      <c r="H322" s="141">
        <v>-1</v>
      </c>
      <c r="I322" s="142">
        <v>129716</v>
      </c>
      <c r="J322" s="130">
        <f t="shared" si="32"/>
        <v>-129716</v>
      </c>
      <c r="K322" s="130">
        <f t="shared" si="33"/>
        <v>-155659.19999999998</v>
      </c>
      <c r="L322" s="130">
        <v>-155659.20000000001</v>
      </c>
      <c r="M322" s="107">
        <v>45352</v>
      </c>
      <c r="N322" s="143">
        <f>+Table6[[#This Row],[стойност с ДДС]]-Table6[[#This Row],[плащане]]</f>
        <v>0</v>
      </c>
      <c r="O322" s="208">
        <v>45362</v>
      </c>
    </row>
    <row r="323" spans="1:15" ht="20.100000000000001" customHeight="1" x14ac:dyDescent="0.3">
      <c r="A323" s="116" t="s">
        <v>61</v>
      </c>
      <c r="B323" s="394">
        <v>3000002706</v>
      </c>
      <c r="C323" s="117">
        <v>45351</v>
      </c>
      <c r="D323" s="97"/>
      <c r="E323" s="132" t="s">
        <v>33</v>
      </c>
      <c r="F323" s="101"/>
      <c r="G323" s="116"/>
      <c r="H323" s="113">
        <v>1</v>
      </c>
      <c r="I323" s="114">
        <v>178748.17</v>
      </c>
      <c r="J323" s="115">
        <f t="shared" si="32"/>
        <v>178748.17</v>
      </c>
      <c r="K323" s="115">
        <f t="shared" si="33"/>
        <v>214497.804</v>
      </c>
      <c r="L323" s="115">
        <v>214497.804</v>
      </c>
      <c r="M323" s="107">
        <v>45358</v>
      </c>
      <c r="N323" s="106">
        <f>+Table6[[#This Row],[стойност с ДДС]]-Table6[[#This Row],[плащане]]</f>
        <v>0</v>
      </c>
      <c r="O323" s="208">
        <v>45362</v>
      </c>
    </row>
    <row r="324" spans="1:15" ht="20.100000000000001" customHeight="1" x14ac:dyDescent="0.3">
      <c r="A324" s="116" t="s">
        <v>61</v>
      </c>
      <c r="B324" s="394">
        <v>3000002706</v>
      </c>
      <c r="C324" s="117">
        <v>45351</v>
      </c>
      <c r="D324" s="97"/>
      <c r="E324" s="132" t="s">
        <v>33</v>
      </c>
      <c r="F324" s="101"/>
      <c r="G324" s="116"/>
      <c r="H324" s="113">
        <v>3186.81</v>
      </c>
      <c r="I324" s="114">
        <v>56.09</v>
      </c>
      <c r="J324" s="115">
        <f t="shared" si="32"/>
        <v>178748.17</v>
      </c>
      <c r="K324" s="115">
        <f t="shared" ref="K324:K326" si="34">J324*1.2</f>
        <v>214497.804</v>
      </c>
      <c r="L324" s="115">
        <v>214497.804</v>
      </c>
      <c r="M324" s="107">
        <v>45355</v>
      </c>
      <c r="N324" s="106">
        <f>+Table6[[#This Row],[стойност с ДДС]]-Table6[[#This Row],[плащане]]</f>
        <v>0</v>
      </c>
      <c r="O324" s="208">
        <v>45362</v>
      </c>
    </row>
    <row r="325" spans="1:15" ht="20.100000000000001" customHeight="1" x14ac:dyDescent="0.3">
      <c r="A325" s="116" t="s">
        <v>61</v>
      </c>
      <c r="B325" s="394">
        <v>3000002706</v>
      </c>
      <c r="C325" s="117">
        <v>45351</v>
      </c>
      <c r="D325" s="97"/>
      <c r="E325" s="139" t="s">
        <v>58</v>
      </c>
      <c r="F325" s="101"/>
      <c r="G325" s="116"/>
      <c r="H325" s="113">
        <v>3186.81</v>
      </c>
      <c r="I325" s="114">
        <v>1.0194000000000001</v>
      </c>
      <c r="J325" s="115">
        <f t="shared" si="32"/>
        <v>3248.63</v>
      </c>
      <c r="K325" s="115">
        <f t="shared" si="34"/>
        <v>3898.3559999999998</v>
      </c>
      <c r="L325" s="115">
        <v>3898.3559999999998</v>
      </c>
      <c r="M325" s="107">
        <v>45355</v>
      </c>
      <c r="N325" s="106">
        <f>+Table6[[#This Row],[стойност с ДДС]]-Table6[[#This Row],[плащане]]</f>
        <v>0</v>
      </c>
      <c r="O325" s="208">
        <v>45362</v>
      </c>
    </row>
    <row r="326" spans="1:15" ht="20.100000000000001" customHeight="1" x14ac:dyDescent="0.3">
      <c r="A326" s="116" t="s">
        <v>91</v>
      </c>
      <c r="B326" s="394">
        <v>3000002707</v>
      </c>
      <c r="C326" s="117">
        <v>45363</v>
      </c>
      <c r="D326" s="116"/>
      <c r="E326" s="132" t="s">
        <v>33</v>
      </c>
      <c r="F326" s="118"/>
      <c r="G326" s="116"/>
      <c r="H326" s="113">
        <v>1</v>
      </c>
      <c r="I326" s="114">
        <v>3144.5</v>
      </c>
      <c r="J326" s="115">
        <f t="shared" si="32"/>
        <v>3144.5</v>
      </c>
      <c r="K326" s="115">
        <f t="shared" si="34"/>
        <v>3773.3999999999996</v>
      </c>
      <c r="L326" s="104">
        <v>3773.4</v>
      </c>
      <c r="M326" s="107">
        <v>45370</v>
      </c>
      <c r="N326" s="106">
        <f>+Table6[[#This Row],[стойност с ДДС]]-Table6[[#This Row],[плащане]]</f>
        <v>0</v>
      </c>
      <c r="O326" s="208">
        <v>45368</v>
      </c>
    </row>
    <row r="327" spans="1:15" ht="20.100000000000001" customHeight="1" x14ac:dyDescent="0.3">
      <c r="A327" s="116" t="s">
        <v>91</v>
      </c>
      <c r="B327" s="394">
        <v>3000002707</v>
      </c>
      <c r="C327" s="110">
        <v>45363</v>
      </c>
      <c r="D327" s="97"/>
      <c r="E327" s="132" t="s">
        <v>63</v>
      </c>
      <c r="F327" s="101"/>
      <c r="G327" s="97"/>
      <c r="H327" s="113">
        <v>3.7</v>
      </c>
      <c r="I327" s="114">
        <v>39.405500000000004</v>
      </c>
      <c r="J327" s="115">
        <f>ROUND(+H327*I327,2)</f>
        <v>145.80000000000001</v>
      </c>
      <c r="K327" s="115">
        <f>J327*1.2</f>
        <v>174.96</v>
      </c>
      <c r="L327" s="104">
        <v>174.96</v>
      </c>
      <c r="M327" s="107">
        <v>45370</v>
      </c>
      <c r="N327" s="115">
        <f>+Table6[[#This Row],[стойност с ДДС]]-Table6[[#This Row],[плащане]]</f>
        <v>0</v>
      </c>
      <c r="O327" s="208">
        <v>45368</v>
      </c>
    </row>
    <row r="328" spans="1:15" ht="20.100000000000001" customHeight="1" x14ac:dyDescent="0.3">
      <c r="A328" s="97" t="s">
        <v>69</v>
      </c>
      <c r="B328" s="394">
        <v>3000002708</v>
      </c>
      <c r="C328" s="117">
        <v>45363</v>
      </c>
      <c r="D328" s="116"/>
      <c r="E328" s="132" t="s">
        <v>33</v>
      </c>
      <c r="F328" s="118"/>
      <c r="G328" s="116"/>
      <c r="H328" s="113">
        <v>1</v>
      </c>
      <c r="I328" s="114">
        <v>8800.2199999999993</v>
      </c>
      <c r="J328" s="115">
        <f t="shared" ref="J328:J330" si="35">ROUND(+H328*I328,2)</f>
        <v>8800.2199999999993</v>
      </c>
      <c r="K328" s="115">
        <f t="shared" ref="K328:K330" si="36">J328*1.2</f>
        <v>10560.263999999999</v>
      </c>
      <c r="L328" s="104">
        <v>10560.26</v>
      </c>
      <c r="M328" s="107">
        <v>45370</v>
      </c>
      <c r="N328" s="115">
        <f>+Table6[[#This Row],[стойност с ДДС]]-Table6[[#This Row],[плащане]]</f>
        <v>3.9999999989959178E-3</v>
      </c>
      <c r="O328" s="208">
        <v>45368</v>
      </c>
    </row>
    <row r="329" spans="1:15" ht="20.100000000000001" customHeight="1" x14ac:dyDescent="0.3">
      <c r="A329" s="97" t="s">
        <v>69</v>
      </c>
      <c r="B329" s="394">
        <v>3000002708</v>
      </c>
      <c r="C329" s="117">
        <v>45363</v>
      </c>
      <c r="D329" s="97"/>
      <c r="E329" s="137" t="s">
        <v>76</v>
      </c>
      <c r="F329" s="101"/>
      <c r="G329" s="97"/>
      <c r="H329" s="113">
        <v>20</v>
      </c>
      <c r="I329" s="114">
        <v>25.1753</v>
      </c>
      <c r="J329" s="115">
        <f t="shared" si="35"/>
        <v>503.51</v>
      </c>
      <c r="K329" s="115">
        <f t="shared" si="36"/>
        <v>604.21199999999999</v>
      </c>
      <c r="L329" s="104">
        <v>604.21</v>
      </c>
      <c r="M329" s="107">
        <v>45370</v>
      </c>
      <c r="N329" s="115">
        <f>+Table6[[#This Row],[стойност с ДДС]]-Table6[[#This Row],[плащане]]</f>
        <v>1.9999999999527063E-3</v>
      </c>
      <c r="O329" s="208">
        <v>45368</v>
      </c>
    </row>
    <row r="330" spans="1:15" ht="20.100000000000001" customHeight="1" x14ac:dyDescent="0.3">
      <c r="A330" s="97" t="s">
        <v>69</v>
      </c>
      <c r="B330" s="394">
        <v>3000002708</v>
      </c>
      <c r="C330" s="117">
        <v>45363</v>
      </c>
      <c r="D330" s="97"/>
      <c r="E330" s="132" t="s">
        <v>63</v>
      </c>
      <c r="F330" s="101"/>
      <c r="G330" s="97"/>
      <c r="H330" s="113">
        <v>7</v>
      </c>
      <c r="I330" s="114">
        <v>39.405500000000004</v>
      </c>
      <c r="J330" s="115">
        <f t="shared" si="35"/>
        <v>275.83999999999997</v>
      </c>
      <c r="K330" s="115">
        <f t="shared" si="36"/>
        <v>331.00799999999998</v>
      </c>
      <c r="L330" s="104">
        <v>331.01</v>
      </c>
      <c r="M330" s="107">
        <v>45370</v>
      </c>
      <c r="N330" s="115">
        <f>+Table6[[#This Row],[стойност с ДДС]]-Table6[[#This Row],[плащане]]</f>
        <v>-2.0000000000095497E-3</v>
      </c>
      <c r="O330" s="208">
        <v>45368</v>
      </c>
    </row>
    <row r="331" spans="1:15" ht="20.100000000000001" customHeight="1" x14ac:dyDescent="0.3">
      <c r="A331" s="97" t="s">
        <v>94</v>
      </c>
      <c r="B331" s="394">
        <v>3000002709</v>
      </c>
      <c r="C331" s="117">
        <v>45363</v>
      </c>
      <c r="D331" s="97"/>
      <c r="E331" s="132" t="s">
        <v>33</v>
      </c>
      <c r="F331" s="101"/>
      <c r="G331" s="97"/>
      <c r="H331" s="113">
        <v>1</v>
      </c>
      <c r="I331" s="114">
        <v>297.45</v>
      </c>
      <c r="J331" s="115">
        <f>ROUND(+H331*I331,2)</f>
        <v>297.45</v>
      </c>
      <c r="K331" s="115">
        <f>J331*1.2</f>
        <v>356.94</v>
      </c>
      <c r="L331" s="104">
        <v>356.94</v>
      </c>
      <c r="M331" s="107">
        <v>45370</v>
      </c>
      <c r="N331" s="115">
        <f>+Table6[[#This Row],[стойност с ДДС]]-Table6[[#This Row],[плащане]]</f>
        <v>0</v>
      </c>
      <c r="O331" s="208">
        <v>45368</v>
      </c>
    </row>
    <row r="332" spans="1:15" ht="20.100000000000001" customHeight="1" x14ac:dyDescent="0.3">
      <c r="A332" s="97" t="s">
        <v>94</v>
      </c>
      <c r="B332" s="394">
        <v>3000002709</v>
      </c>
      <c r="C332" s="117">
        <v>45363</v>
      </c>
      <c r="D332" s="116"/>
      <c r="E332" s="132" t="s">
        <v>63</v>
      </c>
      <c r="F332" s="118"/>
      <c r="G332" s="116"/>
      <c r="H332" s="113">
        <v>0.35</v>
      </c>
      <c r="I332" s="114">
        <v>39.405500000000004</v>
      </c>
      <c r="J332" s="115">
        <f>+Table6[[#This Row],[единична цена]]*Table6[[#This Row],[количество]]</f>
        <v>13.791925000000001</v>
      </c>
      <c r="K332" s="115">
        <f>+Table6[[#This Row],[стойност]]*1.2</f>
        <v>16.55031</v>
      </c>
      <c r="L332" s="104">
        <v>16.55</v>
      </c>
      <c r="M332" s="107">
        <v>45370</v>
      </c>
      <c r="N332" s="115">
        <f>+Table6[[#This Row],[стойност с ДДС]]-Table6[[#This Row],[плащане]]</f>
        <v>3.0999999999892225E-4</v>
      </c>
      <c r="O332" s="208">
        <v>45368</v>
      </c>
    </row>
    <row r="333" spans="1:15" ht="20.100000000000001" customHeight="1" x14ac:dyDescent="0.3">
      <c r="A333" s="97" t="s">
        <v>49</v>
      </c>
      <c r="B333" s="394">
        <v>3000002710</v>
      </c>
      <c r="C333" s="117">
        <v>45363</v>
      </c>
      <c r="D333" s="116"/>
      <c r="E333" s="132" t="s">
        <v>33</v>
      </c>
      <c r="F333" s="118"/>
      <c r="G333" s="116"/>
      <c r="H333" s="113">
        <v>1</v>
      </c>
      <c r="I333" s="114">
        <v>1604.33</v>
      </c>
      <c r="J333" s="115">
        <f>+Table6[[#This Row],[единична цена]]*Table6[[#This Row],[количество]]</f>
        <v>1604.33</v>
      </c>
      <c r="K333" s="115">
        <f>+Table6[[#This Row],[стойност]]*1.2</f>
        <v>1925.1959999999999</v>
      </c>
      <c r="L333" s="104">
        <v>1925.2</v>
      </c>
      <c r="M333" s="107">
        <v>45370</v>
      </c>
      <c r="N333" s="115">
        <f>+Table6[[#This Row],[стойност с ДДС]]-Table6[[#This Row],[плащане]]</f>
        <v>-4.0000000001327862E-3</v>
      </c>
      <c r="O333" s="208">
        <v>45368</v>
      </c>
    </row>
    <row r="334" spans="1:15" ht="20.100000000000001" customHeight="1" x14ac:dyDescent="0.3">
      <c r="A334" s="97" t="s">
        <v>49</v>
      </c>
      <c r="B334" s="394">
        <v>3000002710</v>
      </c>
      <c r="C334" s="117">
        <v>45363</v>
      </c>
      <c r="D334" s="97"/>
      <c r="E334" s="132" t="s">
        <v>63</v>
      </c>
      <c r="F334" s="101"/>
      <c r="G334" s="97"/>
      <c r="H334" s="113">
        <v>1.88</v>
      </c>
      <c r="I334" s="114">
        <v>39.405500000000004</v>
      </c>
      <c r="J334" s="115">
        <f>ROUND(+H334*I334,2)</f>
        <v>74.08</v>
      </c>
      <c r="K334" s="115">
        <f>J334*1.2</f>
        <v>88.896000000000001</v>
      </c>
      <c r="L334" s="104">
        <v>88.9</v>
      </c>
      <c r="M334" s="107">
        <v>45370</v>
      </c>
      <c r="N334" s="115">
        <f>+Table6[[#This Row],[стойност с ДДС]]-Table6[[#This Row],[плащане]]</f>
        <v>-4.0000000000048885E-3</v>
      </c>
      <c r="O334" s="208">
        <v>45368</v>
      </c>
    </row>
    <row r="335" spans="1:15" ht="20.100000000000001" customHeight="1" x14ac:dyDescent="0.3">
      <c r="A335" s="116" t="s">
        <v>72</v>
      </c>
      <c r="B335" s="394">
        <v>3000002711</v>
      </c>
      <c r="C335" s="117">
        <v>45363</v>
      </c>
      <c r="D335" s="116"/>
      <c r="E335" s="132" t="s">
        <v>33</v>
      </c>
      <c r="F335" s="118"/>
      <c r="G335" s="116"/>
      <c r="H335" s="113">
        <v>1</v>
      </c>
      <c r="I335" s="114">
        <v>13543.01</v>
      </c>
      <c r="J335" s="115">
        <f>+Table6[[#This Row],[единична цена]]*Table6[[#This Row],[количество]]</f>
        <v>13543.01</v>
      </c>
      <c r="K335" s="115">
        <f>+Table6[[#This Row],[стойност]]*1.2</f>
        <v>16251.611999999999</v>
      </c>
      <c r="L335" s="104">
        <v>16251.61</v>
      </c>
      <c r="M335" s="107">
        <v>45369</v>
      </c>
      <c r="N335" s="143">
        <f>+Table6[[#This Row],[стойност с ДДС]]-Table6[[#This Row],[плащане]]</f>
        <v>1.9999999985884642E-3</v>
      </c>
      <c r="O335" s="208">
        <v>45368</v>
      </c>
    </row>
    <row r="336" spans="1:15" ht="20.100000000000001" customHeight="1" x14ac:dyDescent="0.3">
      <c r="A336" s="116" t="s">
        <v>72</v>
      </c>
      <c r="B336" s="394">
        <v>3000002711</v>
      </c>
      <c r="C336" s="117">
        <v>45363</v>
      </c>
      <c r="D336" s="97"/>
      <c r="E336" s="137" t="s">
        <v>76</v>
      </c>
      <c r="F336" s="101"/>
      <c r="G336" s="97"/>
      <c r="H336" s="113">
        <v>18</v>
      </c>
      <c r="I336" s="114">
        <v>25.1753</v>
      </c>
      <c r="J336" s="115">
        <f t="shared" ref="J336:J350" si="37">ROUND(+H336*I336,2)</f>
        <v>453.16</v>
      </c>
      <c r="K336" s="115">
        <f t="shared" ref="K336:K348" si="38">J336*1.2</f>
        <v>543.79200000000003</v>
      </c>
      <c r="L336" s="104">
        <v>543.49</v>
      </c>
      <c r="M336" s="107">
        <v>45369</v>
      </c>
      <c r="N336" s="115">
        <f>+Table6[[#This Row],[стойност с ДДС]]-Table6[[#This Row],[плащане]]</f>
        <v>0.30200000000002092</v>
      </c>
      <c r="O336" s="208">
        <v>45368</v>
      </c>
    </row>
    <row r="337" spans="1:15" ht="20.100000000000001" customHeight="1" x14ac:dyDescent="0.3">
      <c r="A337" s="116" t="s">
        <v>72</v>
      </c>
      <c r="B337" s="394">
        <v>3000002711</v>
      </c>
      <c r="C337" s="117">
        <v>45363</v>
      </c>
      <c r="D337" s="97"/>
      <c r="E337" s="132" t="s">
        <v>63</v>
      </c>
      <c r="F337" s="101"/>
      <c r="G337" s="97"/>
      <c r="H337" s="113">
        <v>5</v>
      </c>
      <c r="I337" s="114">
        <v>39.405500000000004</v>
      </c>
      <c r="J337" s="115">
        <f t="shared" si="37"/>
        <v>197.03</v>
      </c>
      <c r="K337" s="115">
        <f t="shared" si="38"/>
        <v>236.43599999999998</v>
      </c>
      <c r="L337" s="104">
        <v>236.44</v>
      </c>
      <c r="M337" s="107">
        <v>45369</v>
      </c>
      <c r="N337" s="115">
        <f>+Table6[[#This Row],[стойност с ДДС]]-Table6[[#This Row],[плащане]]</f>
        <v>-4.0000000000190994E-3</v>
      </c>
      <c r="O337" s="208">
        <v>45368</v>
      </c>
    </row>
    <row r="338" spans="1:15" ht="20.100000000000001" customHeight="1" x14ac:dyDescent="0.3">
      <c r="A338" s="116" t="s">
        <v>82</v>
      </c>
      <c r="B338" s="394">
        <v>3000002712</v>
      </c>
      <c r="C338" s="117">
        <v>45363</v>
      </c>
      <c r="D338" s="116"/>
      <c r="E338" s="132" t="s">
        <v>33</v>
      </c>
      <c r="F338" s="118"/>
      <c r="G338" s="116"/>
      <c r="H338" s="113">
        <v>1</v>
      </c>
      <c r="I338" s="114">
        <v>16720.7</v>
      </c>
      <c r="J338" s="115">
        <f t="shared" si="37"/>
        <v>16720.7</v>
      </c>
      <c r="K338" s="115">
        <f t="shared" si="38"/>
        <v>20064.84</v>
      </c>
      <c r="L338" s="104">
        <v>20064.84</v>
      </c>
      <c r="M338" s="107">
        <v>45371</v>
      </c>
      <c r="N338" s="115"/>
      <c r="O338" s="208">
        <v>45368</v>
      </c>
    </row>
    <row r="339" spans="1:15" ht="20.100000000000001" customHeight="1" x14ac:dyDescent="0.3">
      <c r="A339" s="116" t="s">
        <v>82</v>
      </c>
      <c r="B339" s="394">
        <v>3000002712</v>
      </c>
      <c r="C339" s="117">
        <v>45363</v>
      </c>
      <c r="D339" s="97"/>
      <c r="E339" s="132" t="s">
        <v>33</v>
      </c>
      <c r="F339" s="101"/>
      <c r="G339" s="97"/>
      <c r="H339" s="113">
        <v>1</v>
      </c>
      <c r="I339" s="114">
        <v>158.25</v>
      </c>
      <c r="J339" s="115">
        <f t="shared" si="37"/>
        <v>158.25</v>
      </c>
      <c r="K339" s="115">
        <f t="shared" si="38"/>
        <v>189.9</v>
      </c>
      <c r="L339" s="104">
        <v>189.9</v>
      </c>
      <c r="M339" s="107">
        <v>45371</v>
      </c>
      <c r="N339" s="115">
        <f>+Table6[[#This Row],[стойност с ДДС]]-Table6[[#This Row],[плащане]]</f>
        <v>0</v>
      </c>
      <c r="O339" s="208">
        <v>45368</v>
      </c>
    </row>
    <row r="340" spans="1:15" ht="20.100000000000001" customHeight="1" x14ac:dyDescent="0.3">
      <c r="A340" s="116" t="s">
        <v>82</v>
      </c>
      <c r="B340" s="394">
        <v>3000002712</v>
      </c>
      <c r="C340" s="117">
        <v>45363</v>
      </c>
      <c r="D340" s="97"/>
      <c r="E340" s="132" t="s">
        <v>33</v>
      </c>
      <c r="F340" s="101"/>
      <c r="G340" s="97"/>
      <c r="H340" s="113">
        <v>1</v>
      </c>
      <c r="I340" s="114">
        <v>1165.5</v>
      </c>
      <c r="J340" s="115">
        <f t="shared" si="37"/>
        <v>1165.5</v>
      </c>
      <c r="K340" s="115">
        <f t="shared" si="38"/>
        <v>1398.6</v>
      </c>
      <c r="L340" s="104">
        <v>1398.6</v>
      </c>
      <c r="M340" s="107">
        <v>45371</v>
      </c>
      <c r="N340" s="115">
        <f>+Table6[[#This Row],[стойност с ДДС]]-Table6[[#This Row],[плащане]]</f>
        <v>0</v>
      </c>
      <c r="O340" s="208">
        <v>45368</v>
      </c>
    </row>
    <row r="341" spans="1:15" ht="20.100000000000001" customHeight="1" x14ac:dyDescent="0.3">
      <c r="A341" s="116" t="s">
        <v>82</v>
      </c>
      <c r="B341" s="394">
        <v>3000002712</v>
      </c>
      <c r="C341" s="117">
        <v>45363</v>
      </c>
      <c r="D341" s="97"/>
      <c r="E341" s="137" t="s">
        <v>76</v>
      </c>
      <c r="F341" s="101"/>
      <c r="G341" s="97"/>
      <c r="H341" s="113">
        <v>93</v>
      </c>
      <c r="I341" s="114">
        <v>0.82769999999999999</v>
      </c>
      <c r="J341" s="115">
        <f t="shared" si="37"/>
        <v>76.98</v>
      </c>
      <c r="K341" s="115">
        <f t="shared" si="38"/>
        <v>92.376000000000005</v>
      </c>
      <c r="L341" s="104">
        <v>92.38</v>
      </c>
      <c r="M341" s="107">
        <v>45371</v>
      </c>
      <c r="N341" s="115">
        <f>+Table6[[#This Row],[стойност с ДДС]]-Table6[[#This Row],[плащане]]</f>
        <v>-3.9999999999906777E-3</v>
      </c>
      <c r="O341" s="208">
        <v>45368</v>
      </c>
    </row>
    <row r="342" spans="1:15" ht="20.100000000000001" customHeight="1" x14ac:dyDescent="0.3">
      <c r="A342" s="116" t="s">
        <v>82</v>
      </c>
      <c r="B342" s="394">
        <v>3000002712</v>
      </c>
      <c r="C342" s="117">
        <v>45363</v>
      </c>
      <c r="D342" s="97"/>
      <c r="E342" s="139" t="s">
        <v>71</v>
      </c>
      <c r="F342" s="101"/>
      <c r="G342" s="97"/>
      <c r="H342" s="113">
        <v>558</v>
      </c>
      <c r="I342" s="114">
        <v>1.4756</v>
      </c>
      <c r="J342" s="115">
        <f t="shared" si="37"/>
        <v>823.38</v>
      </c>
      <c r="K342" s="115">
        <f t="shared" si="38"/>
        <v>988.05599999999993</v>
      </c>
      <c r="L342" s="104">
        <v>988.06</v>
      </c>
      <c r="M342" s="107">
        <v>45371</v>
      </c>
      <c r="N342" s="115">
        <f>+Table6[[#This Row],[стойност с ДДС]]-Table6[[#This Row],[плащане]]</f>
        <v>-4.0000000000190994E-3</v>
      </c>
      <c r="O342" s="208">
        <v>45368</v>
      </c>
    </row>
    <row r="343" spans="1:15" ht="20.100000000000001" customHeight="1" x14ac:dyDescent="0.3">
      <c r="A343" s="116" t="s">
        <v>75</v>
      </c>
      <c r="B343" s="393">
        <v>3000002713</v>
      </c>
      <c r="C343" s="110">
        <v>45363</v>
      </c>
      <c r="D343" s="97"/>
      <c r="E343" s="132" t="s">
        <v>33</v>
      </c>
      <c r="F343" s="101"/>
      <c r="G343" s="116"/>
      <c r="H343" s="113">
        <v>1</v>
      </c>
      <c r="I343" s="114">
        <v>33008.21</v>
      </c>
      <c r="J343" s="115">
        <f t="shared" si="37"/>
        <v>33008.21</v>
      </c>
      <c r="K343" s="115">
        <f t="shared" si="38"/>
        <v>39609.851999999999</v>
      </c>
      <c r="L343" s="104">
        <v>39609.85</v>
      </c>
      <c r="M343" s="107">
        <v>45371</v>
      </c>
      <c r="N343" s="115">
        <f>+Table6[[#This Row],[стойност с ДДС]]-Table6[[#This Row],[плащане]]</f>
        <v>2.0000000004074536E-3</v>
      </c>
      <c r="O343" s="208">
        <v>45368</v>
      </c>
    </row>
    <row r="344" spans="1:15" ht="20.100000000000001" customHeight="1" x14ac:dyDescent="0.3">
      <c r="A344" s="116" t="s">
        <v>75</v>
      </c>
      <c r="B344" s="393">
        <v>3000002713</v>
      </c>
      <c r="C344" s="110">
        <v>45363</v>
      </c>
      <c r="D344" s="97"/>
      <c r="E344" s="137" t="s">
        <v>76</v>
      </c>
      <c r="F344" s="101"/>
      <c r="G344" s="97"/>
      <c r="H344" s="113">
        <v>30</v>
      </c>
      <c r="I344" s="114">
        <v>63.731630000000003</v>
      </c>
      <c r="J344" s="115">
        <f t="shared" si="37"/>
        <v>1911.95</v>
      </c>
      <c r="K344" s="115">
        <f t="shared" si="38"/>
        <v>2294.34</v>
      </c>
      <c r="L344" s="104">
        <v>2294.34</v>
      </c>
      <c r="M344" s="107">
        <v>45371</v>
      </c>
      <c r="N344" s="115">
        <f>+Table6[[#This Row],[стойност с ДДС]]-Table6[[#This Row],[плащане]]</f>
        <v>0</v>
      </c>
      <c r="O344" s="208">
        <v>45368</v>
      </c>
    </row>
    <row r="345" spans="1:15" ht="20.100000000000001" customHeight="1" x14ac:dyDescent="0.3">
      <c r="A345" s="116" t="s">
        <v>75</v>
      </c>
      <c r="B345" s="393">
        <v>3000002713</v>
      </c>
      <c r="C345" s="110">
        <v>45363</v>
      </c>
      <c r="D345" s="97"/>
      <c r="E345" s="132" t="s">
        <v>63</v>
      </c>
      <c r="F345" s="101"/>
      <c r="G345" s="97"/>
      <c r="H345" s="113">
        <v>9</v>
      </c>
      <c r="I345" s="114">
        <v>99.755700000000004</v>
      </c>
      <c r="J345" s="115">
        <f t="shared" si="37"/>
        <v>897.8</v>
      </c>
      <c r="K345" s="115">
        <f t="shared" si="38"/>
        <v>1077.3599999999999</v>
      </c>
      <c r="L345" s="104">
        <v>1077.3599999999999</v>
      </c>
      <c r="M345" s="107">
        <v>45371</v>
      </c>
      <c r="N345" s="115">
        <f>+Table6[[#This Row],[стойност с ДДС]]-Table6[[#This Row],[плащане]]</f>
        <v>0</v>
      </c>
      <c r="O345" s="208">
        <v>45368</v>
      </c>
    </row>
    <row r="346" spans="1:15" ht="20.100000000000001" customHeight="1" x14ac:dyDescent="0.3">
      <c r="A346" s="116" t="s">
        <v>61</v>
      </c>
      <c r="B346" s="394">
        <v>3000002715</v>
      </c>
      <c r="C346" s="117">
        <v>45363</v>
      </c>
      <c r="D346" s="116"/>
      <c r="E346" s="137" t="s">
        <v>76</v>
      </c>
      <c r="F346" s="101"/>
      <c r="G346" s="116"/>
      <c r="H346" s="113">
        <v>110</v>
      </c>
      <c r="I346" s="114">
        <v>63.7316</v>
      </c>
      <c r="J346" s="115">
        <f t="shared" si="37"/>
        <v>7010.48</v>
      </c>
      <c r="K346" s="115">
        <f t="shared" si="38"/>
        <v>8412.5759999999991</v>
      </c>
      <c r="L346" s="104">
        <v>8412.5759999999991</v>
      </c>
      <c r="M346" s="107">
        <v>45371</v>
      </c>
      <c r="N346" s="115">
        <f>+Table6[[#This Row],[стойност с ДДС]]-Table6[[#This Row],[плащане]]</f>
        <v>0</v>
      </c>
      <c r="O346" s="208">
        <v>45368</v>
      </c>
    </row>
    <row r="347" spans="1:15" ht="20.100000000000001" customHeight="1" x14ac:dyDescent="0.3">
      <c r="A347" s="116" t="s">
        <v>92</v>
      </c>
      <c r="B347" s="394">
        <v>3000002716</v>
      </c>
      <c r="C347" s="117">
        <v>45363</v>
      </c>
      <c r="D347" s="116"/>
      <c r="E347" s="132" t="s">
        <v>33</v>
      </c>
      <c r="F347" s="118"/>
      <c r="G347" s="116"/>
      <c r="H347" s="113">
        <v>1</v>
      </c>
      <c r="I347" s="114">
        <v>1151.43</v>
      </c>
      <c r="J347" s="115">
        <f t="shared" si="37"/>
        <v>1151.43</v>
      </c>
      <c r="K347" s="115">
        <f t="shared" si="38"/>
        <v>1381.7160000000001</v>
      </c>
      <c r="L347" s="104">
        <v>1381.72</v>
      </c>
      <c r="M347" s="107">
        <v>45369</v>
      </c>
      <c r="N347" s="115">
        <f>+Table6[[#This Row],[стойност с ДДС]]-Table6[[#This Row],[плащане]]</f>
        <v>-3.9999999999054126E-3</v>
      </c>
      <c r="O347" s="208">
        <v>45368</v>
      </c>
    </row>
    <row r="348" spans="1:15" ht="20.100000000000001" customHeight="1" x14ac:dyDescent="0.3">
      <c r="A348" s="97" t="s">
        <v>89</v>
      </c>
      <c r="B348" s="393">
        <v>3000002717</v>
      </c>
      <c r="C348" s="110">
        <v>45363</v>
      </c>
      <c r="D348" s="97"/>
      <c r="E348" s="132" t="s">
        <v>33</v>
      </c>
      <c r="F348" s="101"/>
      <c r="G348" s="116"/>
      <c r="H348" s="113">
        <v>1</v>
      </c>
      <c r="I348" s="114">
        <v>274.14999999999998</v>
      </c>
      <c r="J348" s="115">
        <f t="shared" si="37"/>
        <v>274.14999999999998</v>
      </c>
      <c r="K348" s="115">
        <f t="shared" si="38"/>
        <v>328.97999999999996</v>
      </c>
      <c r="L348" s="104">
        <v>328.98</v>
      </c>
      <c r="M348" s="107">
        <v>45369</v>
      </c>
      <c r="N348" s="115">
        <f>+Table6[[#This Row],[стойност с ДДС]]-Table6[[#This Row],[плащане]]</f>
        <v>0</v>
      </c>
      <c r="O348" s="208">
        <v>45368</v>
      </c>
    </row>
    <row r="349" spans="1:15" ht="20.100000000000001" customHeight="1" x14ac:dyDescent="0.3">
      <c r="A349" s="116" t="s">
        <v>91</v>
      </c>
      <c r="B349" s="394">
        <v>3000002707</v>
      </c>
      <c r="C349" s="117">
        <v>45363</v>
      </c>
      <c r="D349" s="116"/>
      <c r="E349" s="132" t="s">
        <v>33</v>
      </c>
      <c r="F349" s="118"/>
      <c r="G349" s="116"/>
      <c r="H349" s="113">
        <v>1</v>
      </c>
      <c r="I349" s="114">
        <v>3144.5</v>
      </c>
      <c r="J349" s="115">
        <f t="shared" si="37"/>
        <v>3144.5</v>
      </c>
      <c r="K349" s="115">
        <f t="shared" ref="K349:K369" si="39">J349*1.2</f>
        <v>3773.3999999999996</v>
      </c>
      <c r="L349" s="104">
        <v>3773.3999999999996</v>
      </c>
      <c r="M349" s="107">
        <v>45372</v>
      </c>
      <c r="N349" s="115">
        <f>+Table6[[#This Row],[стойност с ДДС]]-Table6[[#This Row],[плащане]]</f>
        <v>0</v>
      </c>
      <c r="O349" s="208">
        <v>45368</v>
      </c>
    </row>
    <row r="350" spans="1:15" ht="20.100000000000001" customHeight="1" x14ac:dyDescent="0.3">
      <c r="A350" s="116" t="s">
        <v>91</v>
      </c>
      <c r="B350" s="394">
        <v>3000002707</v>
      </c>
      <c r="C350" s="117">
        <v>45363</v>
      </c>
      <c r="D350" s="116"/>
      <c r="E350" s="144" t="s">
        <v>63</v>
      </c>
      <c r="F350" s="118"/>
      <c r="G350" s="116"/>
      <c r="H350" s="113">
        <v>3.7</v>
      </c>
      <c r="I350" s="114">
        <v>39.405500000000004</v>
      </c>
      <c r="J350" s="115">
        <f t="shared" si="37"/>
        <v>145.80000000000001</v>
      </c>
      <c r="K350" s="115">
        <f t="shared" si="39"/>
        <v>174.96</v>
      </c>
      <c r="L350" s="104">
        <v>174.96</v>
      </c>
      <c r="M350" s="107">
        <v>45372</v>
      </c>
      <c r="N350" s="115">
        <v>0</v>
      </c>
      <c r="O350" s="208">
        <v>45368</v>
      </c>
    </row>
    <row r="351" spans="1:15" ht="20.100000000000001" customHeight="1" collapsed="1" x14ac:dyDescent="0.3">
      <c r="A351" s="116" t="s">
        <v>101</v>
      </c>
      <c r="B351" s="394">
        <v>3100000489</v>
      </c>
      <c r="C351" s="117">
        <v>45330</v>
      </c>
      <c r="D351" s="97" t="s">
        <v>112</v>
      </c>
      <c r="E351" s="101" t="s">
        <v>38</v>
      </c>
      <c r="F351" s="101"/>
      <c r="G351" s="97"/>
      <c r="H351" s="113">
        <v>107</v>
      </c>
      <c r="I351" s="114">
        <v>53.5</v>
      </c>
      <c r="J351" s="115">
        <f>I351*H351</f>
        <v>5724.5</v>
      </c>
      <c r="K351" s="104">
        <f t="shared" si="39"/>
        <v>6869.4</v>
      </c>
      <c r="L351" s="104">
        <v>6869.4</v>
      </c>
      <c r="M351" s="107">
        <v>45372</v>
      </c>
      <c r="N351" s="115">
        <f>+Table6[[#This Row],[стойност с ДДС]]-Table6[[#This Row],[плащане]]</f>
        <v>0</v>
      </c>
      <c r="O351" s="208"/>
    </row>
    <row r="352" spans="1:15" ht="20.100000000000001" customHeight="1" x14ac:dyDescent="0.3">
      <c r="A352" s="116" t="s">
        <v>69</v>
      </c>
      <c r="B352" s="394">
        <v>3000002708</v>
      </c>
      <c r="C352" s="117">
        <v>45363</v>
      </c>
      <c r="D352" s="116"/>
      <c r="E352" s="144" t="s">
        <v>33</v>
      </c>
      <c r="F352" s="118"/>
      <c r="G352" s="116"/>
      <c r="H352" s="113">
        <v>1</v>
      </c>
      <c r="I352" s="114">
        <v>8800.2199999999993</v>
      </c>
      <c r="J352" s="115">
        <f>ROUND(+H352*I352,2)</f>
        <v>8800.2199999999993</v>
      </c>
      <c r="K352" s="115">
        <f t="shared" si="39"/>
        <v>10560.263999999999</v>
      </c>
      <c r="L352" s="104">
        <v>10560.263999999999</v>
      </c>
      <c r="M352" s="107">
        <v>45372</v>
      </c>
      <c r="N352" s="115">
        <f>+Table6[[#This Row],[стойност с ДДС]]-Table6[[#This Row],[плащане]]</f>
        <v>0</v>
      </c>
      <c r="O352" s="208">
        <v>45368</v>
      </c>
    </row>
    <row r="353" spans="1:15" ht="20.100000000000001" customHeight="1" x14ac:dyDescent="0.3">
      <c r="A353" s="97" t="s">
        <v>69</v>
      </c>
      <c r="B353" s="393">
        <v>3000002708</v>
      </c>
      <c r="C353" s="110">
        <v>45363</v>
      </c>
      <c r="D353" s="97"/>
      <c r="E353" s="137" t="s">
        <v>76</v>
      </c>
      <c r="F353" s="101"/>
      <c r="G353" s="116"/>
      <c r="H353" s="113">
        <v>20</v>
      </c>
      <c r="I353" s="114">
        <v>25.1753</v>
      </c>
      <c r="J353" s="115">
        <f>ROUND(+H353*I353,2)</f>
        <v>503.51</v>
      </c>
      <c r="K353" s="115">
        <f t="shared" si="39"/>
        <v>604.21199999999999</v>
      </c>
      <c r="L353" s="104">
        <v>604.21199999999999</v>
      </c>
      <c r="M353" s="107">
        <v>45372</v>
      </c>
      <c r="N353" s="115">
        <f>+Table6[[#This Row],[стойност с ДДС]]-Table6[[#This Row],[плащане]]</f>
        <v>0</v>
      </c>
      <c r="O353" s="208">
        <v>45368</v>
      </c>
    </row>
    <row r="354" spans="1:15" ht="20.100000000000001" customHeight="1" x14ac:dyDescent="0.3">
      <c r="A354" s="116" t="s">
        <v>69</v>
      </c>
      <c r="B354" s="394">
        <v>3000002708</v>
      </c>
      <c r="C354" s="117">
        <v>45363</v>
      </c>
      <c r="D354" s="116"/>
      <c r="E354" s="137" t="s">
        <v>63</v>
      </c>
      <c r="F354" s="118"/>
      <c r="G354" s="116"/>
      <c r="H354" s="113">
        <v>7</v>
      </c>
      <c r="I354" s="114">
        <v>39.405500000000004</v>
      </c>
      <c r="J354" s="115">
        <f>ROUND(+H354*I354,2)</f>
        <v>275.83999999999997</v>
      </c>
      <c r="K354" s="115">
        <f t="shared" si="39"/>
        <v>331.00799999999998</v>
      </c>
      <c r="L354" s="104">
        <v>331.00799999999998</v>
      </c>
      <c r="M354" s="107">
        <v>45372</v>
      </c>
      <c r="N354" s="115">
        <f>G187</f>
        <v>0</v>
      </c>
      <c r="O354" s="208">
        <v>45368</v>
      </c>
    </row>
    <row r="355" spans="1:15" ht="20.100000000000001" customHeight="1" collapsed="1" x14ac:dyDescent="0.3">
      <c r="A355" s="116" t="s">
        <v>105</v>
      </c>
      <c r="B355" s="394">
        <v>3100000490</v>
      </c>
      <c r="C355" s="117">
        <v>45346</v>
      </c>
      <c r="D355" s="97" t="s">
        <v>113</v>
      </c>
      <c r="E355" s="101" t="s">
        <v>38</v>
      </c>
      <c r="F355" s="101"/>
      <c r="G355" s="97"/>
      <c r="H355" s="113">
        <v>50</v>
      </c>
      <c r="I355" s="114">
        <v>47</v>
      </c>
      <c r="J355" s="115">
        <f>I355*H355</f>
        <v>2350</v>
      </c>
      <c r="K355" s="104">
        <f t="shared" si="39"/>
        <v>2820</v>
      </c>
      <c r="L355" s="115">
        <v>2820</v>
      </c>
      <c r="M355" s="107">
        <v>45372</v>
      </c>
      <c r="N355" s="115">
        <f>+Table6[[#This Row],[стойност с ДДС]]-Table6[[#This Row],[плащане]]</f>
        <v>0</v>
      </c>
      <c r="O355" s="208"/>
    </row>
    <row r="356" spans="1:15" ht="20.100000000000001" customHeight="1" x14ac:dyDescent="0.3">
      <c r="A356" s="116" t="s">
        <v>75</v>
      </c>
      <c r="B356" s="394">
        <v>3000002713</v>
      </c>
      <c r="C356" s="117">
        <v>45363</v>
      </c>
      <c r="D356" s="116"/>
      <c r="E356" s="144" t="s">
        <v>33</v>
      </c>
      <c r="F356" s="118"/>
      <c r="G356" s="116"/>
      <c r="H356" s="113">
        <v>1</v>
      </c>
      <c r="I356" s="114">
        <v>33008.21</v>
      </c>
      <c r="J356" s="115">
        <f>ROUND(+H356*I356,2)</f>
        <v>33008.21</v>
      </c>
      <c r="K356" s="115">
        <f t="shared" si="39"/>
        <v>39609.851999999999</v>
      </c>
      <c r="L356" s="104">
        <v>39609.851999999999</v>
      </c>
      <c r="M356" s="107">
        <v>45372</v>
      </c>
      <c r="N356" s="115">
        <f>+Table6[[#This Row],[стойност с ДДС]]-Table6[[#This Row],[плащане]]</f>
        <v>0</v>
      </c>
      <c r="O356" s="208">
        <v>45368</v>
      </c>
    </row>
    <row r="357" spans="1:15" ht="20.100000000000001" customHeight="1" x14ac:dyDescent="0.3">
      <c r="A357" s="97" t="s">
        <v>75</v>
      </c>
      <c r="B357" s="393">
        <v>3000002713</v>
      </c>
      <c r="C357" s="110">
        <v>45363</v>
      </c>
      <c r="D357" s="97"/>
      <c r="E357" s="144" t="s">
        <v>33</v>
      </c>
      <c r="F357" s="118"/>
      <c r="G357" s="116"/>
      <c r="H357" s="113">
        <v>30</v>
      </c>
      <c r="I357" s="114">
        <v>63.731630000000003</v>
      </c>
      <c r="J357" s="115">
        <f>ROUND(+H357*I357,2)</f>
        <v>1911.95</v>
      </c>
      <c r="K357" s="115">
        <f t="shared" si="39"/>
        <v>2294.34</v>
      </c>
      <c r="L357" s="104">
        <v>2294.34</v>
      </c>
      <c r="M357" s="107">
        <v>45372</v>
      </c>
      <c r="N357" s="115">
        <f>+Table6[[#This Row],[стойност с ДДС]]-Table6[[#This Row],[плащане]]</f>
        <v>0</v>
      </c>
      <c r="O357" s="208">
        <v>45368</v>
      </c>
    </row>
    <row r="358" spans="1:15" ht="20.100000000000001" customHeight="1" x14ac:dyDescent="0.3">
      <c r="A358" s="116" t="s">
        <v>75</v>
      </c>
      <c r="B358" s="394">
        <v>3000002713</v>
      </c>
      <c r="C358" s="117">
        <v>45363</v>
      </c>
      <c r="D358" s="116"/>
      <c r="E358" s="144" t="s">
        <v>33</v>
      </c>
      <c r="F358" s="118"/>
      <c r="G358" s="116"/>
      <c r="H358" s="113">
        <v>9</v>
      </c>
      <c r="I358" s="114">
        <v>99.755700000000004</v>
      </c>
      <c r="J358" s="115">
        <f>ROUND(+H358*I358,2)</f>
        <v>897.8</v>
      </c>
      <c r="K358" s="115">
        <f t="shared" si="39"/>
        <v>1077.3599999999999</v>
      </c>
      <c r="L358" s="104">
        <v>1077.3599999999999</v>
      </c>
      <c r="M358" s="107">
        <v>45372</v>
      </c>
      <c r="N358" s="115">
        <f>+Table6[[#This Row],[стойност с ДДС]]-Table6[[#This Row],[плащане]]</f>
        <v>0</v>
      </c>
      <c r="O358" s="208">
        <v>45368</v>
      </c>
    </row>
    <row r="359" spans="1:15" ht="20.100000000000001" customHeight="1" x14ac:dyDescent="0.3">
      <c r="A359" s="116" t="s">
        <v>82</v>
      </c>
      <c r="B359" s="394">
        <v>3000002712</v>
      </c>
      <c r="C359" s="117">
        <v>45363</v>
      </c>
      <c r="D359" s="116"/>
      <c r="E359" s="144" t="s">
        <v>33</v>
      </c>
      <c r="F359" s="118"/>
      <c r="G359" s="116"/>
      <c r="H359" s="149">
        <v>1</v>
      </c>
      <c r="I359" s="114">
        <v>16720.7</v>
      </c>
      <c r="J359" s="150">
        <f t="shared" ref="J359:J369" si="40">ROUND(+H359*I359,2)</f>
        <v>16720.7</v>
      </c>
      <c r="K359" s="115">
        <f t="shared" si="39"/>
        <v>20064.84</v>
      </c>
      <c r="L359" s="104">
        <v>20064.84</v>
      </c>
      <c r="M359" s="107">
        <v>45373</v>
      </c>
      <c r="N359" s="115">
        <f>+Table6[[#This Row],[стойност с ДДС]]-Table6[[#This Row],[плащане]]</f>
        <v>0</v>
      </c>
      <c r="O359" s="208">
        <v>45368</v>
      </c>
    </row>
    <row r="360" spans="1:15" ht="20.100000000000001" customHeight="1" x14ac:dyDescent="0.3">
      <c r="A360" s="97" t="s">
        <v>82</v>
      </c>
      <c r="B360" s="393">
        <v>3000002712</v>
      </c>
      <c r="C360" s="110">
        <v>45363</v>
      </c>
      <c r="D360" s="97"/>
      <c r="E360" s="132" t="s">
        <v>33</v>
      </c>
      <c r="F360" s="101"/>
      <c r="G360" s="116"/>
      <c r="H360" s="113">
        <v>1</v>
      </c>
      <c r="I360" s="114">
        <v>158.25</v>
      </c>
      <c r="J360" s="115">
        <f t="shared" si="40"/>
        <v>158.25</v>
      </c>
      <c r="K360" s="115">
        <f t="shared" si="39"/>
        <v>189.9</v>
      </c>
      <c r="L360" s="104">
        <v>189.9</v>
      </c>
      <c r="M360" s="107">
        <v>45373</v>
      </c>
      <c r="N360" s="115">
        <f>+Table6[[#This Row],[стойност с ДДС]]-Table6[[#This Row],[плащане]]</f>
        <v>0</v>
      </c>
      <c r="O360" s="208">
        <v>45368</v>
      </c>
    </row>
    <row r="361" spans="1:15" ht="20.100000000000001" customHeight="1" x14ac:dyDescent="0.3">
      <c r="A361" s="116" t="s">
        <v>82</v>
      </c>
      <c r="B361" s="394">
        <v>3000002712</v>
      </c>
      <c r="C361" s="117">
        <v>45363</v>
      </c>
      <c r="D361" s="116"/>
      <c r="E361" s="144" t="s">
        <v>33</v>
      </c>
      <c r="F361" s="118"/>
      <c r="G361" s="116"/>
      <c r="H361" s="113">
        <v>1</v>
      </c>
      <c r="I361" s="114">
        <v>165.5</v>
      </c>
      <c r="J361" s="115">
        <f t="shared" si="40"/>
        <v>165.5</v>
      </c>
      <c r="K361" s="115">
        <f t="shared" si="39"/>
        <v>198.6</v>
      </c>
      <c r="L361" s="104">
        <v>198.6</v>
      </c>
      <c r="M361" s="107">
        <v>45373</v>
      </c>
      <c r="N361" s="115">
        <f>+Table6[[#This Row],[стойност с ДДС]]-Table6[[#This Row],[плащане]]</f>
        <v>0</v>
      </c>
      <c r="O361" s="208">
        <v>45368</v>
      </c>
    </row>
    <row r="362" spans="1:15" ht="20.100000000000001" customHeight="1" x14ac:dyDescent="0.3">
      <c r="A362" s="97" t="s">
        <v>82</v>
      </c>
      <c r="B362" s="393">
        <v>3000002712</v>
      </c>
      <c r="C362" s="110">
        <v>45363</v>
      </c>
      <c r="D362" s="97"/>
      <c r="E362" s="137" t="s">
        <v>76</v>
      </c>
      <c r="F362" s="101"/>
      <c r="G362" s="97"/>
      <c r="H362" s="113">
        <v>93</v>
      </c>
      <c r="I362" s="114">
        <v>0.82769999999999999</v>
      </c>
      <c r="J362" s="115">
        <f t="shared" si="40"/>
        <v>76.98</v>
      </c>
      <c r="K362" s="115">
        <f t="shared" si="39"/>
        <v>92.376000000000005</v>
      </c>
      <c r="L362" s="104">
        <v>92.376000000000005</v>
      </c>
      <c r="M362" s="107">
        <v>45373</v>
      </c>
      <c r="N362" s="115">
        <f>+Table6[[#This Row],[стойност с ДДС]]-Table6[[#This Row],[плащане]]</f>
        <v>0</v>
      </c>
      <c r="O362" s="208">
        <v>45368</v>
      </c>
    </row>
    <row r="363" spans="1:15" ht="20.100000000000001" customHeight="1" x14ac:dyDescent="0.3">
      <c r="A363" s="116" t="s">
        <v>82</v>
      </c>
      <c r="B363" s="394">
        <v>3000002712</v>
      </c>
      <c r="C363" s="117">
        <v>45363</v>
      </c>
      <c r="D363" s="116"/>
      <c r="E363" s="116" t="s">
        <v>71</v>
      </c>
      <c r="F363" s="118"/>
      <c r="G363" s="116"/>
      <c r="H363" s="113">
        <v>558</v>
      </c>
      <c r="I363" s="114">
        <v>1.4756</v>
      </c>
      <c r="J363" s="115">
        <f t="shared" si="40"/>
        <v>823.38</v>
      </c>
      <c r="K363" s="115">
        <f t="shared" si="39"/>
        <v>988.05599999999993</v>
      </c>
      <c r="L363" s="104">
        <v>988.05599999999993</v>
      </c>
      <c r="M363" s="107">
        <v>45373</v>
      </c>
      <c r="N363" s="115">
        <f>+Table6[[#This Row],[стойност с ДДС]]-Table6[[#This Row],[плащане]]</f>
        <v>0</v>
      </c>
      <c r="O363" s="208">
        <v>45368</v>
      </c>
    </row>
    <row r="364" spans="1:15" ht="20.100000000000001" customHeight="1" collapsed="1" x14ac:dyDescent="0.3">
      <c r="A364" s="116" t="s">
        <v>101</v>
      </c>
      <c r="B364" s="394">
        <v>3100000493</v>
      </c>
      <c r="C364" s="110">
        <v>45357</v>
      </c>
      <c r="D364" s="97"/>
      <c r="E364" s="101" t="s">
        <v>38</v>
      </c>
      <c r="F364" s="101"/>
      <c r="G364" s="97"/>
      <c r="H364" s="113">
        <v>50</v>
      </c>
      <c r="I364" s="114">
        <v>46.7</v>
      </c>
      <c r="J364" s="115">
        <f t="shared" si="40"/>
        <v>2335</v>
      </c>
      <c r="K364" s="115">
        <f t="shared" si="39"/>
        <v>2802</v>
      </c>
      <c r="L364" s="115">
        <v>2802</v>
      </c>
      <c r="M364" s="107">
        <v>45373</v>
      </c>
      <c r="N364" s="115">
        <f>+Table6[[#This Row],[стойност с ДДС]]-Table6[[#This Row],[плащане]]</f>
        <v>0</v>
      </c>
      <c r="O364" s="208"/>
    </row>
    <row r="365" spans="1:15" ht="20.100000000000001" customHeight="1" x14ac:dyDescent="0.3">
      <c r="A365" s="116" t="s">
        <v>98</v>
      </c>
      <c r="B365" s="394">
        <v>3000002714</v>
      </c>
      <c r="C365" s="117">
        <v>45363</v>
      </c>
      <c r="D365" s="116"/>
      <c r="E365" s="144" t="s">
        <v>33</v>
      </c>
      <c r="F365" s="118"/>
      <c r="G365" s="116"/>
      <c r="H365" s="141">
        <v>1</v>
      </c>
      <c r="I365" s="142">
        <v>43650.9</v>
      </c>
      <c r="J365" s="130">
        <f t="shared" si="40"/>
        <v>43650.9</v>
      </c>
      <c r="K365" s="130">
        <f t="shared" si="39"/>
        <v>52381.08</v>
      </c>
      <c r="L365" s="129">
        <v>52381.08</v>
      </c>
      <c r="M365" s="107">
        <v>45373</v>
      </c>
      <c r="N365" s="143">
        <f>+Table6[[#This Row],[стойност с ДДС]]-Table6[[#This Row],[плащане]]</f>
        <v>0</v>
      </c>
      <c r="O365" s="208">
        <v>45368</v>
      </c>
    </row>
    <row r="366" spans="1:15" ht="20.100000000000001" customHeight="1" x14ac:dyDescent="0.3">
      <c r="A366" s="97" t="s">
        <v>98</v>
      </c>
      <c r="B366" s="393">
        <v>3000002714</v>
      </c>
      <c r="C366" s="110">
        <v>45363</v>
      </c>
      <c r="D366" s="97"/>
      <c r="E366" s="144" t="s">
        <v>63</v>
      </c>
      <c r="F366" s="101"/>
      <c r="G366" s="97"/>
      <c r="H366" s="113">
        <v>1</v>
      </c>
      <c r="I366" s="114">
        <v>99.755700000000004</v>
      </c>
      <c r="J366" s="115">
        <f t="shared" si="40"/>
        <v>99.76</v>
      </c>
      <c r="K366" s="115">
        <f t="shared" si="39"/>
        <v>119.712</v>
      </c>
      <c r="L366" s="104">
        <v>119.712</v>
      </c>
      <c r="M366" s="107">
        <v>45373</v>
      </c>
      <c r="N366" s="106">
        <f>+Table6[[#This Row],[стойност с ДДС]]-Table6[[#This Row],[плащане]]</f>
        <v>0</v>
      </c>
      <c r="O366" s="208">
        <v>45368</v>
      </c>
    </row>
    <row r="367" spans="1:15" ht="20.100000000000001" customHeight="1" collapsed="1" x14ac:dyDescent="0.3">
      <c r="A367" s="151" t="s">
        <v>114</v>
      </c>
      <c r="B367" s="393">
        <v>3100000494</v>
      </c>
      <c r="C367" s="110">
        <v>45363</v>
      </c>
      <c r="D367" s="97"/>
      <c r="E367" s="101" t="s">
        <v>38</v>
      </c>
      <c r="F367" s="101" t="s">
        <v>115</v>
      </c>
      <c r="G367" s="97"/>
      <c r="H367" s="113">
        <v>27</v>
      </c>
      <c r="I367" s="114">
        <v>22.905799999999999</v>
      </c>
      <c r="J367" s="115">
        <f t="shared" si="40"/>
        <v>618.46</v>
      </c>
      <c r="K367" s="115">
        <f t="shared" si="39"/>
        <v>742.15200000000004</v>
      </c>
      <c r="L367" s="104">
        <v>742.15200000000004</v>
      </c>
      <c r="M367" s="107">
        <v>45373</v>
      </c>
      <c r="N367" s="115">
        <f>+Table6[[#This Row],[стойност с ДДС]]-Table6[[#This Row],[плащане]]</f>
        <v>0</v>
      </c>
      <c r="O367" s="208"/>
    </row>
    <row r="368" spans="1:15" ht="20.100000000000001" customHeight="1" x14ac:dyDescent="0.3">
      <c r="A368" s="97" t="s">
        <v>94</v>
      </c>
      <c r="B368" s="393">
        <v>3000002709</v>
      </c>
      <c r="C368" s="110">
        <v>45363</v>
      </c>
      <c r="D368" s="97"/>
      <c r="E368" s="132" t="s">
        <v>33</v>
      </c>
      <c r="F368" s="101"/>
      <c r="G368" s="97"/>
      <c r="H368" s="113">
        <v>1</v>
      </c>
      <c r="I368" s="114">
        <v>297.45</v>
      </c>
      <c r="J368" s="115">
        <f t="shared" si="40"/>
        <v>297.45</v>
      </c>
      <c r="K368" s="115">
        <f t="shared" si="39"/>
        <v>356.94</v>
      </c>
      <c r="L368" s="104">
        <v>356.94</v>
      </c>
      <c r="M368" s="107">
        <v>45373</v>
      </c>
      <c r="N368" s="115">
        <f>+Table6[[#This Row],[стойност с ДДС]]-Table6[[#This Row],[плащане]]</f>
        <v>0</v>
      </c>
      <c r="O368" s="208">
        <v>45368</v>
      </c>
    </row>
    <row r="369" spans="1:15" ht="20.100000000000001" customHeight="1" x14ac:dyDescent="0.3">
      <c r="A369" s="97" t="s">
        <v>94</v>
      </c>
      <c r="B369" s="393">
        <v>3000002709</v>
      </c>
      <c r="C369" s="110">
        <v>45363</v>
      </c>
      <c r="D369" s="97"/>
      <c r="E369" s="132" t="s">
        <v>33</v>
      </c>
      <c r="F369" s="101"/>
      <c r="G369" s="97"/>
      <c r="H369" s="113">
        <v>0.35</v>
      </c>
      <c r="I369" s="114">
        <v>39.405500000000004</v>
      </c>
      <c r="J369" s="115">
        <f t="shared" si="40"/>
        <v>13.79</v>
      </c>
      <c r="K369" s="115">
        <f t="shared" si="39"/>
        <v>16.547999999999998</v>
      </c>
      <c r="L369" s="104">
        <v>16.547999999999998</v>
      </c>
      <c r="M369" s="107">
        <v>45373</v>
      </c>
      <c r="N369" s="115">
        <f>+Table6[[#This Row],[стойност с ДДС]]-Table6[[#This Row],[плащане]]</f>
        <v>0</v>
      </c>
      <c r="O369" s="208">
        <v>45368</v>
      </c>
    </row>
    <row r="370" spans="1:15" ht="20.100000000000001" customHeight="1" x14ac:dyDescent="0.3">
      <c r="A370" s="116" t="s">
        <v>114</v>
      </c>
      <c r="B370" s="394">
        <v>3100000495</v>
      </c>
      <c r="C370" s="117">
        <v>45372</v>
      </c>
      <c r="D370" s="116"/>
      <c r="E370" s="101" t="s">
        <v>38</v>
      </c>
      <c r="F370" s="118" t="s">
        <v>116</v>
      </c>
      <c r="G370" s="116"/>
      <c r="H370" s="141">
        <v>50</v>
      </c>
      <c r="I370" s="142">
        <v>24.286000000000001</v>
      </c>
      <c r="J370" s="130">
        <f t="shared" ref="J370:J375" si="41">ROUND(+H370*I370,2)</f>
        <v>1214.3</v>
      </c>
      <c r="K370" s="130">
        <f>+Table6[[#This Row],[стойност]]</f>
        <v>1214.3</v>
      </c>
      <c r="L370" s="129">
        <v>1214.3</v>
      </c>
      <c r="M370" s="152">
        <v>45378</v>
      </c>
      <c r="N370" s="130">
        <f>+Table6[[#This Row],[стойност с ДДС]]-Table6[[#This Row],[плащане]]</f>
        <v>0</v>
      </c>
      <c r="O370" s="208">
        <v>45368</v>
      </c>
    </row>
    <row r="371" spans="1:15" ht="37.5" x14ac:dyDescent="0.3">
      <c r="A371" s="116" t="s">
        <v>50</v>
      </c>
      <c r="B371" s="394">
        <v>3000002718</v>
      </c>
      <c r="C371" s="117">
        <v>45372</v>
      </c>
      <c r="D371" s="116"/>
      <c r="E371" s="147" t="s">
        <v>53</v>
      </c>
      <c r="F371" s="118"/>
      <c r="G371" s="116"/>
      <c r="H371" s="141">
        <v>1953.6489999999999</v>
      </c>
      <c r="I371" s="142">
        <v>57.59</v>
      </c>
      <c r="J371" s="130">
        <f t="shared" si="41"/>
        <v>112510.65</v>
      </c>
      <c r="K371" s="130">
        <f>J371*1.2</f>
        <v>135012.78</v>
      </c>
      <c r="L371" s="129">
        <v>135012.78</v>
      </c>
      <c r="M371" s="152">
        <v>45378</v>
      </c>
      <c r="N371" s="130">
        <f>+Table6[[#This Row],[стойност с ДДС]]-Table6[[#This Row],[плащане]]</f>
        <v>0</v>
      </c>
      <c r="O371" s="208">
        <v>45377</v>
      </c>
    </row>
    <row r="372" spans="1:15" x14ac:dyDescent="0.3">
      <c r="A372" s="116" t="s">
        <v>50</v>
      </c>
      <c r="B372" s="394">
        <v>3000002718</v>
      </c>
      <c r="C372" s="117">
        <v>45372</v>
      </c>
      <c r="D372" s="97"/>
      <c r="E372" s="147" t="s">
        <v>73</v>
      </c>
      <c r="F372" s="101"/>
      <c r="G372" s="97"/>
      <c r="H372" s="113">
        <v>50</v>
      </c>
      <c r="I372" s="114">
        <v>63.7316</v>
      </c>
      <c r="J372" s="115">
        <f t="shared" si="41"/>
        <v>3186.58</v>
      </c>
      <c r="K372" s="115">
        <f>J372*1.2</f>
        <v>3823.8959999999997</v>
      </c>
      <c r="L372" s="104">
        <v>3823.9</v>
      </c>
      <c r="M372" s="152">
        <v>45378</v>
      </c>
      <c r="N372" s="115">
        <f>+Table6[[#This Row],[стойност с ДДС]]-Table6[[#This Row],[плащане]]</f>
        <v>-4.0000000003601599E-3</v>
      </c>
      <c r="O372" s="208">
        <v>45377</v>
      </c>
    </row>
    <row r="373" spans="1:15" x14ac:dyDescent="0.3">
      <c r="A373" s="116" t="s">
        <v>50</v>
      </c>
      <c r="B373" s="394">
        <v>3000002718</v>
      </c>
      <c r="C373" s="117">
        <v>45372</v>
      </c>
      <c r="D373" s="116"/>
      <c r="E373" s="116" t="s">
        <v>63</v>
      </c>
      <c r="F373" s="118"/>
      <c r="G373" s="116"/>
      <c r="H373" s="141">
        <v>120</v>
      </c>
      <c r="I373" s="142">
        <v>99.755700000000004</v>
      </c>
      <c r="J373" s="130">
        <f t="shared" si="41"/>
        <v>11970.68</v>
      </c>
      <c r="K373" s="130">
        <f>J373*1.2</f>
        <v>14364.816000000001</v>
      </c>
      <c r="L373" s="129">
        <v>14364.82</v>
      </c>
      <c r="M373" s="152">
        <v>45378</v>
      </c>
      <c r="N373" s="130">
        <f>+Table6[[#This Row],[стойност с ДДС]]-Table6[[#This Row],[плащане]]</f>
        <v>-3.9999999989959178E-3</v>
      </c>
      <c r="O373" s="208">
        <v>45377</v>
      </c>
    </row>
    <row r="374" spans="1:15" ht="37.5" x14ac:dyDescent="0.3">
      <c r="A374" s="116" t="s">
        <v>64</v>
      </c>
      <c r="B374" s="394">
        <v>3000002719</v>
      </c>
      <c r="C374" s="117">
        <v>45372</v>
      </c>
      <c r="D374" s="116"/>
      <c r="E374" s="147" t="s">
        <v>53</v>
      </c>
      <c r="F374" s="118"/>
      <c r="G374" s="116"/>
      <c r="H374" s="141">
        <v>1047.8219999999999</v>
      </c>
      <c r="I374" s="142">
        <v>57.59</v>
      </c>
      <c r="J374" s="130">
        <f t="shared" si="41"/>
        <v>60344.07</v>
      </c>
      <c r="K374" s="130">
        <f>J374*1.2</f>
        <v>72412.883999999991</v>
      </c>
      <c r="L374" s="129">
        <v>72412.88</v>
      </c>
      <c r="M374" s="152">
        <v>45378</v>
      </c>
      <c r="N374" s="130">
        <f>+Table6[[#This Row],[стойност с ДДС]]-Table6[[#This Row],[плащане]]</f>
        <v>3.999999986262992E-3</v>
      </c>
      <c r="O374" s="208">
        <v>45377</v>
      </c>
    </row>
    <row r="375" spans="1:15" ht="37.5" x14ac:dyDescent="0.3">
      <c r="A375" s="116" t="s">
        <v>64</v>
      </c>
      <c r="B375" s="394">
        <v>3000002719</v>
      </c>
      <c r="C375" s="117">
        <v>45372</v>
      </c>
      <c r="D375" s="97"/>
      <c r="E375" s="147" t="s">
        <v>53</v>
      </c>
      <c r="F375" s="101"/>
      <c r="G375" s="97"/>
      <c r="H375" s="113">
        <v>846.66399999999999</v>
      </c>
      <c r="I375" s="114">
        <v>57.59</v>
      </c>
      <c r="J375" s="115">
        <f t="shared" si="41"/>
        <v>48759.38</v>
      </c>
      <c r="K375" s="115">
        <f>J375*1.2</f>
        <v>58511.255999999994</v>
      </c>
      <c r="L375" s="104">
        <v>58511.26</v>
      </c>
      <c r="M375" s="152">
        <v>45378</v>
      </c>
      <c r="N375" s="115">
        <f>+Table6[[#This Row],[стойност с ДДС]]-Table6[[#This Row],[плащане]]</f>
        <v>-4.0000000080908649E-3</v>
      </c>
      <c r="O375" s="208">
        <v>45377</v>
      </c>
    </row>
    <row r="376" spans="1:15" x14ac:dyDescent="0.3">
      <c r="A376" s="116" t="s">
        <v>64</v>
      </c>
      <c r="B376" s="394">
        <v>3000002719</v>
      </c>
      <c r="C376" s="117">
        <v>45372</v>
      </c>
      <c r="D376" s="97"/>
      <c r="E376" s="100" t="s">
        <v>76</v>
      </c>
      <c r="F376" s="101"/>
      <c r="G376" s="97"/>
      <c r="H376" s="113">
        <v>46</v>
      </c>
      <c r="I376" s="114">
        <v>63.7316</v>
      </c>
      <c r="J376" s="115">
        <f t="shared" ref="J376:J378" si="42">ROUND(+H376*I376,2)</f>
        <v>2931.65</v>
      </c>
      <c r="K376" s="115">
        <f t="shared" ref="K376:K378" si="43">J376*1.2</f>
        <v>3517.98</v>
      </c>
      <c r="L376" s="104">
        <v>3517.98</v>
      </c>
      <c r="M376" s="152">
        <v>45378</v>
      </c>
      <c r="N376" s="115">
        <f>+Table6[[#This Row],[стойност с ДДС]]-Table6[[#This Row],[плащане]]</f>
        <v>0</v>
      </c>
      <c r="O376" s="208">
        <v>45377</v>
      </c>
    </row>
    <row r="377" spans="1:15" x14ac:dyDescent="0.3">
      <c r="A377" s="116" t="s">
        <v>64</v>
      </c>
      <c r="B377" s="394">
        <v>3000002719</v>
      </c>
      <c r="C377" s="117">
        <v>45372</v>
      </c>
      <c r="D377" s="97"/>
      <c r="E377" s="100" t="s">
        <v>63</v>
      </c>
      <c r="F377" s="101"/>
      <c r="G377" s="97"/>
      <c r="H377" s="113">
        <v>91</v>
      </c>
      <c r="I377" s="114">
        <v>99.755700000000004</v>
      </c>
      <c r="J377" s="115">
        <f t="shared" si="42"/>
        <v>9077.77</v>
      </c>
      <c r="K377" s="115">
        <f t="shared" si="43"/>
        <v>10893.324000000001</v>
      </c>
      <c r="L377" s="104">
        <v>10893.32</v>
      </c>
      <c r="M377" s="152">
        <v>45378</v>
      </c>
      <c r="N377" s="115">
        <f>+Table6[[#This Row],[стойност с ДДС]]-Table6[[#This Row],[плащане]]</f>
        <v>4.0000000008149073E-3</v>
      </c>
      <c r="O377" s="208">
        <v>45377</v>
      </c>
    </row>
    <row r="378" spans="1:15" x14ac:dyDescent="0.3">
      <c r="A378" s="116" t="s">
        <v>64</v>
      </c>
      <c r="B378" s="394">
        <v>3000002719</v>
      </c>
      <c r="C378" s="117">
        <v>45372</v>
      </c>
      <c r="D378" s="97"/>
      <c r="E378" s="100" t="s">
        <v>71</v>
      </c>
      <c r="F378" s="101"/>
      <c r="G378" s="97"/>
      <c r="H378" s="113">
        <v>23</v>
      </c>
      <c r="I378" s="114">
        <v>112.06180000000001</v>
      </c>
      <c r="J378" s="115">
        <f t="shared" si="42"/>
        <v>2577.42</v>
      </c>
      <c r="K378" s="115">
        <f t="shared" si="43"/>
        <v>3092.904</v>
      </c>
      <c r="L378" s="104">
        <v>3092.9</v>
      </c>
      <c r="M378" s="152">
        <v>45378</v>
      </c>
      <c r="N378" s="115">
        <f>+Table6[[#This Row],[стойност с ДДС]]-Table6[[#This Row],[плащане]]</f>
        <v>3.9999999999054126E-3</v>
      </c>
      <c r="O378" s="208">
        <v>45377</v>
      </c>
    </row>
    <row r="379" spans="1:15" ht="37.5" x14ac:dyDescent="0.3">
      <c r="A379" s="116" t="s">
        <v>62</v>
      </c>
      <c r="B379" s="394">
        <v>3000002720</v>
      </c>
      <c r="C379" s="117">
        <v>45372</v>
      </c>
      <c r="D379" s="116"/>
      <c r="E379" s="147" t="s">
        <v>53</v>
      </c>
      <c r="F379" s="118"/>
      <c r="G379" s="116"/>
      <c r="H379" s="141">
        <v>25970.222000000002</v>
      </c>
      <c r="I379" s="142">
        <v>57.59</v>
      </c>
      <c r="J379" s="130">
        <f t="shared" ref="J379:J390" si="44">ROUND(+H379*I379,2)</f>
        <v>1495625.08</v>
      </c>
      <c r="K379" s="130">
        <f t="shared" ref="K379:K390" si="45">J379*1.2</f>
        <v>1794750.0960000001</v>
      </c>
      <c r="L379" s="129">
        <v>1794750.1</v>
      </c>
      <c r="M379" s="152">
        <v>45378</v>
      </c>
      <c r="N379" s="130">
        <f>+Table6[[#This Row],[стойност с ДДС]]-Table6[[#This Row],[плащане]]</f>
        <v>-3.9999999571591616E-3</v>
      </c>
      <c r="O379" s="208">
        <v>45377</v>
      </c>
    </row>
    <row r="380" spans="1:15" x14ac:dyDescent="0.3">
      <c r="A380" s="116" t="s">
        <v>62</v>
      </c>
      <c r="B380" s="394">
        <v>3000002720</v>
      </c>
      <c r="C380" s="117">
        <v>45372</v>
      </c>
      <c r="D380" s="116"/>
      <c r="E380" s="100" t="s">
        <v>63</v>
      </c>
      <c r="F380" s="118"/>
      <c r="G380" s="116"/>
      <c r="H380" s="141">
        <v>1200</v>
      </c>
      <c r="I380" s="142">
        <v>99.755700000000004</v>
      </c>
      <c r="J380" s="130">
        <f t="shared" si="44"/>
        <v>119706.84</v>
      </c>
      <c r="K380" s="130">
        <f t="shared" si="45"/>
        <v>143648.20799999998</v>
      </c>
      <c r="L380" s="129">
        <v>143648.21</v>
      </c>
      <c r="M380" s="152">
        <v>45379</v>
      </c>
      <c r="N380" s="130">
        <f>+Table6[[#This Row],[стойност с ДДС]]-Table6[[#This Row],[плащане]]</f>
        <v>-2.0000000076834112E-3</v>
      </c>
      <c r="O380" s="208">
        <v>45377</v>
      </c>
    </row>
    <row r="381" spans="1:15" ht="37.5" x14ac:dyDescent="0.3">
      <c r="A381" s="116" t="s">
        <v>67</v>
      </c>
      <c r="B381" s="394">
        <v>3000002721</v>
      </c>
      <c r="C381" s="117">
        <v>45372</v>
      </c>
      <c r="D381" s="116"/>
      <c r="E381" s="147" t="s">
        <v>53</v>
      </c>
      <c r="F381" s="118"/>
      <c r="G381" s="116"/>
      <c r="H381" s="141">
        <v>8553.0370000000003</v>
      </c>
      <c r="I381" s="142">
        <v>57.59</v>
      </c>
      <c r="J381" s="130">
        <f t="shared" si="44"/>
        <v>492569.4</v>
      </c>
      <c r="K381" s="130">
        <f t="shared" si="45"/>
        <v>591083.28</v>
      </c>
      <c r="L381" s="129">
        <v>591083.28</v>
      </c>
      <c r="M381" s="152">
        <v>45379</v>
      </c>
      <c r="N381" s="130">
        <f>+Table6[[#This Row],[стойност с ДДС]]-Table6[[#This Row],[плащане]]</f>
        <v>0</v>
      </c>
      <c r="O381" s="208">
        <v>45377</v>
      </c>
    </row>
    <row r="382" spans="1:15" x14ac:dyDescent="0.3">
      <c r="A382" s="116" t="s">
        <v>67</v>
      </c>
      <c r="B382" s="394">
        <v>3000002721</v>
      </c>
      <c r="C382" s="117">
        <v>45372</v>
      </c>
      <c r="D382" s="116"/>
      <c r="E382" s="135" t="s">
        <v>71</v>
      </c>
      <c r="F382" s="118"/>
      <c r="G382" s="116"/>
      <c r="H382" s="141">
        <v>200</v>
      </c>
      <c r="I382" s="142">
        <v>99.755700000000004</v>
      </c>
      <c r="J382" s="130">
        <f t="shared" si="44"/>
        <v>19951.14</v>
      </c>
      <c r="K382" s="130">
        <f t="shared" si="45"/>
        <v>23941.367999999999</v>
      </c>
      <c r="L382" s="129">
        <v>23941.37</v>
      </c>
      <c r="M382" s="152">
        <v>45379</v>
      </c>
      <c r="N382" s="130">
        <f>+Table6[[#This Row],[стойност с ДДС]]-Table6[[#This Row],[плащане]]</f>
        <v>-2.0000000004074536E-3</v>
      </c>
      <c r="O382" s="208">
        <v>45377</v>
      </c>
    </row>
    <row r="383" spans="1:15" ht="37.5" x14ac:dyDescent="0.3">
      <c r="A383" s="116" t="s">
        <v>77</v>
      </c>
      <c r="B383" s="394">
        <v>3000002722</v>
      </c>
      <c r="C383" s="117">
        <v>45372</v>
      </c>
      <c r="D383" s="116"/>
      <c r="E383" s="147" t="s">
        <v>53</v>
      </c>
      <c r="F383" s="118"/>
      <c r="G383" s="116"/>
      <c r="H383" s="141">
        <v>18701.939999999999</v>
      </c>
      <c r="I383" s="142">
        <v>57.59</v>
      </c>
      <c r="J383" s="130">
        <f t="shared" si="44"/>
        <v>1077044.72</v>
      </c>
      <c r="K383" s="130">
        <f t="shared" si="45"/>
        <v>1292453.6639999999</v>
      </c>
      <c r="L383" s="129">
        <v>1292453.6599999999</v>
      </c>
      <c r="M383" s="152">
        <v>45379</v>
      </c>
      <c r="N383" s="130">
        <f>+Table6[[#This Row],[стойност с ДДС]]-Table6[[#This Row],[плащане]]</f>
        <v>3.9999999571591616E-3</v>
      </c>
      <c r="O383" s="208">
        <v>45377</v>
      </c>
    </row>
    <row r="384" spans="1:15" x14ac:dyDescent="0.3">
      <c r="A384" s="116" t="s">
        <v>77</v>
      </c>
      <c r="B384" s="394">
        <v>3000002722</v>
      </c>
      <c r="C384" s="117">
        <v>45372</v>
      </c>
      <c r="D384" s="97"/>
      <c r="E384" s="135" t="s">
        <v>71</v>
      </c>
      <c r="F384" s="101"/>
      <c r="G384" s="97"/>
      <c r="H384" s="113">
        <v>888</v>
      </c>
      <c r="I384" s="114">
        <v>99.755700000000004</v>
      </c>
      <c r="J384" s="115">
        <f t="shared" si="44"/>
        <v>88583.06</v>
      </c>
      <c r="K384" s="115">
        <f t="shared" si="45"/>
        <v>106299.67199999999</v>
      </c>
      <c r="L384" s="104">
        <v>106299.67</v>
      </c>
      <c r="M384" s="152">
        <v>45379</v>
      </c>
      <c r="N384" s="115">
        <f>+Table6[[#This Row],[стойност с ДДС]]-Table6[[#This Row],[плащане]]</f>
        <v>1.999999993131496E-3</v>
      </c>
      <c r="O384" s="208">
        <v>45377</v>
      </c>
    </row>
    <row r="385" spans="1:15" x14ac:dyDescent="0.3">
      <c r="A385" s="116" t="s">
        <v>91</v>
      </c>
      <c r="B385" s="394">
        <v>3000002723</v>
      </c>
      <c r="C385" s="117">
        <v>45372</v>
      </c>
      <c r="D385" s="116"/>
      <c r="E385" s="144" t="s">
        <v>33</v>
      </c>
      <c r="F385" s="118"/>
      <c r="G385" s="116"/>
      <c r="H385" s="141">
        <v>1</v>
      </c>
      <c r="I385" s="142">
        <v>3144.5</v>
      </c>
      <c r="J385" s="130">
        <f t="shared" si="44"/>
        <v>3144.5</v>
      </c>
      <c r="K385" s="130">
        <f t="shared" si="45"/>
        <v>3773.3999999999996</v>
      </c>
      <c r="L385" s="129">
        <v>3773.4</v>
      </c>
      <c r="M385" s="152">
        <v>45379</v>
      </c>
      <c r="N385" s="130">
        <f>+Table6[[#This Row],[стойност с ДДС]]-Table6[[#This Row],[плащане]]</f>
        <v>0</v>
      </c>
      <c r="O385" s="208">
        <v>45377</v>
      </c>
    </row>
    <row r="386" spans="1:15" x14ac:dyDescent="0.3">
      <c r="A386" s="116" t="s">
        <v>69</v>
      </c>
      <c r="B386" s="394">
        <v>3000002724</v>
      </c>
      <c r="C386" s="117">
        <v>45372</v>
      </c>
      <c r="D386" s="116"/>
      <c r="E386" s="144" t="s">
        <v>33</v>
      </c>
      <c r="F386" s="118"/>
      <c r="G386" s="116"/>
      <c r="H386" s="141">
        <v>1</v>
      </c>
      <c r="I386" s="142">
        <v>8800.2199999999993</v>
      </c>
      <c r="J386" s="130">
        <f t="shared" si="44"/>
        <v>8800.2199999999993</v>
      </c>
      <c r="K386" s="130">
        <f t="shared" si="45"/>
        <v>10560.263999999999</v>
      </c>
      <c r="L386" s="129">
        <v>10560.26</v>
      </c>
      <c r="M386" s="152">
        <v>45379</v>
      </c>
      <c r="N386" s="130">
        <f>+Table6[[#This Row],[стойност с ДДС]]-Table6[[#This Row],[плащане]]</f>
        <v>3.9999999989959178E-3</v>
      </c>
      <c r="O386" s="208">
        <v>45377</v>
      </c>
    </row>
    <row r="387" spans="1:15" x14ac:dyDescent="0.3">
      <c r="A387" s="116" t="s">
        <v>72</v>
      </c>
      <c r="B387" s="394">
        <v>3000002725</v>
      </c>
      <c r="C387" s="117">
        <v>45372</v>
      </c>
      <c r="D387" s="116"/>
      <c r="E387" s="144" t="s">
        <v>33</v>
      </c>
      <c r="F387" s="118"/>
      <c r="G387" s="116"/>
      <c r="H387" s="141">
        <v>1</v>
      </c>
      <c r="I387" s="142">
        <v>13543.01</v>
      </c>
      <c r="J387" s="130">
        <f t="shared" si="44"/>
        <v>13543.01</v>
      </c>
      <c r="K387" s="130">
        <f t="shared" si="45"/>
        <v>16251.611999999999</v>
      </c>
      <c r="L387" s="129">
        <v>16251.61</v>
      </c>
      <c r="M387" s="107">
        <v>45369</v>
      </c>
      <c r="N387" s="130">
        <f>+Table6[[#This Row],[стойност с ДДС]]-Table6[[#This Row],[плащане]]</f>
        <v>1.9999999985884642E-3</v>
      </c>
      <c r="O387" s="208">
        <v>45377</v>
      </c>
    </row>
    <row r="388" spans="1:15" x14ac:dyDescent="0.3">
      <c r="A388" s="116" t="s">
        <v>94</v>
      </c>
      <c r="B388" s="394">
        <v>3000002726</v>
      </c>
      <c r="C388" s="117">
        <v>44256</v>
      </c>
      <c r="D388" s="116"/>
      <c r="E388" s="144" t="s">
        <v>33</v>
      </c>
      <c r="F388" s="118"/>
      <c r="G388" s="116"/>
      <c r="H388" s="141">
        <v>1</v>
      </c>
      <c r="I388" s="142">
        <v>297.45</v>
      </c>
      <c r="J388" s="130">
        <f t="shared" si="44"/>
        <v>297.45</v>
      </c>
      <c r="K388" s="130">
        <f t="shared" si="45"/>
        <v>356.94</v>
      </c>
      <c r="L388" s="129">
        <v>356.94</v>
      </c>
      <c r="M388" s="152">
        <v>45385</v>
      </c>
      <c r="N388" s="130">
        <f>+Table6[[#This Row],[стойност с ДДС]]-Table6[[#This Row],[плащане]]</f>
        <v>0</v>
      </c>
      <c r="O388" s="208">
        <v>45377</v>
      </c>
    </row>
    <row r="389" spans="1:15" x14ac:dyDescent="0.3">
      <c r="A389" s="116" t="s">
        <v>98</v>
      </c>
      <c r="B389" s="394">
        <v>3000002727</v>
      </c>
      <c r="C389" s="117">
        <v>45372</v>
      </c>
      <c r="D389" s="116"/>
      <c r="E389" s="144" t="s">
        <v>33</v>
      </c>
      <c r="F389" s="118"/>
      <c r="G389" s="116"/>
      <c r="H389" s="141">
        <v>1</v>
      </c>
      <c r="I389" s="142">
        <v>43650.9</v>
      </c>
      <c r="J389" s="130">
        <f t="shared" si="44"/>
        <v>43650.9</v>
      </c>
      <c r="K389" s="130">
        <f t="shared" si="45"/>
        <v>52381.08</v>
      </c>
      <c r="L389" s="129">
        <v>52381.08</v>
      </c>
      <c r="M389" s="152">
        <v>45386</v>
      </c>
      <c r="N389" s="130">
        <f>+Table6[[#This Row],[стойност с ДДС]]-Table6[[#This Row],[плащане]]</f>
        <v>0</v>
      </c>
      <c r="O389" s="208">
        <v>45377</v>
      </c>
    </row>
    <row r="390" spans="1:15" x14ac:dyDescent="0.3">
      <c r="A390" s="116" t="s">
        <v>82</v>
      </c>
      <c r="B390" s="394">
        <v>3000002728</v>
      </c>
      <c r="C390" s="117">
        <v>45372</v>
      </c>
      <c r="D390" s="116"/>
      <c r="E390" s="144" t="s">
        <v>33</v>
      </c>
      <c r="F390" s="118"/>
      <c r="G390" s="116"/>
      <c r="H390" s="141">
        <v>1</v>
      </c>
      <c r="I390" s="142">
        <v>16720.7</v>
      </c>
      <c r="J390" s="130">
        <f t="shared" si="44"/>
        <v>16720.7</v>
      </c>
      <c r="K390" s="130">
        <f t="shared" si="45"/>
        <v>20064.84</v>
      </c>
      <c r="L390" s="129">
        <v>20064.84</v>
      </c>
      <c r="M390" s="152">
        <v>45386</v>
      </c>
      <c r="N390" s="130">
        <f>+Table6[[#This Row],[стойност с ДДС]]-Table6[[#This Row],[плащане]]</f>
        <v>0</v>
      </c>
      <c r="O390" s="208">
        <v>45377</v>
      </c>
    </row>
    <row r="391" spans="1:15" x14ac:dyDescent="0.3">
      <c r="A391" s="97" t="s">
        <v>82</v>
      </c>
      <c r="B391" s="393">
        <v>3000002728</v>
      </c>
      <c r="C391" s="110">
        <v>45372</v>
      </c>
      <c r="D391" s="97"/>
      <c r="E391" s="132" t="s">
        <v>33</v>
      </c>
      <c r="F391" s="101"/>
      <c r="G391" s="97"/>
      <c r="H391" s="113">
        <v>1</v>
      </c>
      <c r="I391" s="114">
        <v>158.25</v>
      </c>
      <c r="J391" s="115">
        <f t="shared" ref="J391:J392" si="46">ROUND(+H391*I391,2)</f>
        <v>158.25</v>
      </c>
      <c r="K391" s="115">
        <f t="shared" ref="K391:K392" si="47">J391*1.2</f>
        <v>189.9</v>
      </c>
      <c r="L391" s="104">
        <v>189.9</v>
      </c>
      <c r="M391" s="152">
        <v>45386</v>
      </c>
      <c r="N391" s="115">
        <f>+Table6[[#This Row],[стойност с ДДС]]-Table6[[#This Row],[плащане]]</f>
        <v>0</v>
      </c>
      <c r="O391" s="208">
        <v>45377</v>
      </c>
    </row>
    <row r="392" spans="1:15" x14ac:dyDescent="0.3">
      <c r="A392" s="116" t="s">
        <v>82</v>
      </c>
      <c r="B392" s="394">
        <v>3000002728</v>
      </c>
      <c r="C392" s="117">
        <v>45372</v>
      </c>
      <c r="D392" s="116"/>
      <c r="E392" s="144" t="s">
        <v>33</v>
      </c>
      <c r="F392" s="118"/>
      <c r="G392" s="116"/>
      <c r="H392" s="141">
        <v>1</v>
      </c>
      <c r="I392" s="142">
        <v>165.5</v>
      </c>
      <c r="J392" s="130">
        <f t="shared" si="46"/>
        <v>165.5</v>
      </c>
      <c r="K392" s="130">
        <f t="shared" si="47"/>
        <v>198.6</v>
      </c>
      <c r="L392" s="129">
        <v>198.6</v>
      </c>
      <c r="M392" s="152">
        <v>45386</v>
      </c>
      <c r="N392" s="130">
        <f>+Table6[[#This Row],[стойност с ДДС]]-Table6[[#This Row],[плащане]]</f>
        <v>0</v>
      </c>
      <c r="O392" s="208">
        <v>45377</v>
      </c>
    </row>
    <row r="393" spans="1:15" x14ac:dyDescent="0.3">
      <c r="A393" s="116" t="s">
        <v>49</v>
      </c>
      <c r="B393" s="394">
        <v>3000002729</v>
      </c>
      <c r="C393" s="117">
        <v>45372</v>
      </c>
      <c r="D393" s="116"/>
      <c r="E393" s="144" t="s">
        <v>33</v>
      </c>
      <c r="F393" s="118"/>
      <c r="G393" s="116"/>
      <c r="H393" s="141">
        <v>1</v>
      </c>
      <c r="I393" s="142">
        <v>1604.33</v>
      </c>
      <c r="J393" s="130">
        <f t="shared" ref="J393:J400" si="48">ROUND(+H393*I393,2)</f>
        <v>1604.33</v>
      </c>
      <c r="K393" s="130">
        <f>J393*1.2</f>
        <v>1925.1959999999999</v>
      </c>
      <c r="L393" s="129">
        <v>1925.2</v>
      </c>
      <c r="M393" s="152">
        <v>45386</v>
      </c>
      <c r="N393" s="130">
        <f>+Table6[[#This Row],[стойност с ДДС]]-Table6[[#This Row],[плащане]]</f>
        <v>-4.0000000001327862E-3</v>
      </c>
      <c r="O393" s="208">
        <v>45377</v>
      </c>
    </row>
    <row r="394" spans="1:15" x14ac:dyDescent="0.3">
      <c r="A394" s="116" t="s">
        <v>92</v>
      </c>
      <c r="B394" s="394">
        <v>3000002730</v>
      </c>
      <c r="C394" s="117">
        <v>45372</v>
      </c>
      <c r="D394" s="116"/>
      <c r="E394" s="144" t="s">
        <v>33</v>
      </c>
      <c r="F394" s="118"/>
      <c r="G394" s="116"/>
      <c r="H394" s="141">
        <v>1</v>
      </c>
      <c r="I394" s="142">
        <v>1151.43</v>
      </c>
      <c r="J394" s="130">
        <f t="shared" si="48"/>
        <v>1151.43</v>
      </c>
      <c r="K394" s="130">
        <f>J394*1.2</f>
        <v>1381.7160000000001</v>
      </c>
      <c r="L394" s="129">
        <v>1381.72</v>
      </c>
      <c r="M394" s="107">
        <v>45369</v>
      </c>
      <c r="N394" s="130">
        <f>+Table6[[#This Row],[стойност с ДДС]]-Table6[[#This Row],[плащане]]</f>
        <v>-3.9999999999054126E-3</v>
      </c>
      <c r="O394" s="208">
        <v>45377</v>
      </c>
    </row>
    <row r="395" spans="1:15" x14ac:dyDescent="0.3">
      <c r="A395" s="116" t="s">
        <v>89</v>
      </c>
      <c r="B395" s="394">
        <v>3000002731</v>
      </c>
      <c r="C395" s="117">
        <v>45372</v>
      </c>
      <c r="D395" s="116"/>
      <c r="E395" s="144" t="s">
        <v>33</v>
      </c>
      <c r="F395" s="118"/>
      <c r="G395" s="116"/>
      <c r="H395" s="141">
        <v>1</v>
      </c>
      <c r="I395" s="142">
        <v>274.14999999999998</v>
      </c>
      <c r="J395" s="130">
        <f t="shared" si="48"/>
        <v>274.14999999999998</v>
      </c>
      <c r="K395" s="130">
        <f>J395*1.2</f>
        <v>328.97999999999996</v>
      </c>
      <c r="L395" s="129">
        <v>328.98</v>
      </c>
      <c r="M395" s="107">
        <v>45369</v>
      </c>
      <c r="N395" s="130">
        <f>+Table6[[#This Row],[стойност с ДДС]]-Table6[[#This Row],[плащане]]</f>
        <v>0</v>
      </c>
      <c r="O395" s="208">
        <v>45377</v>
      </c>
    </row>
    <row r="396" spans="1:15" x14ac:dyDescent="0.3">
      <c r="A396" s="116" t="s">
        <v>75</v>
      </c>
      <c r="B396" s="394">
        <v>3000002732</v>
      </c>
      <c r="C396" s="117">
        <v>45372</v>
      </c>
      <c r="D396" s="116"/>
      <c r="E396" s="144" t="s">
        <v>33</v>
      </c>
      <c r="F396" s="118"/>
      <c r="G396" s="116"/>
      <c r="H396" s="141">
        <v>1</v>
      </c>
      <c r="I396" s="142">
        <v>19190.5</v>
      </c>
      <c r="J396" s="130">
        <f t="shared" si="48"/>
        <v>19190.5</v>
      </c>
      <c r="K396" s="130">
        <f>J396*1.2</f>
        <v>23028.6</v>
      </c>
      <c r="L396" s="129">
        <v>23028.6</v>
      </c>
      <c r="M396" s="107">
        <v>45369</v>
      </c>
      <c r="N396" s="130">
        <f>+Table6[[#This Row],[стойност с ДДС]]-Table6[[#This Row],[плащане]]</f>
        <v>0</v>
      </c>
      <c r="O396" s="208">
        <v>45377</v>
      </c>
    </row>
    <row r="397" spans="1:15" x14ac:dyDescent="0.3">
      <c r="A397" s="116" t="s">
        <v>101</v>
      </c>
      <c r="B397" s="394">
        <v>3100000496</v>
      </c>
      <c r="C397" s="117">
        <v>45375</v>
      </c>
      <c r="D397" s="116"/>
      <c r="E397" s="101" t="s">
        <v>38</v>
      </c>
      <c r="F397" s="118"/>
      <c r="G397" s="116"/>
      <c r="H397" s="141">
        <v>100</v>
      </c>
      <c r="I397" s="142">
        <v>46.3</v>
      </c>
      <c r="J397" s="130">
        <f t="shared" si="48"/>
        <v>4630</v>
      </c>
      <c r="K397" s="130">
        <f>J397*1.2</f>
        <v>5556</v>
      </c>
      <c r="L397" s="129">
        <v>5556</v>
      </c>
      <c r="M397" s="152">
        <v>45390</v>
      </c>
      <c r="N397" s="130">
        <f>+Table6[[#This Row],[стойност с ДДС]]-Table6[[#This Row],[плащане]]</f>
        <v>0</v>
      </c>
      <c r="O397" s="208">
        <v>45380</v>
      </c>
    </row>
    <row r="398" spans="1:15" x14ac:dyDescent="0.3">
      <c r="A398" s="116" t="s">
        <v>117</v>
      </c>
      <c r="B398" s="394">
        <v>3100000497</v>
      </c>
      <c r="C398" s="117">
        <v>45376</v>
      </c>
      <c r="D398" s="116"/>
      <c r="E398" s="101" t="s">
        <v>38</v>
      </c>
      <c r="F398" s="118"/>
      <c r="G398" s="116"/>
      <c r="H398" s="141">
        <v>154</v>
      </c>
      <c r="I398" s="142">
        <v>158</v>
      </c>
      <c r="J398" s="130">
        <f t="shared" si="48"/>
        <v>24332</v>
      </c>
      <c r="K398" s="130">
        <f>+Table6[[#This Row],[стойност]]</f>
        <v>24332</v>
      </c>
      <c r="L398" s="129">
        <v>24332</v>
      </c>
      <c r="M398" s="152">
        <v>45383</v>
      </c>
      <c r="N398" s="130">
        <f>+Table6[[#This Row],[стойност с ДДС]]-Table6[[#This Row],[плащане]]</f>
        <v>0</v>
      </c>
      <c r="O398" s="208">
        <v>45376</v>
      </c>
    </row>
    <row r="399" spans="1:15" x14ac:dyDescent="0.3">
      <c r="A399" s="116" t="s">
        <v>117</v>
      </c>
      <c r="B399" s="394">
        <v>3100000497</v>
      </c>
      <c r="C399" s="110">
        <v>45376</v>
      </c>
      <c r="D399" s="97"/>
      <c r="E399" s="101" t="s">
        <v>38</v>
      </c>
      <c r="F399" s="101"/>
      <c r="G399" s="97"/>
      <c r="H399" s="113">
        <v>100</v>
      </c>
      <c r="I399" s="114">
        <v>153</v>
      </c>
      <c r="J399" s="115">
        <f t="shared" si="48"/>
        <v>15300</v>
      </c>
      <c r="K399" s="115">
        <f>+Table6[[#This Row],[стойност]]</f>
        <v>15300</v>
      </c>
      <c r="L399" s="104">
        <v>15300</v>
      </c>
      <c r="M399" s="152">
        <v>45383</v>
      </c>
      <c r="N399" s="115">
        <f>+Table6[[#This Row],[стойност с ДДС]]-Table6[[#This Row],[плащане]]</f>
        <v>0</v>
      </c>
      <c r="O399" s="208">
        <v>45376</v>
      </c>
    </row>
    <row r="400" spans="1:15" x14ac:dyDescent="0.3">
      <c r="A400" s="116" t="s">
        <v>118</v>
      </c>
      <c r="B400" s="394">
        <v>3100000499</v>
      </c>
      <c r="C400" s="117">
        <v>45377</v>
      </c>
      <c r="D400" s="116"/>
      <c r="E400" s="101" t="s">
        <v>38</v>
      </c>
      <c r="F400" s="118"/>
      <c r="G400" s="116"/>
      <c r="H400" s="141">
        <v>100</v>
      </c>
      <c r="I400" s="142">
        <v>47</v>
      </c>
      <c r="J400" s="130">
        <f t="shared" si="48"/>
        <v>4700</v>
      </c>
      <c r="K400" s="130">
        <f>J400*1.2</f>
        <v>5640</v>
      </c>
      <c r="L400" s="129">
        <v>5640</v>
      </c>
      <c r="M400" s="152">
        <v>45387</v>
      </c>
      <c r="N400" s="130">
        <f>+Table6[[#This Row],[стойност с ДДС]]-Table6[[#This Row],[плащане]]</f>
        <v>0</v>
      </c>
      <c r="O400" s="208">
        <v>45390</v>
      </c>
    </row>
    <row r="401" spans="1:15" x14ac:dyDescent="0.3">
      <c r="A401" s="97" t="s">
        <v>118</v>
      </c>
      <c r="B401" s="393">
        <v>3100000499</v>
      </c>
      <c r="C401" s="110">
        <v>45377</v>
      </c>
      <c r="D401" s="97"/>
      <c r="E401" s="101" t="s">
        <v>38</v>
      </c>
      <c r="F401" s="101"/>
      <c r="G401" s="97"/>
      <c r="H401" s="113">
        <v>80</v>
      </c>
      <c r="I401" s="114">
        <v>46.5</v>
      </c>
      <c r="J401" s="115">
        <f t="shared" ref="J401:J402" si="49">ROUND(+H401*I401,2)</f>
        <v>3720</v>
      </c>
      <c r="K401" s="115">
        <f t="shared" ref="K401:K402" si="50">J401*1.2</f>
        <v>4464</v>
      </c>
      <c r="L401" s="104">
        <v>4464</v>
      </c>
      <c r="M401" s="152">
        <v>45387</v>
      </c>
      <c r="N401" s="115">
        <f>+Table6[[#This Row],[стойност с ДДС]]-Table6[[#This Row],[плащане]]</f>
        <v>0</v>
      </c>
      <c r="O401" s="208">
        <v>45390</v>
      </c>
    </row>
    <row r="402" spans="1:15" x14ac:dyDescent="0.3">
      <c r="A402" s="116" t="s">
        <v>118</v>
      </c>
      <c r="B402" s="394">
        <v>3100000499</v>
      </c>
      <c r="C402" s="117">
        <v>45377</v>
      </c>
      <c r="D402" s="116"/>
      <c r="E402" s="118" t="s">
        <v>38</v>
      </c>
      <c r="F402" s="118"/>
      <c r="G402" s="116"/>
      <c r="H402" s="141">
        <v>28</v>
      </c>
      <c r="I402" s="142">
        <v>46.5</v>
      </c>
      <c r="J402" s="130">
        <f t="shared" si="49"/>
        <v>1302</v>
      </c>
      <c r="K402" s="130">
        <f t="shared" si="50"/>
        <v>1562.3999999999999</v>
      </c>
      <c r="L402" s="129">
        <v>1562.4</v>
      </c>
      <c r="M402" s="152">
        <v>45387</v>
      </c>
      <c r="N402" s="130">
        <f>+Table6[[#This Row],[стойност с ДДС]]-Table6[[#This Row],[плащане]]</f>
        <v>0</v>
      </c>
      <c r="O402" s="208">
        <v>45390</v>
      </c>
    </row>
    <row r="403" spans="1:15" x14ac:dyDescent="0.3">
      <c r="A403" s="116" t="s">
        <v>101</v>
      </c>
      <c r="B403" s="394">
        <v>3100000500</v>
      </c>
      <c r="C403" s="117">
        <v>45380</v>
      </c>
      <c r="D403" s="116"/>
      <c r="E403" s="118" t="s">
        <v>38</v>
      </c>
      <c r="F403" s="118"/>
      <c r="G403" s="116"/>
      <c r="H403" s="141">
        <v>100</v>
      </c>
      <c r="I403" s="142">
        <v>45.5</v>
      </c>
      <c r="J403" s="130">
        <f t="shared" ref="J403:J409" si="51">ROUND(+H403*I403,2)</f>
        <v>4550</v>
      </c>
      <c r="K403" s="130">
        <f t="shared" ref="K403:K409" si="52">J403*1.2</f>
        <v>5460</v>
      </c>
      <c r="L403" s="129">
        <v>5460</v>
      </c>
      <c r="M403" s="152">
        <v>45390</v>
      </c>
      <c r="N403" s="130">
        <f>+Table6[[#This Row],[стойност с ДДС]]-Table6[[#This Row],[плащане]]</f>
        <v>0</v>
      </c>
      <c r="O403" s="208">
        <v>45390</v>
      </c>
    </row>
    <row r="404" spans="1:15" x14ac:dyDescent="0.3">
      <c r="A404" s="116" t="s">
        <v>101</v>
      </c>
      <c r="B404" s="394">
        <v>3100000501</v>
      </c>
      <c r="C404" s="117">
        <v>45382</v>
      </c>
      <c r="D404" s="116"/>
      <c r="E404" s="118" t="s">
        <v>38</v>
      </c>
      <c r="F404" s="118"/>
      <c r="G404" s="116"/>
      <c r="H404" s="141">
        <v>130</v>
      </c>
      <c r="I404" s="142">
        <v>42.5</v>
      </c>
      <c r="J404" s="130">
        <f t="shared" si="51"/>
        <v>5525</v>
      </c>
      <c r="K404" s="130">
        <f t="shared" si="52"/>
        <v>6630</v>
      </c>
      <c r="L404" s="129">
        <v>6630</v>
      </c>
      <c r="M404" s="152">
        <v>45390</v>
      </c>
      <c r="N404" s="130">
        <f>+Table6[[#This Row],[стойност с ДДС]]-Table6[[#This Row],[плащане]]</f>
        <v>0</v>
      </c>
      <c r="O404" s="208">
        <v>45390</v>
      </c>
    </row>
    <row r="405" spans="1:15" x14ac:dyDescent="0.3">
      <c r="A405" s="116" t="s">
        <v>99</v>
      </c>
      <c r="B405" s="394">
        <v>3000002733</v>
      </c>
      <c r="C405" s="117">
        <v>45382</v>
      </c>
      <c r="D405" s="116"/>
      <c r="E405" s="111" t="s">
        <v>119</v>
      </c>
      <c r="F405" s="118"/>
      <c r="G405" s="116"/>
      <c r="H405" s="141">
        <v>341.43599999999998</v>
      </c>
      <c r="I405" s="142">
        <v>41.766919999999999</v>
      </c>
      <c r="J405" s="130">
        <f t="shared" si="51"/>
        <v>14260.73</v>
      </c>
      <c r="K405" s="130">
        <f t="shared" si="52"/>
        <v>17112.876</v>
      </c>
      <c r="L405" s="129">
        <v>17112.88</v>
      </c>
      <c r="M405" s="152">
        <v>45386</v>
      </c>
      <c r="N405" s="130">
        <f>+Table6[[#This Row],[стойност с ДДС]]-Table6[[#This Row],[плащане]]</f>
        <v>-4.0000000008149073E-3</v>
      </c>
      <c r="O405" s="208">
        <v>45387</v>
      </c>
    </row>
    <row r="406" spans="1:15" x14ac:dyDescent="0.3">
      <c r="A406" s="116" t="s">
        <v>61</v>
      </c>
      <c r="B406" s="394">
        <v>3000002734</v>
      </c>
      <c r="C406" s="117">
        <v>45382</v>
      </c>
      <c r="D406" s="116"/>
      <c r="E406" s="111" t="s">
        <v>33</v>
      </c>
      <c r="F406" s="118"/>
      <c r="G406" s="116"/>
      <c r="H406" s="141">
        <v>-1</v>
      </c>
      <c r="I406" s="142">
        <v>13571.3</v>
      </c>
      <c r="J406" s="130">
        <f t="shared" si="51"/>
        <v>-13571.3</v>
      </c>
      <c r="K406" s="130">
        <f t="shared" si="52"/>
        <v>-16285.559999999998</v>
      </c>
      <c r="L406" s="129">
        <v>-16285.56</v>
      </c>
      <c r="M406" s="152">
        <v>45386</v>
      </c>
      <c r="N406" s="130">
        <f>+Table6[[#This Row],[стойност с ДДС]]-Table6[[#This Row],[плащане]]</f>
        <v>0</v>
      </c>
      <c r="O406" s="208">
        <v>45387</v>
      </c>
    </row>
    <row r="407" spans="1:15" x14ac:dyDescent="0.3">
      <c r="A407" s="116" t="s">
        <v>61</v>
      </c>
      <c r="B407" s="394">
        <v>3000002734</v>
      </c>
      <c r="C407" s="117">
        <v>45382</v>
      </c>
      <c r="D407" s="97"/>
      <c r="E407" s="111" t="s">
        <v>33</v>
      </c>
      <c r="F407" s="101"/>
      <c r="G407" s="97"/>
      <c r="H407" s="113">
        <v>-1</v>
      </c>
      <c r="I407" s="114">
        <v>177476.91</v>
      </c>
      <c r="J407" s="115">
        <f t="shared" si="51"/>
        <v>-177476.91</v>
      </c>
      <c r="K407" s="115">
        <f t="shared" si="52"/>
        <v>-212972.29199999999</v>
      </c>
      <c r="L407" s="104">
        <v>-212972.29</v>
      </c>
      <c r="M407" s="152">
        <v>45386</v>
      </c>
      <c r="N407" s="115">
        <f>+Table6[[#This Row],[стойност с ДДС]]-Table6[[#This Row],[плащане]]</f>
        <v>-1.9999999785795808E-3</v>
      </c>
      <c r="O407" s="208">
        <v>45387</v>
      </c>
    </row>
    <row r="408" spans="1:15" x14ac:dyDescent="0.3">
      <c r="A408" s="116" t="s">
        <v>61</v>
      </c>
      <c r="B408" s="394">
        <v>3000002734</v>
      </c>
      <c r="C408" s="117">
        <v>45382</v>
      </c>
      <c r="D408" s="97"/>
      <c r="E408" s="111" t="s">
        <v>33</v>
      </c>
      <c r="F408" s="101"/>
      <c r="G408" s="97"/>
      <c r="H408" s="113">
        <v>3406.59</v>
      </c>
      <c r="I408" s="114">
        <v>56.081949999999999</v>
      </c>
      <c r="J408" s="115">
        <f t="shared" si="51"/>
        <v>191048.21</v>
      </c>
      <c r="K408" s="115">
        <f t="shared" si="52"/>
        <v>229257.85199999998</v>
      </c>
      <c r="L408" s="104">
        <v>229257.85</v>
      </c>
      <c r="M408" s="152">
        <v>45386</v>
      </c>
      <c r="N408" s="115">
        <f>+Table6[[#This Row],[стойност с ДДС]]-Table6[[#This Row],[плащане]]</f>
        <v>1.9999999785795808E-3</v>
      </c>
      <c r="O408" s="208">
        <v>45387</v>
      </c>
    </row>
    <row r="409" spans="1:15" x14ac:dyDescent="0.3">
      <c r="A409" s="116" t="s">
        <v>61</v>
      </c>
      <c r="B409" s="394">
        <v>3000002734</v>
      </c>
      <c r="C409" s="117">
        <v>45382</v>
      </c>
      <c r="D409" s="97"/>
      <c r="E409" s="111" t="s">
        <v>58</v>
      </c>
      <c r="F409" s="101"/>
      <c r="G409" s="97"/>
      <c r="H409" s="113">
        <v>3406.59</v>
      </c>
      <c r="I409" s="114">
        <v>1.0194000000000001</v>
      </c>
      <c r="J409" s="115">
        <f t="shared" si="51"/>
        <v>3472.68</v>
      </c>
      <c r="K409" s="115">
        <f t="shared" si="52"/>
        <v>4167.2159999999994</v>
      </c>
      <c r="L409" s="104">
        <v>4167.22</v>
      </c>
      <c r="M409" s="152">
        <v>45386</v>
      </c>
      <c r="N409" s="115">
        <f>+Table6[[#This Row],[стойност с ДДС]]-Table6[[#This Row],[плащане]]</f>
        <v>-4.0000000008149073E-3</v>
      </c>
      <c r="O409" s="208">
        <v>45387</v>
      </c>
    </row>
    <row r="410" spans="1:15" ht="37.5" x14ac:dyDescent="0.3">
      <c r="A410" s="116" t="s">
        <v>50</v>
      </c>
      <c r="B410" s="394">
        <v>3000002735</v>
      </c>
      <c r="C410" s="117">
        <v>45382</v>
      </c>
      <c r="D410" s="116"/>
      <c r="E410" s="111" t="s">
        <v>53</v>
      </c>
      <c r="F410" s="118"/>
      <c r="G410" s="116"/>
      <c r="H410" s="141">
        <v>1</v>
      </c>
      <c r="I410" s="142">
        <v>23809.95</v>
      </c>
      <c r="J410" s="130">
        <f>ROUND(+H410*I410,2)</f>
        <v>23809.95</v>
      </c>
      <c r="K410" s="130">
        <f>J410*1.2</f>
        <v>28571.94</v>
      </c>
      <c r="L410" s="129">
        <v>28571.94</v>
      </c>
      <c r="M410" s="152">
        <v>45392</v>
      </c>
      <c r="N410" s="130">
        <f>+Table6[[#This Row],[стойност с ДДС]]-Table6[[#This Row],[плащане]]</f>
        <v>0</v>
      </c>
      <c r="O410" s="208">
        <v>45387</v>
      </c>
    </row>
    <row r="411" spans="1:15" ht="37.5" x14ac:dyDescent="0.3">
      <c r="A411" s="97" t="s">
        <v>50</v>
      </c>
      <c r="B411" s="393">
        <v>3000002735</v>
      </c>
      <c r="C411" s="110">
        <v>45382</v>
      </c>
      <c r="D411" s="97"/>
      <c r="E411" s="111" t="s">
        <v>53</v>
      </c>
      <c r="F411" s="101"/>
      <c r="G411" s="97"/>
      <c r="H411" s="113">
        <v>997.19</v>
      </c>
      <c r="I411" s="114">
        <v>57.59</v>
      </c>
      <c r="J411" s="115">
        <f t="shared" ref="J411:J416" si="53">ROUND(+H411*I411,2)</f>
        <v>57428.17</v>
      </c>
      <c r="K411" s="115">
        <f t="shared" ref="K411:K416" si="54">J411*1.2</f>
        <v>68913.803999999989</v>
      </c>
      <c r="L411" s="104">
        <v>68913.8</v>
      </c>
      <c r="M411" s="152">
        <v>45392</v>
      </c>
      <c r="N411" s="115">
        <f>+Table6[[#This Row],[стойност с ДДС]]-Table6[[#This Row],[плащане]]</f>
        <v>3.999999986262992E-3</v>
      </c>
      <c r="O411" s="208">
        <v>45387</v>
      </c>
    </row>
    <row r="412" spans="1:15" x14ac:dyDescent="0.3">
      <c r="A412" s="97" t="s">
        <v>50</v>
      </c>
      <c r="B412" s="393">
        <v>3000002735</v>
      </c>
      <c r="C412" s="110">
        <v>45382</v>
      </c>
      <c r="D412" s="97"/>
      <c r="E412" s="111" t="s">
        <v>120</v>
      </c>
      <c r="F412" s="101"/>
      <c r="G412" s="97"/>
      <c r="H412" s="113">
        <v>80</v>
      </c>
      <c r="I412" s="114">
        <v>5.7462999999999997</v>
      </c>
      <c r="J412" s="115">
        <f t="shared" si="53"/>
        <v>459.7</v>
      </c>
      <c r="K412" s="115">
        <f t="shared" si="54"/>
        <v>551.64</v>
      </c>
      <c r="L412" s="104">
        <v>551.64</v>
      </c>
      <c r="M412" s="152">
        <v>45392</v>
      </c>
      <c r="N412" s="115">
        <f>+Table6[[#This Row],[стойност с ДДС]]-Table6[[#This Row],[плащане]]</f>
        <v>0</v>
      </c>
      <c r="O412" s="208">
        <v>45387</v>
      </c>
    </row>
    <row r="413" spans="1:15" x14ac:dyDescent="0.3">
      <c r="A413" s="97" t="s">
        <v>50</v>
      </c>
      <c r="B413" s="393">
        <v>3000002735</v>
      </c>
      <c r="C413" s="110">
        <v>45382</v>
      </c>
      <c r="D413" s="97"/>
      <c r="E413" s="111" t="s">
        <v>56</v>
      </c>
      <c r="F413" s="101"/>
      <c r="G413" s="97"/>
      <c r="H413" s="113">
        <v>194.19399999999999</v>
      </c>
      <c r="I413" s="114">
        <v>8.3582999999999998</v>
      </c>
      <c r="J413" s="115">
        <f t="shared" si="53"/>
        <v>1623.13</v>
      </c>
      <c r="K413" s="115">
        <f t="shared" si="54"/>
        <v>1947.7560000000001</v>
      </c>
      <c r="L413" s="104">
        <v>1947.76</v>
      </c>
      <c r="M413" s="152">
        <v>45392</v>
      </c>
      <c r="N413" s="115">
        <f>+Table6[[#This Row],[стойност с ДДС]]-Table6[[#This Row],[плащане]]</f>
        <v>-3.9999999999054126E-3</v>
      </c>
      <c r="O413" s="208">
        <v>45387</v>
      </c>
    </row>
    <row r="414" spans="1:15" x14ac:dyDescent="0.3">
      <c r="A414" s="97" t="s">
        <v>50</v>
      </c>
      <c r="B414" s="393">
        <v>3000002735</v>
      </c>
      <c r="C414" s="110">
        <v>45382</v>
      </c>
      <c r="D414" s="97"/>
      <c r="E414" s="111" t="s">
        <v>58</v>
      </c>
      <c r="F414" s="101"/>
      <c r="G414" s="97"/>
      <c r="H414" s="113">
        <v>2950.8389999999999</v>
      </c>
      <c r="I414" s="114">
        <v>1.0194000000000001</v>
      </c>
      <c r="J414" s="115">
        <f t="shared" si="53"/>
        <v>3008.09</v>
      </c>
      <c r="K414" s="115">
        <f t="shared" si="54"/>
        <v>3609.7080000000001</v>
      </c>
      <c r="L414" s="104">
        <v>3609.71</v>
      </c>
      <c r="M414" s="152">
        <v>45392</v>
      </c>
      <c r="N414" s="115">
        <f>+Table6[[#This Row],[стойност с ДДС]]-Table6[[#This Row],[плащане]]</f>
        <v>-1.9999999999527063E-3</v>
      </c>
      <c r="O414" s="208">
        <v>45387</v>
      </c>
    </row>
    <row r="415" spans="1:15" x14ac:dyDescent="0.3">
      <c r="A415" s="97" t="s">
        <v>50</v>
      </c>
      <c r="B415" s="393">
        <v>3000002735</v>
      </c>
      <c r="C415" s="110">
        <v>45382</v>
      </c>
      <c r="D415" s="97"/>
      <c r="E415" s="97" t="s">
        <v>59</v>
      </c>
      <c r="F415" s="101"/>
      <c r="G415" s="97"/>
      <c r="H415" s="113">
        <v>335.07</v>
      </c>
      <c r="I415" s="114">
        <v>0.6</v>
      </c>
      <c r="J415" s="115">
        <f t="shared" si="53"/>
        <v>201.04</v>
      </c>
      <c r="K415" s="115">
        <f t="shared" si="54"/>
        <v>241.24799999999999</v>
      </c>
      <c r="L415" s="104">
        <v>241.25</v>
      </c>
      <c r="M415" s="152">
        <v>45392</v>
      </c>
      <c r="N415" s="115">
        <f>+Table6[[#This Row],[стойност с ДДС]]-Table6[[#This Row],[плащане]]</f>
        <v>-2.0000000000095497E-3</v>
      </c>
      <c r="O415" s="208">
        <v>45387</v>
      </c>
    </row>
    <row r="416" spans="1:15" x14ac:dyDescent="0.3">
      <c r="A416" s="116" t="s">
        <v>50</v>
      </c>
      <c r="B416" s="394">
        <v>3000002735</v>
      </c>
      <c r="C416" s="117">
        <v>45382</v>
      </c>
      <c r="D416" s="116"/>
      <c r="E416" s="116" t="s">
        <v>60</v>
      </c>
      <c r="F416" s="118"/>
      <c r="G416" s="116"/>
      <c r="H416" s="141">
        <v>10287.950000000001</v>
      </c>
      <c r="I416" s="142"/>
      <c r="J416" s="130">
        <f t="shared" si="53"/>
        <v>0</v>
      </c>
      <c r="K416" s="130">
        <f t="shared" si="54"/>
        <v>0</v>
      </c>
      <c r="L416" s="129">
        <v>0</v>
      </c>
      <c r="M416" s="152">
        <v>45392</v>
      </c>
      <c r="N416" s="130">
        <f>+Table6[[#This Row],[стойност с ДДС]]-Table6[[#This Row],[плащане]]</f>
        <v>0</v>
      </c>
      <c r="O416" s="208">
        <v>45387</v>
      </c>
    </row>
    <row r="417" spans="1:15" ht="37.5" x14ac:dyDescent="0.3">
      <c r="A417" s="116" t="s">
        <v>64</v>
      </c>
      <c r="B417" s="394">
        <v>3000002736</v>
      </c>
      <c r="C417" s="117">
        <v>45382</v>
      </c>
      <c r="D417" s="116"/>
      <c r="E417" s="111" t="s">
        <v>53</v>
      </c>
      <c r="F417" s="118"/>
      <c r="G417" s="116"/>
      <c r="H417" s="141">
        <v>1</v>
      </c>
      <c r="I417" s="142">
        <v>15873.3</v>
      </c>
      <c r="J417" s="130">
        <f>ROUND(+H417*I417,2)</f>
        <v>15873.3</v>
      </c>
      <c r="K417" s="130">
        <f>J417*1.2</f>
        <v>19047.96</v>
      </c>
      <c r="L417" s="129">
        <v>19047.96</v>
      </c>
      <c r="M417" s="152">
        <v>45394</v>
      </c>
      <c r="N417" s="130">
        <f>+Table6[[#This Row],[стойност с ДДС]]-Table6[[#This Row],[плащане]]</f>
        <v>0</v>
      </c>
      <c r="O417" s="208">
        <v>45387</v>
      </c>
    </row>
    <row r="418" spans="1:15" ht="37.5" x14ac:dyDescent="0.3">
      <c r="A418" s="97" t="s">
        <v>64</v>
      </c>
      <c r="B418" s="393">
        <v>3000002736</v>
      </c>
      <c r="C418" s="110">
        <v>45382</v>
      </c>
      <c r="D418" s="97"/>
      <c r="E418" s="111" t="s">
        <v>53</v>
      </c>
      <c r="F418" s="101"/>
      <c r="G418" s="97"/>
      <c r="H418" s="113">
        <v>124.624</v>
      </c>
      <c r="I418" s="114">
        <v>57.59</v>
      </c>
      <c r="J418" s="115">
        <f t="shared" ref="J418:J423" si="55">ROUND(+H418*I418,2)</f>
        <v>7177.1</v>
      </c>
      <c r="K418" s="115">
        <f t="shared" ref="K418:K423" si="56">J418*1.2</f>
        <v>8612.52</v>
      </c>
      <c r="L418" s="104">
        <v>8612.52</v>
      </c>
      <c r="M418" s="152">
        <v>45394</v>
      </c>
      <c r="N418" s="115">
        <f>+Table6[[#This Row],[стойност с ДДС]]-Table6[[#This Row],[плащане]]</f>
        <v>0</v>
      </c>
      <c r="O418" s="208">
        <v>45387</v>
      </c>
    </row>
    <row r="419" spans="1:15" ht="37.5" x14ac:dyDescent="0.3">
      <c r="A419" s="97" t="s">
        <v>64</v>
      </c>
      <c r="B419" s="393">
        <v>3000002736</v>
      </c>
      <c r="C419" s="110">
        <v>45382</v>
      </c>
      <c r="D419" s="97"/>
      <c r="E419" s="111" t="s">
        <v>53</v>
      </c>
      <c r="F419" s="101"/>
      <c r="G419" s="97"/>
      <c r="H419" s="113">
        <v>88.093000000000004</v>
      </c>
      <c r="I419" s="114">
        <v>57.59</v>
      </c>
      <c r="J419" s="115">
        <f t="shared" si="55"/>
        <v>5073.28</v>
      </c>
      <c r="K419" s="115">
        <f t="shared" si="56"/>
        <v>6087.9359999999997</v>
      </c>
      <c r="L419" s="104">
        <v>6087.94</v>
      </c>
      <c r="M419" s="152">
        <v>45394</v>
      </c>
      <c r="N419" s="115">
        <f>+Table6[[#This Row],[стойност с ДДС]]-Table6[[#This Row],[плащане]]</f>
        <v>-3.9999999999054126E-3</v>
      </c>
      <c r="O419" s="208">
        <v>45387</v>
      </c>
    </row>
    <row r="420" spans="1:15" x14ac:dyDescent="0.3">
      <c r="A420" s="97" t="s">
        <v>64</v>
      </c>
      <c r="B420" s="393">
        <v>3000002736</v>
      </c>
      <c r="C420" s="110">
        <v>45382</v>
      </c>
      <c r="D420" s="97"/>
      <c r="E420" s="111" t="s">
        <v>120</v>
      </c>
      <c r="F420" s="101"/>
      <c r="G420" s="97"/>
      <c r="H420" s="113">
        <v>293</v>
      </c>
      <c r="I420" s="114">
        <v>5.7462999999999997</v>
      </c>
      <c r="J420" s="115">
        <f t="shared" si="55"/>
        <v>1683.67</v>
      </c>
      <c r="K420" s="115">
        <f t="shared" si="56"/>
        <v>2020.404</v>
      </c>
      <c r="L420" s="104">
        <v>2020.4</v>
      </c>
      <c r="M420" s="152">
        <v>45394</v>
      </c>
      <c r="N420" s="115">
        <f>+Table6[[#This Row],[стойност с ДДС]]-Table6[[#This Row],[плащане]]</f>
        <v>3.9999999999054126E-3</v>
      </c>
      <c r="O420" s="208">
        <v>45387</v>
      </c>
    </row>
    <row r="421" spans="1:15" x14ac:dyDescent="0.3">
      <c r="A421" s="97" t="s">
        <v>64</v>
      </c>
      <c r="B421" s="393">
        <v>3000002736</v>
      </c>
      <c r="C421" s="110">
        <v>45382</v>
      </c>
      <c r="D421" s="97"/>
      <c r="E421" s="111" t="s">
        <v>121</v>
      </c>
      <c r="F421" s="101"/>
      <c r="G421" s="97"/>
      <c r="H421" s="113">
        <v>80</v>
      </c>
      <c r="I421" s="114">
        <v>4.5970000000000004</v>
      </c>
      <c r="J421" s="115">
        <f t="shared" si="55"/>
        <v>367.76</v>
      </c>
      <c r="K421" s="115">
        <f t="shared" si="56"/>
        <v>441.31199999999995</v>
      </c>
      <c r="L421" s="104">
        <v>441.31</v>
      </c>
      <c r="M421" s="152">
        <v>45394</v>
      </c>
      <c r="N421" s="115">
        <f>+Table6[[#This Row],[стойност с ДДС]]-Table6[[#This Row],[плащане]]</f>
        <v>1.9999999999527063E-3</v>
      </c>
      <c r="O421" s="208">
        <v>45387</v>
      </c>
    </row>
    <row r="422" spans="1:15" x14ac:dyDescent="0.3">
      <c r="A422" s="97" t="s">
        <v>64</v>
      </c>
      <c r="B422" s="393">
        <v>3000002736</v>
      </c>
      <c r="C422" s="110">
        <v>45382</v>
      </c>
      <c r="D422" s="97"/>
      <c r="E422" s="111" t="s">
        <v>56</v>
      </c>
      <c r="F422" s="101"/>
      <c r="G422" s="97"/>
      <c r="H422" s="113">
        <v>11.978999999999999</v>
      </c>
      <c r="I422" s="114">
        <v>8.3582999999999998</v>
      </c>
      <c r="J422" s="115">
        <f t="shared" si="55"/>
        <v>100.12</v>
      </c>
      <c r="K422" s="115">
        <f t="shared" si="56"/>
        <v>120.14400000000001</v>
      </c>
      <c r="L422" s="104">
        <v>120.14</v>
      </c>
      <c r="M422" s="152">
        <v>45394</v>
      </c>
      <c r="N422" s="115">
        <f>+Table6[[#This Row],[стойност с ДДС]]-Table6[[#This Row],[плащане]]</f>
        <v>4.0000000000048885E-3</v>
      </c>
      <c r="O422" s="208">
        <v>45387</v>
      </c>
    </row>
    <row r="423" spans="1:15" x14ac:dyDescent="0.3">
      <c r="A423" s="116" t="s">
        <v>64</v>
      </c>
      <c r="B423" s="394">
        <v>3000002736</v>
      </c>
      <c r="C423" s="117">
        <v>45382</v>
      </c>
      <c r="D423" s="116"/>
      <c r="E423" s="111" t="s">
        <v>58</v>
      </c>
      <c r="F423" s="118"/>
      <c r="G423" s="116"/>
      <c r="H423" s="141">
        <v>2107.203</v>
      </c>
      <c r="I423" s="142">
        <v>1.0194000000000001</v>
      </c>
      <c r="J423" s="130">
        <f t="shared" si="55"/>
        <v>2148.08</v>
      </c>
      <c r="K423" s="130">
        <f t="shared" si="56"/>
        <v>2577.6959999999999</v>
      </c>
      <c r="L423" s="129">
        <v>2577.6999999999998</v>
      </c>
      <c r="M423" s="152">
        <v>45394</v>
      </c>
      <c r="N423" s="130">
        <f>+Table6[[#This Row],[стойност с ДДС]]-Table6[[#This Row],[плащане]]</f>
        <v>-3.9999999999054126E-3</v>
      </c>
      <c r="O423" s="208">
        <v>45387</v>
      </c>
    </row>
    <row r="424" spans="1:15" x14ac:dyDescent="0.3">
      <c r="A424" s="116" t="s">
        <v>64</v>
      </c>
      <c r="B424" s="394">
        <v>3000002736</v>
      </c>
      <c r="C424" s="117">
        <v>45382</v>
      </c>
      <c r="D424" s="116"/>
      <c r="E424" s="116" t="s">
        <v>59</v>
      </c>
      <c r="F424" s="118"/>
      <c r="G424" s="116"/>
      <c r="H424" s="141">
        <v>1865.52</v>
      </c>
      <c r="I424" s="142">
        <v>0.6</v>
      </c>
      <c r="J424" s="130">
        <f>ROUND(+H424*I424,2)</f>
        <v>1119.31</v>
      </c>
      <c r="K424" s="130">
        <f>J424*1.2</f>
        <v>1343.1719999999998</v>
      </c>
      <c r="L424" s="129">
        <v>1343.17</v>
      </c>
      <c r="M424" s="152">
        <v>45394</v>
      </c>
      <c r="N424" s="130">
        <f>+Table6[[#This Row],[стойност с ДДС]]-Table6[[#This Row],[плащане]]</f>
        <v>1.9999999997253326E-3</v>
      </c>
      <c r="O424" s="208">
        <v>45387</v>
      </c>
    </row>
    <row r="425" spans="1:15" x14ac:dyDescent="0.3">
      <c r="A425" s="116" t="s">
        <v>64</v>
      </c>
      <c r="B425" s="394">
        <v>3000002736</v>
      </c>
      <c r="C425" s="117">
        <v>45382</v>
      </c>
      <c r="D425" s="116"/>
      <c r="E425" s="116" t="s">
        <v>60</v>
      </c>
      <c r="F425" s="118"/>
      <c r="G425" s="116"/>
      <c r="H425" s="141">
        <v>5720.4110000000001</v>
      </c>
      <c r="I425" s="142">
        <v>0</v>
      </c>
      <c r="J425" s="130">
        <f>ROUND(+H425*I425,2)</f>
        <v>0</v>
      </c>
      <c r="K425" s="130">
        <f>J425*1.2</f>
        <v>0</v>
      </c>
      <c r="L425" s="129">
        <v>0</v>
      </c>
      <c r="M425" s="152">
        <v>45394</v>
      </c>
      <c r="N425" s="130">
        <f>+Table6[[#This Row],[стойност с ДДС]]-Table6[[#This Row],[плащане]]</f>
        <v>0</v>
      </c>
      <c r="O425" s="208">
        <v>45387</v>
      </c>
    </row>
    <row r="426" spans="1:15" ht="37.5" x14ac:dyDescent="0.3">
      <c r="A426" s="116" t="s">
        <v>62</v>
      </c>
      <c r="B426" s="394">
        <v>3000002737</v>
      </c>
      <c r="C426" s="117">
        <v>45382</v>
      </c>
      <c r="D426" s="116"/>
      <c r="E426" s="111" t="s">
        <v>53</v>
      </c>
      <c r="F426" s="118"/>
      <c r="G426" s="116"/>
      <c r="H426" s="141">
        <v>1</v>
      </c>
      <c r="I426" s="142">
        <v>63493.2</v>
      </c>
      <c r="J426" s="130">
        <f>ROUND(+H426*I426,2)</f>
        <v>63493.2</v>
      </c>
      <c r="K426" s="130">
        <f>J426*1.2</f>
        <v>76191.839999999997</v>
      </c>
      <c r="L426" s="129">
        <v>76191.839999999997</v>
      </c>
      <c r="M426" s="152">
        <v>45394</v>
      </c>
      <c r="N426" s="130">
        <f>+Table6[[#This Row],[стойност с ДДС]]-Table6[[#This Row],[плащане]]</f>
        <v>0</v>
      </c>
      <c r="O426" s="208">
        <v>45387</v>
      </c>
    </row>
    <row r="427" spans="1:15" ht="37.5" x14ac:dyDescent="0.3">
      <c r="A427" s="97" t="s">
        <v>62</v>
      </c>
      <c r="B427" s="393">
        <v>3000002737</v>
      </c>
      <c r="C427" s="110">
        <v>45382</v>
      </c>
      <c r="D427" s="97"/>
      <c r="E427" s="111" t="s">
        <v>53</v>
      </c>
      <c r="F427" s="101"/>
      <c r="G427" s="97"/>
      <c r="H427" s="113">
        <v>6713.6610000000001</v>
      </c>
      <c r="I427" s="114">
        <v>57.59</v>
      </c>
      <c r="J427" s="115">
        <f t="shared" ref="J427:J432" si="57">ROUND(+H427*I427,2)</f>
        <v>386639.74</v>
      </c>
      <c r="K427" s="115">
        <f t="shared" ref="K427:K432" si="58">J427*1.2</f>
        <v>463967.68799999997</v>
      </c>
      <c r="L427" s="104">
        <v>463967.69</v>
      </c>
      <c r="M427" s="152">
        <v>45394</v>
      </c>
      <c r="N427" s="115">
        <f>+Table6[[#This Row],[стойност с ДДС]]-Table6[[#This Row],[плащане]]</f>
        <v>-2.0000000367872417E-3</v>
      </c>
      <c r="O427" s="208">
        <v>45387</v>
      </c>
    </row>
    <row r="428" spans="1:15" x14ac:dyDescent="0.3">
      <c r="A428" s="97" t="s">
        <v>62</v>
      </c>
      <c r="B428" s="393">
        <v>3000002737</v>
      </c>
      <c r="C428" s="110">
        <v>45382</v>
      </c>
      <c r="D428" s="97"/>
      <c r="E428" s="111" t="s">
        <v>120</v>
      </c>
      <c r="F428" s="101"/>
      <c r="G428" s="97"/>
      <c r="H428" s="113">
        <v>1845</v>
      </c>
      <c r="I428" s="114">
        <v>5.7462999999999997</v>
      </c>
      <c r="J428" s="115">
        <f t="shared" si="57"/>
        <v>10601.92</v>
      </c>
      <c r="K428" s="115">
        <f t="shared" si="58"/>
        <v>12722.304</v>
      </c>
      <c r="L428" s="104">
        <v>12722.3</v>
      </c>
      <c r="M428" s="152">
        <v>45394</v>
      </c>
      <c r="N428" s="115">
        <f>+Table6[[#This Row],[стойност с ДДС]]-Table6[[#This Row],[плащане]]</f>
        <v>4.0000000008149073E-3</v>
      </c>
      <c r="O428" s="208">
        <v>45387</v>
      </c>
    </row>
    <row r="429" spans="1:15" x14ac:dyDescent="0.3">
      <c r="A429" s="97" t="s">
        <v>62</v>
      </c>
      <c r="B429" s="393">
        <v>3000002737</v>
      </c>
      <c r="C429" s="110">
        <v>45382</v>
      </c>
      <c r="D429" s="97"/>
      <c r="E429" s="111" t="s">
        <v>121</v>
      </c>
      <c r="F429" s="101"/>
      <c r="G429" s="97"/>
      <c r="H429" s="113">
        <v>400</v>
      </c>
      <c r="I429" s="114">
        <v>4.5970000000000004</v>
      </c>
      <c r="J429" s="115">
        <f t="shared" si="57"/>
        <v>1838.8</v>
      </c>
      <c r="K429" s="115">
        <f t="shared" si="58"/>
        <v>2206.56</v>
      </c>
      <c r="L429" s="104">
        <v>2206.56</v>
      </c>
      <c r="M429" s="152">
        <v>45394</v>
      </c>
      <c r="N429" s="115">
        <f>+Table6[[#This Row],[стойност с ДДС]]-Table6[[#This Row],[плащане]]</f>
        <v>0</v>
      </c>
      <c r="O429" s="208">
        <v>45387</v>
      </c>
    </row>
    <row r="430" spans="1:15" x14ac:dyDescent="0.3">
      <c r="A430" s="97" t="s">
        <v>62</v>
      </c>
      <c r="B430" s="393">
        <v>3000002737</v>
      </c>
      <c r="C430" s="110">
        <v>45382</v>
      </c>
      <c r="D430" s="97"/>
      <c r="E430" s="111" t="s">
        <v>56</v>
      </c>
      <c r="F430" s="101"/>
      <c r="G430" s="97"/>
      <c r="H430" s="113">
        <v>282.95830000000001</v>
      </c>
      <c r="I430" s="114">
        <v>8.3582999999999998</v>
      </c>
      <c r="J430" s="115">
        <f t="shared" si="57"/>
        <v>2365.0500000000002</v>
      </c>
      <c r="K430" s="115">
        <f t="shared" si="58"/>
        <v>2838.06</v>
      </c>
      <c r="L430" s="104">
        <v>2838.06</v>
      </c>
      <c r="M430" s="152">
        <v>45394</v>
      </c>
      <c r="N430" s="115">
        <f>+Table6[[#This Row],[стойност с ДДС]]-Table6[[#This Row],[плащане]]</f>
        <v>0</v>
      </c>
      <c r="O430" s="208">
        <v>45387</v>
      </c>
    </row>
    <row r="431" spans="1:15" x14ac:dyDescent="0.3">
      <c r="A431" s="97" t="s">
        <v>62</v>
      </c>
      <c r="B431" s="393">
        <v>3000002737</v>
      </c>
      <c r="C431" s="110">
        <v>45382</v>
      </c>
      <c r="D431" s="97"/>
      <c r="E431" s="111" t="s">
        <v>58</v>
      </c>
      <c r="F431" s="101"/>
      <c r="G431" s="97"/>
      <c r="H431" s="113">
        <v>32683.883000000002</v>
      </c>
      <c r="I431" s="114">
        <v>1.0194000000000001</v>
      </c>
      <c r="J431" s="115">
        <f t="shared" si="57"/>
        <v>33317.949999999997</v>
      </c>
      <c r="K431" s="115">
        <f t="shared" si="58"/>
        <v>39981.539999999994</v>
      </c>
      <c r="L431" s="104">
        <v>39981.54</v>
      </c>
      <c r="M431" s="152">
        <v>45394</v>
      </c>
      <c r="N431" s="115">
        <f>+Table6[[#This Row],[стойност с ДДС]]-Table6[[#This Row],[плащане]]</f>
        <v>0</v>
      </c>
      <c r="O431" s="208">
        <v>45387</v>
      </c>
    </row>
    <row r="432" spans="1:15" x14ac:dyDescent="0.3">
      <c r="A432" s="116" t="s">
        <v>62</v>
      </c>
      <c r="B432" s="394">
        <v>3000002737</v>
      </c>
      <c r="C432" s="117">
        <v>45382</v>
      </c>
      <c r="D432" s="116"/>
      <c r="E432" s="111" t="s">
        <v>60</v>
      </c>
      <c r="F432" s="118"/>
      <c r="G432" s="116"/>
      <c r="H432" s="141">
        <v>117661.97900000001</v>
      </c>
      <c r="I432" s="142">
        <v>0</v>
      </c>
      <c r="J432" s="130">
        <f t="shared" si="57"/>
        <v>0</v>
      </c>
      <c r="K432" s="130">
        <f t="shared" si="58"/>
        <v>0</v>
      </c>
      <c r="L432" s="129">
        <v>0</v>
      </c>
      <c r="M432" s="152">
        <v>45394</v>
      </c>
      <c r="N432" s="130">
        <f>+Table6[[#This Row],[стойност с ДДС]]-Table6[[#This Row],[плащане]]</f>
        <v>0</v>
      </c>
      <c r="O432" s="208">
        <v>45387</v>
      </c>
    </row>
    <row r="433" spans="1:15" ht="37.5" x14ac:dyDescent="0.3">
      <c r="A433" s="116" t="s">
        <v>67</v>
      </c>
      <c r="B433" s="394">
        <v>3000002738</v>
      </c>
      <c r="C433" s="117">
        <v>45382</v>
      </c>
      <c r="D433" s="116"/>
      <c r="E433" s="111" t="s">
        <v>53</v>
      </c>
      <c r="F433" s="118"/>
      <c r="G433" s="116"/>
      <c r="H433" s="141">
        <v>4579.54</v>
      </c>
      <c r="I433" s="142">
        <v>57.59</v>
      </c>
      <c r="J433" s="130">
        <f t="shared" ref="J433:J440" si="59">ROUND(+H433*I433,2)</f>
        <v>263735.71000000002</v>
      </c>
      <c r="K433" s="130">
        <f t="shared" ref="K433:K440" si="60">J433*1.2</f>
        <v>316482.85200000001</v>
      </c>
      <c r="L433" s="129">
        <v>316482.84999999998</v>
      </c>
      <c r="M433" s="152">
        <v>45394</v>
      </c>
      <c r="N433" s="130">
        <f>+Table6[[#This Row],[стойност с ДДС]]-Table6[[#This Row],[плащане]]</f>
        <v>2.0000000367872417E-3</v>
      </c>
      <c r="O433" s="208">
        <v>45387</v>
      </c>
    </row>
    <row r="434" spans="1:15" x14ac:dyDescent="0.3">
      <c r="A434" s="116" t="s">
        <v>67</v>
      </c>
      <c r="B434" s="394">
        <v>3000002738</v>
      </c>
      <c r="C434" s="117">
        <v>45382</v>
      </c>
      <c r="D434" s="116"/>
      <c r="E434" s="145" t="s">
        <v>108</v>
      </c>
      <c r="F434" s="118"/>
      <c r="G434" s="116"/>
      <c r="H434" s="141">
        <v>1</v>
      </c>
      <c r="I434" s="142">
        <v>5082.21</v>
      </c>
      <c r="J434" s="130">
        <f t="shared" si="59"/>
        <v>5082.21</v>
      </c>
      <c r="K434" s="130">
        <f t="shared" si="60"/>
        <v>6098.652</v>
      </c>
      <c r="L434" s="129">
        <v>6098.65</v>
      </c>
      <c r="M434" s="152">
        <v>45394</v>
      </c>
      <c r="N434" s="130">
        <f>+Table6[[#This Row],[стойност с ДДС]]-Table6[[#This Row],[плащане]]</f>
        <v>2.0000000004074536E-3</v>
      </c>
      <c r="O434" s="208">
        <v>45387</v>
      </c>
    </row>
    <row r="435" spans="1:15" x14ac:dyDescent="0.3">
      <c r="A435" s="116" t="s">
        <v>67</v>
      </c>
      <c r="B435" s="394">
        <v>3000002738</v>
      </c>
      <c r="C435" s="117">
        <v>45382</v>
      </c>
      <c r="D435" s="116"/>
      <c r="E435" s="145" t="s">
        <v>120</v>
      </c>
      <c r="F435" s="118"/>
      <c r="G435" s="116"/>
      <c r="H435" s="141">
        <v>2089</v>
      </c>
      <c r="I435" s="142">
        <v>5.7462999999999997</v>
      </c>
      <c r="J435" s="130">
        <f t="shared" si="59"/>
        <v>12004.02</v>
      </c>
      <c r="K435" s="130">
        <f t="shared" si="60"/>
        <v>14404.824000000001</v>
      </c>
      <c r="L435" s="129">
        <v>14404.82</v>
      </c>
      <c r="M435" s="152">
        <v>45394</v>
      </c>
      <c r="N435" s="130">
        <f>+Table6[[#This Row],[стойност с ДДС]]-Table6[[#This Row],[плащане]]</f>
        <v>4.0000000008149073E-3</v>
      </c>
      <c r="O435" s="208">
        <v>45387</v>
      </c>
    </row>
    <row r="436" spans="1:15" x14ac:dyDescent="0.3">
      <c r="A436" s="116" t="s">
        <v>67</v>
      </c>
      <c r="B436" s="394">
        <v>3000002738</v>
      </c>
      <c r="C436" s="117">
        <v>45382</v>
      </c>
      <c r="D436" s="116"/>
      <c r="E436" s="145" t="s">
        <v>121</v>
      </c>
      <c r="F436" s="118"/>
      <c r="G436" s="116"/>
      <c r="H436" s="141">
        <v>4828</v>
      </c>
      <c r="I436" s="142">
        <v>4.5970000000000004</v>
      </c>
      <c r="J436" s="130">
        <f t="shared" si="59"/>
        <v>22194.32</v>
      </c>
      <c r="K436" s="130">
        <f t="shared" si="60"/>
        <v>26633.183999999997</v>
      </c>
      <c r="L436" s="129">
        <v>26633.18</v>
      </c>
      <c r="M436" s="152">
        <v>45394</v>
      </c>
      <c r="N436" s="130">
        <f>+Table6[[#This Row],[стойност с ДДС]]-Table6[[#This Row],[плащане]]</f>
        <v>3.9999999971769284E-3</v>
      </c>
      <c r="O436" s="208">
        <v>45387</v>
      </c>
    </row>
    <row r="437" spans="1:15" x14ac:dyDescent="0.3">
      <c r="A437" s="116" t="s">
        <v>67</v>
      </c>
      <c r="B437" s="394">
        <v>3000002738</v>
      </c>
      <c r="C437" s="117">
        <v>45382</v>
      </c>
      <c r="D437" s="116"/>
      <c r="E437" s="145" t="s">
        <v>56</v>
      </c>
      <c r="F437" s="118"/>
      <c r="G437" s="116"/>
      <c r="H437" s="141">
        <v>278.64800000000002</v>
      </c>
      <c r="I437" s="142">
        <v>8.3582999999999998</v>
      </c>
      <c r="J437" s="130">
        <f t="shared" si="59"/>
        <v>2329.02</v>
      </c>
      <c r="K437" s="130">
        <f t="shared" si="60"/>
        <v>2794.8240000000001</v>
      </c>
      <c r="L437" s="129">
        <v>2794.82</v>
      </c>
      <c r="M437" s="152">
        <v>45394</v>
      </c>
      <c r="N437" s="130">
        <f>+Table6[[#This Row],[стойност с ДДС]]-Table6[[#This Row],[плащане]]</f>
        <v>3.9999999999054126E-3</v>
      </c>
      <c r="O437" s="208">
        <v>45387</v>
      </c>
    </row>
    <row r="438" spans="1:15" x14ac:dyDescent="0.3">
      <c r="A438" s="116" t="s">
        <v>67</v>
      </c>
      <c r="B438" s="394">
        <v>3000002738</v>
      </c>
      <c r="C438" s="117">
        <v>45382</v>
      </c>
      <c r="D438" s="116"/>
      <c r="E438" s="145" t="s">
        <v>58</v>
      </c>
      <c r="F438" s="118"/>
      <c r="G438" s="116"/>
      <c r="H438" s="141">
        <v>13132.576999999999</v>
      </c>
      <c r="I438" s="142">
        <v>1.0194000000000001</v>
      </c>
      <c r="J438" s="130">
        <f t="shared" si="59"/>
        <v>13387.35</v>
      </c>
      <c r="K438" s="130">
        <f t="shared" si="60"/>
        <v>16064.82</v>
      </c>
      <c r="L438" s="129">
        <v>16064.82</v>
      </c>
      <c r="M438" s="152">
        <v>45394</v>
      </c>
      <c r="N438" s="130">
        <f>+Table6[[#This Row],[стойност с ДДС]]-Table6[[#This Row],[плащане]]</f>
        <v>0</v>
      </c>
      <c r="O438" s="208">
        <v>45387</v>
      </c>
    </row>
    <row r="439" spans="1:15" x14ac:dyDescent="0.3">
      <c r="A439" s="116" t="s">
        <v>67</v>
      </c>
      <c r="B439" s="394">
        <v>3000002738</v>
      </c>
      <c r="C439" s="117">
        <v>45382</v>
      </c>
      <c r="D439" s="116"/>
      <c r="E439" s="145" t="s">
        <v>58</v>
      </c>
      <c r="F439" s="118"/>
      <c r="G439" s="116"/>
      <c r="H439" s="141">
        <v>47277.277000000002</v>
      </c>
      <c r="I439" s="142"/>
      <c r="J439" s="130">
        <f t="shared" si="59"/>
        <v>0</v>
      </c>
      <c r="K439" s="130">
        <f t="shared" si="60"/>
        <v>0</v>
      </c>
      <c r="L439" s="129">
        <v>0</v>
      </c>
      <c r="M439" s="152">
        <v>45394</v>
      </c>
      <c r="N439" s="130">
        <f>+Table6[[#This Row],[стойност с ДДС]]-Table6[[#This Row],[плащане]]</f>
        <v>0</v>
      </c>
      <c r="O439" s="208">
        <v>45387</v>
      </c>
    </row>
    <row r="440" spans="1:15" ht="37.5" x14ac:dyDescent="0.3">
      <c r="A440" s="116" t="s">
        <v>122</v>
      </c>
      <c r="B440" s="394">
        <v>3000002739</v>
      </c>
      <c r="C440" s="117">
        <v>45382</v>
      </c>
      <c r="D440" s="116"/>
      <c r="E440" s="111" t="s">
        <v>53</v>
      </c>
      <c r="F440" s="118"/>
      <c r="G440" s="116"/>
      <c r="H440" s="141">
        <v>1</v>
      </c>
      <c r="I440" s="142">
        <v>4761.99</v>
      </c>
      <c r="J440" s="130">
        <f t="shared" si="59"/>
        <v>4761.99</v>
      </c>
      <c r="K440" s="130">
        <f t="shared" si="60"/>
        <v>5714.3879999999999</v>
      </c>
      <c r="L440" s="129">
        <v>5714.39</v>
      </c>
      <c r="M440" s="152">
        <v>45390</v>
      </c>
      <c r="N440" s="130">
        <f>+Table6[[#This Row],[стойност с ДДС]]-Table6[[#This Row],[плащане]]</f>
        <v>-2.0000000004074536E-3</v>
      </c>
      <c r="O440" s="208">
        <v>45387</v>
      </c>
    </row>
    <row r="441" spans="1:15" ht="37.5" x14ac:dyDescent="0.3">
      <c r="A441" s="97" t="s">
        <v>122</v>
      </c>
      <c r="B441" s="393">
        <v>3000002739</v>
      </c>
      <c r="C441" s="110">
        <v>45382</v>
      </c>
      <c r="D441" s="97"/>
      <c r="E441" s="111" t="s">
        <v>53</v>
      </c>
      <c r="F441" s="101"/>
      <c r="G441" s="97"/>
      <c r="H441" s="113">
        <v>691.29499999999996</v>
      </c>
      <c r="I441" s="114">
        <v>57.59</v>
      </c>
      <c r="J441" s="115">
        <f t="shared" ref="J441:J445" si="61">ROUND(+H441*I441,2)</f>
        <v>39811.68</v>
      </c>
      <c r="K441" s="115">
        <f t="shared" ref="K441:K445" si="62">J441*1.2</f>
        <v>47774.015999999996</v>
      </c>
      <c r="L441" s="104">
        <v>47774.02</v>
      </c>
      <c r="M441" s="152">
        <v>45390</v>
      </c>
      <c r="N441" s="115">
        <f>+Table6[[#This Row],[стойност с ДДС]]-Table6[[#This Row],[плащане]]</f>
        <v>-4.0000000008149073E-3</v>
      </c>
      <c r="O441" s="208">
        <v>45387</v>
      </c>
    </row>
    <row r="442" spans="1:15" x14ac:dyDescent="0.3">
      <c r="A442" s="97" t="s">
        <v>122</v>
      </c>
      <c r="B442" s="393">
        <v>3000002739</v>
      </c>
      <c r="C442" s="110">
        <v>45382</v>
      </c>
      <c r="D442" s="97"/>
      <c r="E442" s="145" t="s">
        <v>120</v>
      </c>
      <c r="F442" s="101"/>
      <c r="G442" s="97"/>
      <c r="H442" s="113">
        <v>70</v>
      </c>
      <c r="I442" s="114">
        <v>5.7462999999999997</v>
      </c>
      <c r="J442" s="115">
        <f t="shared" si="61"/>
        <v>402.24</v>
      </c>
      <c r="K442" s="115">
        <f t="shared" si="62"/>
        <v>482.68799999999999</v>
      </c>
      <c r="L442" s="104">
        <v>482.69</v>
      </c>
      <c r="M442" s="152">
        <v>45390</v>
      </c>
      <c r="N442" s="115">
        <f>+Table6[[#This Row],[стойност с ДДС]]-Table6[[#This Row],[плащане]]</f>
        <v>-2.0000000000095497E-3</v>
      </c>
      <c r="O442" s="208">
        <v>45387</v>
      </c>
    </row>
    <row r="443" spans="1:15" x14ac:dyDescent="0.3">
      <c r="A443" s="97" t="s">
        <v>122</v>
      </c>
      <c r="B443" s="393">
        <v>3000002739</v>
      </c>
      <c r="C443" s="110">
        <v>45382</v>
      </c>
      <c r="D443" s="97"/>
      <c r="E443" s="111" t="s">
        <v>121</v>
      </c>
      <c r="F443" s="101"/>
      <c r="G443" s="97"/>
      <c r="H443" s="113">
        <v>710</v>
      </c>
      <c r="I443" s="114">
        <v>4.5970000000000004</v>
      </c>
      <c r="J443" s="115">
        <f t="shared" si="61"/>
        <v>3263.87</v>
      </c>
      <c r="K443" s="115">
        <f t="shared" si="62"/>
        <v>3916.6439999999998</v>
      </c>
      <c r="L443" s="104">
        <v>3916.64</v>
      </c>
      <c r="M443" s="152">
        <v>45390</v>
      </c>
      <c r="N443" s="115">
        <f>+Table6[[#This Row],[стойност с ДДС]]-Table6[[#This Row],[плащане]]</f>
        <v>3.9999999999054126E-3</v>
      </c>
      <c r="O443" s="208">
        <v>45387</v>
      </c>
    </row>
    <row r="444" spans="1:15" x14ac:dyDescent="0.3">
      <c r="A444" s="97" t="s">
        <v>122</v>
      </c>
      <c r="B444" s="393">
        <v>3000002739</v>
      </c>
      <c r="C444" s="110">
        <v>45382</v>
      </c>
      <c r="D444" s="97"/>
      <c r="E444" s="111" t="s">
        <v>58</v>
      </c>
      <c r="F444" s="101"/>
      <c r="G444" s="97"/>
      <c r="H444" s="113">
        <v>691.29499999999996</v>
      </c>
      <c r="I444" s="114">
        <v>1.0194000000000001</v>
      </c>
      <c r="J444" s="115">
        <f t="shared" si="61"/>
        <v>704.71</v>
      </c>
      <c r="K444" s="115">
        <f t="shared" si="62"/>
        <v>845.65200000000004</v>
      </c>
      <c r="L444" s="104">
        <v>845.65</v>
      </c>
      <c r="M444" s="152">
        <v>45390</v>
      </c>
      <c r="N444" s="115">
        <f>+Table6[[#This Row],[стойност с ДДС]]-Table6[[#This Row],[плащане]]</f>
        <v>2.0000000000663931E-3</v>
      </c>
      <c r="O444" s="208">
        <v>45387</v>
      </c>
    </row>
    <row r="445" spans="1:15" x14ac:dyDescent="0.3">
      <c r="A445" s="116" t="s">
        <v>122</v>
      </c>
      <c r="B445" s="394">
        <v>3000002739</v>
      </c>
      <c r="C445" s="117">
        <v>45382</v>
      </c>
      <c r="D445" s="116"/>
      <c r="E445" s="116" t="s">
        <v>60</v>
      </c>
      <c r="F445" s="118"/>
      <c r="G445" s="116"/>
      <c r="H445" s="141">
        <v>2488.6619999999998</v>
      </c>
      <c r="I445" s="142">
        <v>0</v>
      </c>
      <c r="J445" s="130">
        <f t="shared" si="61"/>
        <v>0</v>
      </c>
      <c r="K445" s="130">
        <f t="shared" si="62"/>
        <v>0</v>
      </c>
      <c r="L445" s="129">
        <v>0</v>
      </c>
      <c r="M445" s="152">
        <v>45390</v>
      </c>
      <c r="N445" s="130">
        <f>+Table6[[#This Row],[стойност с ДДС]]-Table6[[#This Row],[плащане]]</f>
        <v>0</v>
      </c>
      <c r="O445" s="208">
        <v>45387</v>
      </c>
    </row>
    <row r="446" spans="1:15" ht="37.5" x14ac:dyDescent="0.3">
      <c r="A446" s="116" t="s">
        <v>77</v>
      </c>
      <c r="B446" s="394">
        <v>3000002740</v>
      </c>
      <c r="C446" s="117">
        <v>45382</v>
      </c>
      <c r="D446" s="116"/>
      <c r="E446" s="111" t="s">
        <v>53</v>
      </c>
      <c r="F446" s="118"/>
      <c r="G446" s="116"/>
      <c r="H446" s="141">
        <v>10296.376</v>
      </c>
      <c r="I446" s="142">
        <v>57.59</v>
      </c>
      <c r="J446" s="130">
        <f>ROUND(+H446*I446,2)</f>
        <v>592968.29</v>
      </c>
      <c r="K446" s="130">
        <f>J446*1.2</f>
        <v>711561.94799999997</v>
      </c>
      <c r="L446" s="129">
        <v>711561.95</v>
      </c>
      <c r="M446" s="152">
        <v>45390</v>
      </c>
      <c r="N446" s="130">
        <f>+Table6[[#This Row],[стойност с ДДС]]-Table6[[#This Row],[плащане]]</f>
        <v>-1.9999999785795808E-3</v>
      </c>
      <c r="O446" s="208">
        <v>45387</v>
      </c>
    </row>
    <row r="447" spans="1:15" x14ac:dyDescent="0.3">
      <c r="A447" s="97" t="s">
        <v>77</v>
      </c>
      <c r="B447" s="393">
        <v>3000002740</v>
      </c>
      <c r="C447" s="110">
        <v>45382</v>
      </c>
      <c r="D447" s="97"/>
      <c r="E447" s="145" t="s">
        <v>120</v>
      </c>
      <c r="F447" s="101"/>
      <c r="G447" s="97"/>
      <c r="H447" s="113">
        <v>10</v>
      </c>
      <c r="I447" s="114">
        <v>5.7462999999999997</v>
      </c>
      <c r="J447" s="115">
        <f t="shared" ref="J447:J451" si="63">ROUND(+H447*I447,2)</f>
        <v>57.46</v>
      </c>
      <c r="K447" s="115">
        <f t="shared" ref="K447:K451" si="64">J447*1.2</f>
        <v>68.951999999999998</v>
      </c>
      <c r="L447" s="104">
        <v>68.95</v>
      </c>
      <c r="M447" s="152">
        <v>45390</v>
      </c>
      <c r="N447" s="115">
        <f>+Table6[[#This Row],[стойност с ДДС]]-Table6[[#This Row],[плащане]]</f>
        <v>1.9999999999953388E-3</v>
      </c>
      <c r="O447" s="208">
        <v>45387</v>
      </c>
    </row>
    <row r="448" spans="1:15" x14ac:dyDescent="0.3">
      <c r="A448" s="97" t="s">
        <v>77</v>
      </c>
      <c r="B448" s="393">
        <v>3000002740</v>
      </c>
      <c r="C448" s="110">
        <v>45382</v>
      </c>
      <c r="D448" s="97"/>
      <c r="E448" s="145" t="s">
        <v>121</v>
      </c>
      <c r="F448" s="101"/>
      <c r="G448" s="97"/>
      <c r="H448" s="113">
        <v>2080</v>
      </c>
      <c r="I448" s="114">
        <v>4.5970000000000004</v>
      </c>
      <c r="J448" s="115">
        <f t="shared" si="63"/>
        <v>9561.76</v>
      </c>
      <c r="K448" s="115">
        <f t="shared" si="64"/>
        <v>11474.111999999999</v>
      </c>
      <c r="L448" s="104">
        <v>11474.11</v>
      </c>
      <c r="M448" s="152">
        <v>45390</v>
      </c>
      <c r="N448" s="115">
        <f>+Table6[[#This Row],[стойност с ДДС]]-Table6[[#This Row],[плащане]]</f>
        <v>1.9999999985884642E-3</v>
      </c>
      <c r="O448" s="208">
        <v>45387</v>
      </c>
    </row>
    <row r="449" spans="1:15" x14ac:dyDescent="0.3">
      <c r="A449" s="97" t="s">
        <v>77</v>
      </c>
      <c r="B449" s="393">
        <v>3000002740</v>
      </c>
      <c r="C449" s="110">
        <v>45382</v>
      </c>
      <c r="D449" s="97"/>
      <c r="E449" s="145" t="s">
        <v>56</v>
      </c>
      <c r="F449" s="101"/>
      <c r="G449" s="97"/>
      <c r="H449" s="113">
        <v>101.43</v>
      </c>
      <c r="I449" s="114">
        <v>8.3582999999999998</v>
      </c>
      <c r="J449" s="115">
        <f t="shared" si="63"/>
        <v>847.78</v>
      </c>
      <c r="K449" s="115">
        <f t="shared" si="64"/>
        <v>1017.3359999999999</v>
      </c>
      <c r="L449" s="104">
        <v>1017.34</v>
      </c>
      <c r="M449" s="152">
        <v>45390</v>
      </c>
      <c r="N449" s="115">
        <f>+Table6[[#This Row],[стойност с ДДС]]-Table6[[#This Row],[плащане]]</f>
        <v>-4.0000000001327862E-3</v>
      </c>
      <c r="O449" s="208">
        <v>45387</v>
      </c>
    </row>
    <row r="450" spans="1:15" x14ac:dyDescent="0.3">
      <c r="A450" s="97" t="s">
        <v>77</v>
      </c>
      <c r="B450" s="393">
        <v>3000002740</v>
      </c>
      <c r="C450" s="110">
        <v>45382</v>
      </c>
      <c r="D450" s="97"/>
      <c r="E450" s="111" t="s">
        <v>58</v>
      </c>
      <c r="F450" s="101"/>
      <c r="G450" s="97"/>
      <c r="H450" s="113">
        <v>28998.315999999999</v>
      </c>
      <c r="I450" s="114">
        <v>1.0194000000000001</v>
      </c>
      <c r="J450" s="115">
        <f t="shared" si="63"/>
        <v>29560.880000000001</v>
      </c>
      <c r="K450" s="115">
        <f t="shared" si="64"/>
        <v>35473.055999999997</v>
      </c>
      <c r="L450" s="104">
        <v>35473.06</v>
      </c>
      <c r="M450" s="152">
        <v>45390</v>
      </c>
      <c r="N450" s="115">
        <f>+Table6[[#This Row],[стойност с ДДС]]-Table6[[#This Row],[плащане]]</f>
        <v>-4.0000000008149073E-3</v>
      </c>
      <c r="O450" s="208">
        <v>45387</v>
      </c>
    </row>
    <row r="451" spans="1:15" x14ac:dyDescent="0.3">
      <c r="A451" s="116" t="s">
        <v>77</v>
      </c>
      <c r="B451" s="394">
        <v>3000002740</v>
      </c>
      <c r="C451" s="117">
        <v>45382</v>
      </c>
      <c r="D451" s="116"/>
      <c r="E451" s="111" t="s">
        <v>60</v>
      </c>
      <c r="F451" s="118"/>
      <c r="G451" s="116"/>
      <c r="H451" s="141">
        <v>104393.93799999999</v>
      </c>
      <c r="I451" s="142">
        <v>0</v>
      </c>
      <c r="J451" s="130">
        <f t="shared" si="63"/>
        <v>0</v>
      </c>
      <c r="K451" s="130">
        <f t="shared" si="64"/>
        <v>0</v>
      </c>
      <c r="L451" s="129">
        <v>0</v>
      </c>
      <c r="M451" s="152">
        <v>45390</v>
      </c>
      <c r="N451" s="130">
        <f>+Table6[[#This Row],[стойност с ДДС]]-Table6[[#This Row],[плащане]]</f>
        <v>0</v>
      </c>
      <c r="O451" s="208">
        <v>45387</v>
      </c>
    </row>
    <row r="452" spans="1:15" x14ac:dyDescent="0.3">
      <c r="A452" s="116" t="s">
        <v>91</v>
      </c>
      <c r="B452" s="394">
        <v>3000002741</v>
      </c>
      <c r="C452" s="117">
        <v>45382</v>
      </c>
      <c r="D452" s="116" t="s">
        <v>85</v>
      </c>
      <c r="E452" s="111" t="s">
        <v>33</v>
      </c>
      <c r="F452" s="118"/>
      <c r="G452" s="116"/>
      <c r="H452" s="141">
        <v>1</v>
      </c>
      <c r="I452" s="142">
        <v>1085.6199999999999</v>
      </c>
      <c r="J452" s="130">
        <f>ROUND(+H452*I452,2)</f>
        <v>1085.6199999999999</v>
      </c>
      <c r="K452" s="130">
        <f>J452*1.2</f>
        <v>1302.7439999999999</v>
      </c>
      <c r="L452" s="129">
        <v>1302.74</v>
      </c>
      <c r="M452" s="152">
        <v>45390</v>
      </c>
      <c r="N452" s="130">
        <f>+Table6[[#This Row],[стойност с ДДС]]-Table6[[#This Row],[плащане]]</f>
        <v>3.9999999999054126E-3</v>
      </c>
      <c r="O452" s="208">
        <v>45387</v>
      </c>
    </row>
    <row r="453" spans="1:15" x14ac:dyDescent="0.3">
      <c r="A453" s="116" t="s">
        <v>91</v>
      </c>
      <c r="B453" s="393">
        <v>3000002742</v>
      </c>
      <c r="C453" s="110">
        <v>45382</v>
      </c>
      <c r="D453" s="97"/>
      <c r="E453" s="111" t="s">
        <v>33</v>
      </c>
      <c r="F453" s="101"/>
      <c r="G453" s="97"/>
      <c r="H453" s="113">
        <v>-1</v>
      </c>
      <c r="I453" s="114">
        <v>4921.3999999999996</v>
      </c>
      <c r="J453" s="115">
        <f>ROUND(+H453*I453,2)</f>
        <v>-4921.3999999999996</v>
      </c>
      <c r="K453" s="115">
        <f>J453*1.2</f>
        <v>-5905.6799999999994</v>
      </c>
      <c r="L453" s="104">
        <v>-5905.68</v>
      </c>
      <c r="M453" s="107">
        <v>45385</v>
      </c>
      <c r="N453" s="115">
        <f>+Table6[[#This Row],[стойност с ДДС]]-Table6[[#This Row],[плащане]]</f>
        <v>0</v>
      </c>
      <c r="O453" s="208">
        <v>45387</v>
      </c>
    </row>
    <row r="454" spans="1:15" x14ac:dyDescent="0.3">
      <c r="A454" s="97" t="s">
        <v>91</v>
      </c>
      <c r="B454" s="393">
        <v>3000002742</v>
      </c>
      <c r="C454" s="110">
        <v>45382</v>
      </c>
      <c r="D454" s="97"/>
      <c r="E454" s="111" t="s">
        <v>33</v>
      </c>
      <c r="F454" s="101"/>
      <c r="G454" s="97"/>
      <c r="H454" s="113">
        <v>89.822999999999993</v>
      </c>
      <c r="I454" s="114">
        <v>54.79</v>
      </c>
      <c r="J454" s="115">
        <f t="shared" ref="J454:J456" si="65">ROUND(+H454*I454,2)</f>
        <v>4921.3999999999996</v>
      </c>
      <c r="K454" s="115">
        <f t="shared" ref="K454:K456" si="66">J454*1.2</f>
        <v>5905.6799999999994</v>
      </c>
      <c r="L454" s="104">
        <v>5905.68</v>
      </c>
      <c r="M454" s="107">
        <v>45385</v>
      </c>
      <c r="N454" s="115">
        <f>+Table6[[#This Row],[стойност с ДДС]]-Table6[[#This Row],[плащане]]</f>
        <v>0</v>
      </c>
      <c r="O454" s="208">
        <v>45387</v>
      </c>
    </row>
    <row r="455" spans="1:15" x14ac:dyDescent="0.3">
      <c r="A455" s="97" t="s">
        <v>91</v>
      </c>
      <c r="B455" s="393">
        <v>3000002742</v>
      </c>
      <c r="C455" s="110">
        <v>45382</v>
      </c>
      <c r="D455" s="97"/>
      <c r="E455" s="111" t="s">
        <v>58</v>
      </c>
      <c r="F455" s="101"/>
      <c r="G455" s="97"/>
      <c r="H455" s="113">
        <v>89.822999999999993</v>
      </c>
      <c r="I455" s="114">
        <v>0.52290000000000003</v>
      </c>
      <c r="J455" s="115">
        <f t="shared" si="65"/>
        <v>46.97</v>
      </c>
      <c r="K455" s="115">
        <f t="shared" si="66"/>
        <v>56.363999999999997</v>
      </c>
      <c r="L455" s="104">
        <v>56.36</v>
      </c>
      <c r="M455" s="107">
        <v>45385</v>
      </c>
      <c r="N455" s="115">
        <f>+Table6[[#This Row],[стойност с ДДС]]-Table6[[#This Row],[плащане]]</f>
        <v>3.9999999999977831E-3</v>
      </c>
      <c r="O455" s="208">
        <v>45387</v>
      </c>
    </row>
    <row r="456" spans="1:15" x14ac:dyDescent="0.3">
      <c r="A456" s="116" t="s">
        <v>91</v>
      </c>
      <c r="B456" s="394">
        <v>3000002742</v>
      </c>
      <c r="C456" s="117">
        <v>45382</v>
      </c>
      <c r="D456" s="116"/>
      <c r="E456" s="116" t="s">
        <v>59</v>
      </c>
      <c r="F456" s="118"/>
      <c r="G456" s="116"/>
      <c r="H456" s="141">
        <v>323.363</v>
      </c>
      <c r="I456" s="142">
        <v>0.6</v>
      </c>
      <c r="J456" s="130">
        <f t="shared" si="65"/>
        <v>194.02</v>
      </c>
      <c r="K456" s="130">
        <f t="shared" si="66"/>
        <v>232.82400000000001</v>
      </c>
      <c r="L456" s="129">
        <v>232.82</v>
      </c>
      <c r="M456" s="107">
        <v>45385</v>
      </c>
      <c r="N456" s="130">
        <f>+Table6[[#This Row],[стойност с ДДС]]-Table6[[#This Row],[плащане]]</f>
        <v>4.0000000000190994E-3</v>
      </c>
      <c r="O456" s="208">
        <v>45387</v>
      </c>
    </row>
    <row r="457" spans="1:15" x14ac:dyDescent="0.3">
      <c r="A457" s="116" t="s">
        <v>69</v>
      </c>
      <c r="B457" s="394">
        <v>3000002743</v>
      </c>
      <c r="C457" s="117">
        <v>45382</v>
      </c>
      <c r="D457" s="116"/>
      <c r="E457" s="111" t="s">
        <v>33</v>
      </c>
      <c r="F457" s="118"/>
      <c r="G457" s="116"/>
      <c r="H457" s="141">
        <v>-1</v>
      </c>
      <c r="I457" s="142">
        <v>17600.439999999999</v>
      </c>
      <c r="J457" s="130">
        <f>ROUND(+H457*I457,2)</f>
        <v>-17600.439999999999</v>
      </c>
      <c r="K457" s="130">
        <f>J457*1.2</f>
        <v>-21120.527999999998</v>
      </c>
      <c r="L457" s="129">
        <v>-21120.53</v>
      </c>
      <c r="M457" s="107">
        <v>45385</v>
      </c>
      <c r="N457" s="130">
        <f>+Table6[[#This Row],[стойност с ДДС]]-Table6[[#This Row],[плащане]]</f>
        <v>2.0000000004074536E-3</v>
      </c>
      <c r="O457" s="208">
        <v>45387</v>
      </c>
    </row>
    <row r="458" spans="1:15" x14ac:dyDescent="0.3">
      <c r="A458" s="97" t="s">
        <v>69</v>
      </c>
      <c r="B458" s="393">
        <v>3000002743</v>
      </c>
      <c r="C458" s="110">
        <v>45382</v>
      </c>
      <c r="D458" s="97"/>
      <c r="E458" s="111" t="s">
        <v>33</v>
      </c>
      <c r="F458" s="101"/>
      <c r="G458" s="97"/>
      <c r="H458" s="113">
        <v>411.053</v>
      </c>
      <c r="I458" s="114">
        <v>54.79</v>
      </c>
      <c r="J458" s="115">
        <f t="shared" ref="J458:J461" si="67">ROUND(+H458*I458,2)</f>
        <v>22521.59</v>
      </c>
      <c r="K458" s="115">
        <f t="shared" ref="K458:K461" si="68">J458*1.2</f>
        <v>27025.907999999999</v>
      </c>
      <c r="L458" s="104">
        <v>27025.91</v>
      </c>
      <c r="M458" s="107">
        <v>45385</v>
      </c>
      <c r="N458" s="115">
        <f>+Table6[[#This Row],[стойност с ДДС]]-Table6[[#This Row],[плащане]]</f>
        <v>-2.0000000004074536E-3</v>
      </c>
      <c r="O458" s="208">
        <v>45387</v>
      </c>
    </row>
    <row r="459" spans="1:15" x14ac:dyDescent="0.3">
      <c r="A459" s="97" t="s">
        <v>69</v>
      </c>
      <c r="B459" s="393">
        <v>3000002743</v>
      </c>
      <c r="C459" s="110">
        <v>45382</v>
      </c>
      <c r="D459" s="97"/>
      <c r="E459" s="145" t="s">
        <v>56</v>
      </c>
      <c r="F459" s="101"/>
      <c r="G459" s="97"/>
      <c r="H459" s="113">
        <v>77.471000000000004</v>
      </c>
      <c r="I459" s="114">
        <v>3.3016999999999999</v>
      </c>
      <c r="J459" s="115">
        <f t="shared" si="67"/>
        <v>255.79</v>
      </c>
      <c r="K459" s="115">
        <f t="shared" si="68"/>
        <v>306.94799999999998</v>
      </c>
      <c r="L459" s="104">
        <v>306.95</v>
      </c>
      <c r="M459" s="107">
        <v>45385</v>
      </c>
      <c r="N459" s="115">
        <f>+Table6[[#This Row],[стойност с ДДС]]-Table6[[#This Row],[плащане]]</f>
        <v>-2.0000000000095497E-3</v>
      </c>
      <c r="O459" s="208">
        <v>45387</v>
      </c>
    </row>
    <row r="460" spans="1:15" x14ac:dyDescent="0.3">
      <c r="A460" s="97" t="s">
        <v>69</v>
      </c>
      <c r="B460" s="393">
        <v>3000002743</v>
      </c>
      <c r="C460" s="110">
        <v>45382</v>
      </c>
      <c r="D460" s="97"/>
      <c r="E460" s="111" t="s">
        <v>58</v>
      </c>
      <c r="F460" s="101"/>
      <c r="G460" s="97"/>
      <c r="H460" s="113">
        <v>411.053</v>
      </c>
      <c r="I460" s="114">
        <v>0.52290000000000003</v>
      </c>
      <c r="J460" s="115">
        <f t="shared" si="67"/>
        <v>214.94</v>
      </c>
      <c r="K460" s="115">
        <f t="shared" si="68"/>
        <v>257.928</v>
      </c>
      <c r="L460" s="104">
        <v>257.93</v>
      </c>
      <c r="M460" s="107">
        <v>45385</v>
      </c>
      <c r="N460" s="115">
        <f>+Table6[[#This Row],[стойност с ДДС]]-Table6[[#This Row],[плащане]]</f>
        <v>-2.0000000000095497E-3</v>
      </c>
      <c r="O460" s="208">
        <v>45387</v>
      </c>
    </row>
    <row r="461" spans="1:15" x14ac:dyDescent="0.3">
      <c r="A461" s="116" t="s">
        <v>69</v>
      </c>
      <c r="B461" s="394">
        <v>3000002743</v>
      </c>
      <c r="C461" s="117">
        <v>45382</v>
      </c>
      <c r="D461" s="116"/>
      <c r="E461" s="116" t="s">
        <v>59</v>
      </c>
      <c r="F461" s="118"/>
      <c r="G461" s="116"/>
      <c r="H461" s="141">
        <v>1479.7909999999999</v>
      </c>
      <c r="I461" s="142">
        <v>0.6</v>
      </c>
      <c r="J461" s="130">
        <f t="shared" si="67"/>
        <v>887.87</v>
      </c>
      <c r="K461" s="130">
        <f t="shared" si="68"/>
        <v>1065.444</v>
      </c>
      <c r="L461" s="129">
        <v>1065.44</v>
      </c>
      <c r="M461" s="107">
        <v>45385</v>
      </c>
      <c r="N461" s="130">
        <f>+Table6[[#This Row],[стойност с ДДС]]-Table6[[#This Row],[плащане]]</f>
        <v>3.9999999999054126E-3</v>
      </c>
      <c r="O461" s="208">
        <v>45387</v>
      </c>
    </row>
    <row r="462" spans="1:15" x14ac:dyDescent="0.3">
      <c r="A462" s="116" t="s">
        <v>72</v>
      </c>
      <c r="B462" s="394">
        <v>3000002744</v>
      </c>
      <c r="C462" s="117">
        <v>45382</v>
      </c>
      <c r="D462" s="116" t="s">
        <v>85</v>
      </c>
      <c r="E462" s="111" t="s">
        <v>33</v>
      </c>
      <c r="F462" s="118"/>
      <c r="G462" s="116"/>
      <c r="H462" s="141">
        <v>1</v>
      </c>
      <c r="I462" s="142">
        <v>3952.75</v>
      </c>
      <c r="J462" s="130">
        <f>ROUND(+H462*I462,2)</f>
        <v>3952.75</v>
      </c>
      <c r="K462" s="130">
        <f>J462*1.2</f>
        <v>4743.3</v>
      </c>
      <c r="L462" s="129">
        <v>4743.3</v>
      </c>
      <c r="M462" s="152">
        <v>45391</v>
      </c>
      <c r="N462" s="130">
        <f>+Table6[[#This Row],[стойност с ДДС]]-Table6[[#This Row],[плащане]]</f>
        <v>0</v>
      </c>
      <c r="O462" s="208">
        <v>45387</v>
      </c>
    </row>
    <row r="463" spans="1:15" x14ac:dyDescent="0.3">
      <c r="A463" s="116" t="s">
        <v>72</v>
      </c>
      <c r="B463" s="394">
        <v>3000002745</v>
      </c>
      <c r="C463" s="117">
        <v>45382</v>
      </c>
      <c r="D463" s="116"/>
      <c r="E463" s="111" t="s">
        <v>33</v>
      </c>
      <c r="F463" s="118"/>
      <c r="G463" s="116"/>
      <c r="H463" s="141">
        <v>-1</v>
      </c>
      <c r="I463" s="142">
        <v>23133.27</v>
      </c>
      <c r="J463" s="130">
        <f>ROUND(+H463*I463,2)</f>
        <v>-23133.27</v>
      </c>
      <c r="K463" s="130">
        <f>J463*1.2</f>
        <v>-27759.923999999999</v>
      </c>
      <c r="L463" s="129">
        <v>-27759.919999999998</v>
      </c>
      <c r="M463" s="152">
        <v>45391</v>
      </c>
      <c r="N463" s="130">
        <f>+Table6[[#This Row],[стойност с ДДС]]-Table6[[#This Row],[плащане]]</f>
        <v>-4.0000000008149073E-3</v>
      </c>
      <c r="O463" s="208">
        <v>45387</v>
      </c>
    </row>
    <row r="464" spans="1:15" x14ac:dyDescent="0.3">
      <c r="A464" s="97" t="s">
        <v>72</v>
      </c>
      <c r="B464" s="393">
        <v>3000002745</v>
      </c>
      <c r="C464" s="110">
        <v>45382</v>
      </c>
      <c r="D464" s="97"/>
      <c r="E464" s="111" t="s">
        <v>33</v>
      </c>
      <c r="F464" s="101"/>
      <c r="G464" s="97"/>
      <c r="H464" s="113">
        <v>422.21699999999998</v>
      </c>
      <c r="I464" s="114">
        <v>54.79</v>
      </c>
      <c r="J464" s="115">
        <f t="shared" ref="J464:J467" si="69">ROUND(+H464*I464,2)</f>
        <v>23133.27</v>
      </c>
      <c r="K464" s="115">
        <f t="shared" ref="K464:K467" si="70">J464*1.2</f>
        <v>27759.923999999999</v>
      </c>
      <c r="L464" s="104">
        <v>27759.919999999998</v>
      </c>
      <c r="M464" s="152">
        <v>45391</v>
      </c>
      <c r="N464" s="115">
        <f>+Table6[[#This Row],[стойност с ДДС]]-Table6[[#This Row],[плащане]]</f>
        <v>4.0000000008149073E-3</v>
      </c>
      <c r="O464" s="208">
        <v>45387</v>
      </c>
    </row>
    <row r="465" spans="1:15" x14ac:dyDescent="0.3">
      <c r="A465" s="97" t="s">
        <v>72</v>
      </c>
      <c r="B465" s="393">
        <v>3000002745</v>
      </c>
      <c r="C465" s="110">
        <v>45382</v>
      </c>
      <c r="D465" s="97"/>
      <c r="E465" s="145" t="s">
        <v>56</v>
      </c>
      <c r="F465" s="101"/>
      <c r="G465" s="97"/>
      <c r="H465" s="113">
        <v>0.80700000000000005</v>
      </c>
      <c r="I465" s="114">
        <v>3.3016999999999999</v>
      </c>
      <c r="J465" s="115">
        <f t="shared" si="69"/>
        <v>2.66</v>
      </c>
      <c r="K465" s="115">
        <f t="shared" si="70"/>
        <v>3.1920000000000002</v>
      </c>
      <c r="L465" s="104">
        <v>3.19</v>
      </c>
      <c r="M465" s="152">
        <v>45391</v>
      </c>
      <c r="N465" s="115">
        <f>+Table6[[#This Row],[стойност с ДДС]]-Table6[[#This Row],[плащане]]</f>
        <v>2.0000000000002238E-3</v>
      </c>
      <c r="O465" s="208">
        <v>45387</v>
      </c>
    </row>
    <row r="466" spans="1:15" x14ac:dyDescent="0.3">
      <c r="A466" s="97" t="s">
        <v>72</v>
      </c>
      <c r="B466" s="393">
        <v>3000002745</v>
      </c>
      <c r="C466" s="110">
        <v>45382</v>
      </c>
      <c r="D466" s="97"/>
      <c r="E466" s="111" t="s">
        <v>58</v>
      </c>
      <c r="F466" s="101"/>
      <c r="G466" s="97"/>
      <c r="H466" s="113">
        <v>422.21699999999998</v>
      </c>
      <c r="I466" s="114">
        <v>0.52290000000000003</v>
      </c>
      <c r="J466" s="115">
        <f t="shared" si="69"/>
        <v>220.78</v>
      </c>
      <c r="K466" s="115">
        <f t="shared" si="70"/>
        <v>264.93599999999998</v>
      </c>
      <c r="L466" s="104">
        <v>264.94</v>
      </c>
      <c r="M466" s="152">
        <v>45391</v>
      </c>
      <c r="N466" s="115">
        <f>+Table6[[#This Row],[стойност с ДДС]]-Table6[[#This Row],[плащане]]</f>
        <v>-4.0000000000190994E-3</v>
      </c>
      <c r="O466" s="208">
        <v>45387</v>
      </c>
    </row>
    <row r="467" spans="1:15" x14ac:dyDescent="0.3">
      <c r="A467" s="116" t="s">
        <v>72</v>
      </c>
      <c r="B467" s="394">
        <v>3000002745</v>
      </c>
      <c r="C467" s="117">
        <v>45382</v>
      </c>
      <c r="D467" s="116"/>
      <c r="E467" s="116" t="s">
        <v>59</v>
      </c>
      <c r="F467" s="118"/>
      <c r="G467" s="116"/>
      <c r="H467" s="141">
        <v>1519.981</v>
      </c>
      <c r="I467" s="142">
        <v>0.6</v>
      </c>
      <c r="J467" s="130">
        <f t="shared" si="69"/>
        <v>911.99</v>
      </c>
      <c r="K467" s="130">
        <f t="shared" si="70"/>
        <v>1094.3879999999999</v>
      </c>
      <c r="L467" s="129">
        <v>1094.3900000000001</v>
      </c>
      <c r="M467" s="152">
        <v>45391</v>
      </c>
      <c r="N467" s="130">
        <f>+Table6[[#This Row],[стойност с ДДС]]-Table6[[#This Row],[плащане]]</f>
        <v>-2.00000000018008E-3</v>
      </c>
      <c r="O467" s="208">
        <v>45387</v>
      </c>
    </row>
    <row r="468" spans="1:15" x14ac:dyDescent="0.3">
      <c r="A468" s="116" t="s">
        <v>94</v>
      </c>
      <c r="B468" s="394">
        <v>3000002746</v>
      </c>
      <c r="C468" s="117">
        <v>45382</v>
      </c>
      <c r="D468" s="116" t="s">
        <v>85</v>
      </c>
      <c r="E468" s="111" t="s">
        <v>33</v>
      </c>
      <c r="F468" s="118"/>
      <c r="G468" s="116"/>
      <c r="H468" s="141">
        <v>1</v>
      </c>
      <c r="I468" s="142">
        <v>195.26</v>
      </c>
      <c r="J468" s="130">
        <f t="shared" ref="J468:J474" si="71">ROUND(+H468*I468,2)</f>
        <v>195.26</v>
      </c>
      <c r="K468" s="130">
        <f t="shared" ref="K468:K474" si="72">J468*1.2</f>
        <v>234.31199999999998</v>
      </c>
      <c r="L468" s="129">
        <v>234.31</v>
      </c>
      <c r="M468" s="152">
        <v>45385</v>
      </c>
      <c r="N468" s="130">
        <f>+Table6[[#This Row],[стойност с ДДС]]-Table6[[#This Row],[плащане]]</f>
        <v>1.999999999981128E-3</v>
      </c>
      <c r="O468" s="208">
        <v>45387</v>
      </c>
    </row>
    <row r="469" spans="1:15" x14ac:dyDescent="0.3">
      <c r="A469" s="116" t="s">
        <v>94</v>
      </c>
      <c r="B469" s="394">
        <v>3000002747</v>
      </c>
      <c r="C469" s="117">
        <v>45382</v>
      </c>
      <c r="D469" s="116"/>
      <c r="E469" s="111" t="s">
        <v>33</v>
      </c>
      <c r="F469" s="118"/>
      <c r="G469" s="116"/>
      <c r="H469" s="141">
        <v>-1</v>
      </c>
      <c r="I469" s="142">
        <v>399.64</v>
      </c>
      <c r="J469" s="130">
        <f t="shared" si="71"/>
        <v>-399.64</v>
      </c>
      <c r="K469" s="130">
        <f t="shared" si="72"/>
        <v>-479.56799999999998</v>
      </c>
      <c r="L469" s="129">
        <v>-479.57</v>
      </c>
      <c r="M469" s="152">
        <v>45386</v>
      </c>
      <c r="N469" s="130">
        <f>+Table6[[#This Row],[стойност с ДДС]]-Table6[[#This Row],[плащане]]</f>
        <v>2.0000000000095497E-3</v>
      </c>
      <c r="O469" s="208">
        <v>45387</v>
      </c>
    </row>
    <row r="470" spans="1:15" x14ac:dyDescent="0.3">
      <c r="A470" s="97" t="s">
        <v>94</v>
      </c>
      <c r="B470" s="393">
        <v>3000002747</v>
      </c>
      <c r="C470" s="110">
        <v>45382</v>
      </c>
      <c r="D470" s="97"/>
      <c r="E470" s="111" t="s">
        <v>33</v>
      </c>
      <c r="F470" s="101"/>
      <c r="G470" s="97"/>
      <c r="H470" s="113">
        <v>7.2939999999999996</v>
      </c>
      <c r="I470" s="114">
        <v>54.79</v>
      </c>
      <c r="J470" s="115">
        <f t="shared" si="71"/>
        <v>399.64</v>
      </c>
      <c r="K470" s="115">
        <f t="shared" si="72"/>
        <v>479.56799999999998</v>
      </c>
      <c r="L470" s="104">
        <v>479.57</v>
      </c>
      <c r="M470" s="152">
        <v>45386</v>
      </c>
      <c r="N470" s="115">
        <f>+Table6[[#This Row],[стойност с ДДС]]-Table6[[#This Row],[плащане]]</f>
        <v>-2.0000000000095497E-3</v>
      </c>
      <c r="O470" s="208">
        <v>45387</v>
      </c>
    </row>
    <row r="471" spans="1:15" x14ac:dyDescent="0.3">
      <c r="A471" s="97" t="s">
        <v>94</v>
      </c>
      <c r="B471" s="393">
        <v>3000002747</v>
      </c>
      <c r="C471" s="110">
        <v>45382</v>
      </c>
      <c r="D471" s="97"/>
      <c r="E471" s="111" t="s">
        <v>58</v>
      </c>
      <c r="F471" s="101"/>
      <c r="G471" s="97"/>
      <c r="H471" s="113">
        <v>7.2939999999999996</v>
      </c>
      <c r="I471" s="114">
        <v>0.52290000000000003</v>
      </c>
      <c r="J471" s="115">
        <f t="shared" si="71"/>
        <v>3.81</v>
      </c>
      <c r="K471" s="115">
        <f t="shared" si="72"/>
        <v>4.5720000000000001</v>
      </c>
      <c r="L471" s="104">
        <v>4.57</v>
      </c>
      <c r="M471" s="152">
        <v>45386</v>
      </c>
      <c r="N471" s="115">
        <f>+Table6[[#This Row],[стойност с ДДС]]-Table6[[#This Row],[плащане]]</f>
        <v>1.9999999999997797E-3</v>
      </c>
      <c r="O471" s="208">
        <v>45387</v>
      </c>
    </row>
    <row r="472" spans="1:15" x14ac:dyDescent="0.3">
      <c r="A472" s="116" t="s">
        <v>94</v>
      </c>
      <c r="B472" s="394">
        <v>3000002747</v>
      </c>
      <c r="C472" s="117">
        <v>45382</v>
      </c>
      <c r="D472" s="116"/>
      <c r="E472" s="116" t="s">
        <v>59</v>
      </c>
      <c r="F472" s="118"/>
      <c r="G472" s="116"/>
      <c r="H472" s="141">
        <v>26.259</v>
      </c>
      <c r="I472" s="142">
        <v>0.6</v>
      </c>
      <c r="J472" s="115">
        <f t="shared" si="71"/>
        <v>15.76</v>
      </c>
      <c r="K472" s="115">
        <f t="shared" si="72"/>
        <v>18.911999999999999</v>
      </c>
      <c r="L472" s="129">
        <v>18.91</v>
      </c>
      <c r="M472" s="152">
        <v>45386</v>
      </c>
      <c r="N472" s="130">
        <f>+Table6[[#This Row],[стойност с ДДС]]-Table6[[#This Row],[плащане]]</f>
        <v>1.9999999999988916E-3</v>
      </c>
      <c r="O472" s="208">
        <v>45387</v>
      </c>
    </row>
    <row r="473" spans="1:15" x14ac:dyDescent="0.3">
      <c r="A473" s="116" t="s">
        <v>98</v>
      </c>
      <c r="B473" s="394">
        <v>3000002748</v>
      </c>
      <c r="C473" s="117">
        <v>45382</v>
      </c>
      <c r="D473" s="116" t="s">
        <v>85</v>
      </c>
      <c r="E473" s="111" t="s">
        <v>33</v>
      </c>
      <c r="F473" s="118"/>
      <c r="G473" s="116"/>
      <c r="H473" s="141">
        <v>1</v>
      </c>
      <c r="I473" s="142">
        <v>49201.440000000002</v>
      </c>
      <c r="J473" s="130">
        <f t="shared" si="71"/>
        <v>49201.440000000002</v>
      </c>
      <c r="K473" s="130">
        <f t="shared" si="72"/>
        <v>59041.728000000003</v>
      </c>
      <c r="L473" s="129">
        <v>59041.73</v>
      </c>
      <c r="M473" s="152">
        <v>45387</v>
      </c>
      <c r="N473" s="130">
        <f>+Table6[[#This Row],[стойност с ДДС]]-Table6[[#This Row],[плащане]]</f>
        <v>-2.0000000004074536E-3</v>
      </c>
      <c r="O473" s="208">
        <v>45387</v>
      </c>
    </row>
    <row r="474" spans="1:15" x14ac:dyDescent="0.3">
      <c r="A474" s="116" t="s">
        <v>98</v>
      </c>
      <c r="B474" s="394">
        <v>3000002749</v>
      </c>
      <c r="C474" s="117">
        <v>45382</v>
      </c>
      <c r="D474" s="116"/>
      <c r="E474" s="111" t="s">
        <v>33</v>
      </c>
      <c r="F474" s="118"/>
      <c r="G474" s="116"/>
      <c r="H474" s="141">
        <v>-1</v>
      </c>
      <c r="I474" s="142">
        <v>38100.36</v>
      </c>
      <c r="J474" s="130">
        <f t="shared" si="71"/>
        <v>-38100.36</v>
      </c>
      <c r="K474" s="130">
        <f t="shared" si="72"/>
        <v>-45720.432000000001</v>
      </c>
      <c r="L474" s="129">
        <v>-45720.43</v>
      </c>
      <c r="M474" s="152">
        <v>45385</v>
      </c>
      <c r="N474" s="130">
        <f>+Table6[[#This Row],[стойност с ДДС]]-Table6[[#This Row],[плащане]]</f>
        <v>-2.0000000004074536E-3</v>
      </c>
      <c r="O474" s="208">
        <v>45387</v>
      </c>
    </row>
    <row r="475" spans="1:15" x14ac:dyDescent="0.3">
      <c r="A475" s="97" t="s">
        <v>98</v>
      </c>
      <c r="B475" s="393">
        <v>3000002749</v>
      </c>
      <c r="C475" s="110">
        <v>45382</v>
      </c>
      <c r="D475" s="97"/>
      <c r="E475" s="111" t="s">
        <v>33</v>
      </c>
      <c r="F475" s="101"/>
      <c r="G475" s="97"/>
      <c r="H475" s="113">
        <v>801.94399999999996</v>
      </c>
      <c r="I475" s="114">
        <v>47.51</v>
      </c>
      <c r="J475" s="115">
        <f t="shared" ref="J475:J480" si="73">ROUND(+H475*I475,2)</f>
        <v>38100.36</v>
      </c>
      <c r="K475" s="115">
        <f t="shared" ref="K475:K480" si="74">J475*1.2</f>
        <v>45720.432000000001</v>
      </c>
      <c r="L475" s="104">
        <v>45720.43</v>
      </c>
      <c r="M475" s="152">
        <v>45385</v>
      </c>
      <c r="N475" s="115">
        <f>+Table6[[#This Row],[стойност с ДДС]]-Table6[[#This Row],[плащане]]</f>
        <v>2.0000000004074536E-3</v>
      </c>
      <c r="O475" s="208">
        <v>45387</v>
      </c>
    </row>
    <row r="476" spans="1:15" x14ac:dyDescent="0.3">
      <c r="A476" s="97" t="s">
        <v>98</v>
      </c>
      <c r="B476" s="393">
        <v>3000002749</v>
      </c>
      <c r="C476" s="110">
        <v>45382</v>
      </c>
      <c r="D476" s="97"/>
      <c r="E476" s="145" t="s">
        <v>120</v>
      </c>
      <c r="F476" s="101"/>
      <c r="G476" s="97"/>
      <c r="H476" s="113">
        <v>19.305</v>
      </c>
      <c r="I476" s="114">
        <v>5.7462999999999997</v>
      </c>
      <c r="J476" s="115">
        <f t="shared" si="73"/>
        <v>110.93</v>
      </c>
      <c r="K476" s="115">
        <f t="shared" si="74"/>
        <v>133.11600000000001</v>
      </c>
      <c r="L476" s="104">
        <v>133.12</v>
      </c>
      <c r="M476" s="152">
        <v>45385</v>
      </c>
      <c r="N476" s="115">
        <f>+Table6[[#This Row],[стойност с ДДС]]-Table6[[#This Row],[плащане]]</f>
        <v>-3.9999999999906777E-3</v>
      </c>
      <c r="O476" s="208">
        <v>45387</v>
      </c>
    </row>
    <row r="477" spans="1:15" x14ac:dyDescent="0.3">
      <c r="A477" s="97" t="s">
        <v>98</v>
      </c>
      <c r="B477" s="393">
        <v>3000002749</v>
      </c>
      <c r="C477" s="110">
        <v>45382</v>
      </c>
      <c r="D477" s="97"/>
      <c r="E477" s="145" t="s">
        <v>121</v>
      </c>
      <c r="F477" s="101"/>
      <c r="G477" s="97"/>
      <c r="H477" s="113">
        <v>848.3</v>
      </c>
      <c r="I477" s="114">
        <v>4.5970000000000004</v>
      </c>
      <c r="J477" s="115">
        <f t="shared" si="73"/>
        <v>3899.64</v>
      </c>
      <c r="K477" s="115">
        <f t="shared" si="74"/>
        <v>4679.5679999999993</v>
      </c>
      <c r="L477" s="104">
        <v>4679.57</v>
      </c>
      <c r="M477" s="152">
        <v>45385</v>
      </c>
      <c r="N477" s="115">
        <f>+Table6[[#This Row],[стойност с ДДС]]-Table6[[#This Row],[плащане]]</f>
        <v>-2.0000000004074536E-3</v>
      </c>
      <c r="O477" s="208">
        <v>45387</v>
      </c>
    </row>
    <row r="478" spans="1:15" x14ac:dyDescent="0.3">
      <c r="A478" s="97" t="s">
        <v>98</v>
      </c>
      <c r="B478" s="393">
        <v>3000002749</v>
      </c>
      <c r="C478" s="110">
        <v>45382</v>
      </c>
      <c r="D478" s="97"/>
      <c r="E478" s="145" t="s">
        <v>56</v>
      </c>
      <c r="F478" s="101"/>
      <c r="G478" s="97"/>
      <c r="H478" s="113">
        <v>13.75</v>
      </c>
      <c r="I478" s="114">
        <v>8.3582999999999998</v>
      </c>
      <c r="J478" s="115">
        <f t="shared" si="73"/>
        <v>114.93</v>
      </c>
      <c r="K478" s="115">
        <f t="shared" si="74"/>
        <v>137.916</v>
      </c>
      <c r="L478" s="104">
        <v>137.91999999999999</v>
      </c>
      <c r="M478" s="152">
        <v>45385</v>
      </c>
      <c r="N478" s="115">
        <f>+Table6[[#This Row],[стойност с ДДС]]-Table6[[#This Row],[плащане]]</f>
        <v>-3.9999999999906777E-3</v>
      </c>
      <c r="O478" s="208">
        <v>45387</v>
      </c>
    </row>
    <row r="479" spans="1:15" x14ac:dyDescent="0.3">
      <c r="A479" s="97" t="s">
        <v>98</v>
      </c>
      <c r="B479" s="393">
        <v>3000002749</v>
      </c>
      <c r="C479" s="110">
        <v>45382</v>
      </c>
      <c r="D479" s="97"/>
      <c r="E479" s="111" t="s">
        <v>58</v>
      </c>
      <c r="F479" s="101"/>
      <c r="G479" s="97"/>
      <c r="H479" s="113">
        <v>801.94399999999996</v>
      </c>
      <c r="I479" s="114">
        <v>1.0194000000000001</v>
      </c>
      <c r="J479" s="115">
        <f t="shared" si="73"/>
        <v>817.5</v>
      </c>
      <c r="K479" s="115">
        <f t="shared" si="74"/>
        <v>981</v>
      </c>
      <c r="L479" s="104">
        <v>981</v>
      </c>
      <c r="M479" s="152">
        <v>45385</v>
      </c>
      <c r="N479" s="115">
        <f>+Table6[[#This Row],[стойност с ДДС]]-Table6[[#This Row],[плащане]]</f>
        <v>0</v>
      </c>
      <c r="O479" s="208">
        <v>45387</v>
      </c>
    </row>
    <row r="480" spans="1:15" x14ac:dyDescent="0.3">
      <c r="A480" s="116" t="s">
        <v>98</v>
      </c>
      <c r="B480" s="394">
        <v>3000002749</v>
      </c>
      <c r="C480" s="117">
        <v>45382</v>
      </c>
      <c r="D480" s="116"/>
      <c r="E480" s="116" t="s">
        <v>59</v>
      </c>
      <c r="F480" s="118"/>
      <c r="G480" s="116"/>
      <c r="H480" s="141">
        <v>2886.998</v>
      </c>
      <c r="I480" s="142">
        <v>0.6</v>
      </c>
      <c r="J480" s="130">
        <f t="shared" si="73"/>
        <v>1732.2</v>
      </c>
      <c r="K480" s="130">
        <f t="shared" si="74"/>
        <v>2078.64</v>
      </c>
      <c r="L480" s="129">
        <v>2078.64</v>
      </c>
      <c r="M480" s="152">
        <v>45385</v>
      </c>
      <c r="N480" s="130">
        <f>+Table6[[#This Row],[стойност с ДДС]]-Table6[[#This Row],[плащане]]</f>
        <v>0</v>
      </c>
      <c r="O480" s="208">
        <v>45387</v>
      </c>
    </row>
    <row r="481" spans="1:15" x14ac:dyDescent="0.3">
      <c r="A481" s="116" t="s">
        <v>82</v>
      </c>
      <c r="B481" s="394">
        <v>3000002750</v>
      </c>
      <c r="C481" s="117">
        <v>45382</v>
      </c>
      <c r="D481" s="116" t="s">
        <v>85</v>
      </c>
      <c r="E481" s="111" t="s">
        <v>33</v>
      </c>
      <c r="F481" s="118"/>
      <c r="G481" s="116"/>
      <c r="H481" s="141">
        <v>1</v>
      </c>
      <c r="I481" s="142">
        <v>7662.18</v>
      </c>
      <c r="J481" s="130">
        <f>ROUND(+H481*I481,2)</f>
        <v>7662.18</v>
      </c>
      <c r="K481" s="130">
        <f>J481*1.2</f>
        <v>9194.616</v>
      </c>
      <c r="L481" s="129">
        <v>9194.6200000000008</v>
      </c>
      <c r="M481" s="152">
        <v>45385</v>
      </c>
      <c r="N481" s="130">
        <f>+Table6[[#This Row],[стойност с ДДС]]-Table6[[#This Row],[плащане]]</f>
        <v>-4.0000000008149073E-3</v>
      </c>
      <c r="O481" s="208">
        <v>45387</v>
      </c>
    </row>
    <row r="482" spans="1:15" x14ac:dyDescent="0.3">
      <c r="A482" s="116" t="s">
        <v>82</v>
      </c>
      <c r="B482" s="394">
        <v>3000002751</v>
      </c>
      <c r="C482" s="117">
        <v>45382</v>
      </c>
      <c r="D482" s="116"/>
      <c r="E482" s="111" t="s">
        <v>33</v>
      </c>
      <c r="F482" s="118"/>
      <c r="G482" s="116"/>
      <c r="H482" s="141">
        <v>-1</v>
      </c>
      <c r="I482" s="142">
        <v>30867.79</v>
      </c>
      <c r="J482" s="130">
        <f>ROUND(+H482*I482,2)</f>
        <v>-30867.79</v>
      </c>
      <c r="K482" s="130">
        <f>J482*1.2</f>
        <v>-37041.347999999998</v>
      </c>
      <c r="L482" s="129">
        <v>-37041.35</v>
      </c>
      <c r="M482" s="152">
        <v>45384</v>
      </c>
      <c r="N482" s="130">
        <f>+Table6[[#This Row],[стойност с ДДС]]-Table6[[#This Row],[плащане]]</f>
        <v>2.0000000004074536E-3</v>
      </c>
      <c r="O482" s="208">
        <v>45387</v>
      </c>
    </row>
    <row r="483" spans="1:15" x14ac:dyDescent="0.3">
      <c r="A483" s="116" t="s">
        <v>82</v>
      </c>
      <c r="B483" s="394">
        <v>3000002751</v>
      </c>
      <c r="C483" s="117">
        <v>45382</v>
      </c>
      <c r="D483" s="97"/>
      <c r="E483" s="111" t="s">
        <v>33</v>
      </c>
      <c r="F483" s="101"/>
      <c r="G483" s="97"/>
      <c r="H483" s="113">
        <v>-1</v>
      </c>
      <c r="I483" s="114">
        <v>292.36</v>
      </c>
      <c r="J483" s="115">
        <f t="shared" ref="J483:J485" si="75">ROUND(+H483*I483,2)</f>
        <v>-292.36</v>
      </c>
      <c r="K483" s="115">
        <f t="shared" ref="K483:K485" si="76">J483*1.2</f>
        <v>-350.83199999999999</v>
      </c>
      <c r="L483" s="104">
        <v>-350.83</v>
      </c>
      <c r="M483" s="152">
        <v>45384</v>
      </c>
      <c r="N483" s="115">
        <f>+Table6[[#This Row],[стойност с ДДС]]-Table6[[#This Row],[плащане]]</f>
        <v>-2.0000000000095497E-3</v>
      </c>
      <c r="O483" s="208">
        <v>45387</v>
      </c>
    </row>
    <row r="484" spans="1:15" x14ac:dyDescent="0.3">
      <c r="A484" s="116" t="s">
        <v>82</v>
      </c>
      <c r="B484" s="394">
        <v>3000002751</v>
      </c>
      <c r="C484" s="117">
        <v>45382</v>
      </c>
      <c r="D484" s="97"/>
      <c r="E484" s="111" t="s">
        <v>33</v>
      </c>
      <c r="F484" s="101"/>
      <c r="G484" s="97"/>
      <c r="H484" s="113">
        <v>-1</v>
      </c>
      <c r="I484" s="114">
        <v>305.75</v>
      </c>
      <c r="J484" s="115">
        <f t="shared" si="75"/>
        <v>-305.75</v>
      </c>
      <c r="K484" s="115">
        <f t="shared" si="76"/>
        <v>-366.9</v>
      </c>
      <c r="L484" s="104">
        <v>-366.9</v>
      </c>
      <c r="M484" s="152">
        <v>45384</v>
      </c>
      <c r="N484" s="115">
        <f>+Table6[[#This Row],[стойност с ДДС]]-Table6[[#This Row],[плащане]]</f>
        <v>0</v>
      </c>
      <c r="O484" s="208">
        <v>45387</v>
      </c>
    </row>
    <row r="485" spans="1:15" x14ac:dyDescent="0.3">
      <c r="A485" s="116" t="s">
        <v>82</v>
      </c>
      <c r="B485" s="394">
        <v>3000002751</v>
      </c>
      <c r="C485" s="117">
        <v>45382</v>
      </c>
      <c r="D485" s="97"/>
      <c r="E485" s="111" t="s">
        <v>33</v>
      </c>
      <c r="F485" s="101"/>
      <c r="G485" s="97"/>
      <c r="H485" s="113">
        <v>584.72799999999995</v>
      </c>
      <c r="I485" s="114">
        <v>52.79</v>
      </c>
      <c r="J485" s="115">
        <f t="shared" si="75"/>
        <v>30867.79</v>
      </c>
      <c r="K485" s="115">
        <f t="shared" si="76"/>
        <v>37041.347999999998</v>
      </c>
      <c r="L485" s="104">
        <v>37041.35</v>
      </c>
      <c r="M485" s="152">
        <v>45384</v>
      </c>
      <c r="N485" s="115">
        <f>+Table6[[#This Row],[стойност с ДДС]]-Table6[[#This Row],[плащане]]</f>
        <v>-2.0000000004074536E-3</v>
      </c>
      <c r="O485" s="208">
        <v>45387</v>
      </c>
    </row>
    <row r="486" spans="1:15" x14ac:dyDescent="0.3">
      <c r="A486" s="116" t="s">
        <v>82</v>
      </c>
      <c r="B486" s="394">
        <v>3000002751</v>
      </c>
      <c r="C486" s="117">
        <v>45382</v>
      </c>
      <c r="D486" s="97"/>
      <c r="E486" s="145" t="s">
        <v>56</v>
      </c>
      <c r="F486" s="101"/>
      <c r="G486" s="97"/>
      <c r="H486" s="113">
        <v>5.133</v>
      </c>
      <c r="I486" s="114">
        <v>3.3016999999999999</v>
      </c>
      <c r="J486" s="115">
        <f t="shared" ref="J486:J488" si="77">ROUND(+H486*I486,2)</f>
        <v>16.95</v>
      </c>
      <c r="K486" s="115">
        <f t="shared" ref="K486:K488" si="78">J486*1.2</f>
        <v>20.34</v>
      </c>
      <c r="L486" s="104">
        <v>20.34</v>
      </c>
      <c r="M486" s="152">
        <v>45384</v>
      </c>
      <c r="N486" s="115">
        <f>+Table6[[#This Row],[стойност с ДДС]]-Table6[[#This Row],[плащане]]</f>
        <v>0</v>
      </c>
      <c r="O486" s="208">
        <v>45387</v>
      </c>
    </row>
    <row r="487" spans="1:15" x14ac:dyDescent="0.3">
      <c r="A487" s="116" t="s">
        <v>82</v>
      </c>
      <c r="B487" s="394">
        <v>3000002751</v>
      </c>
      <c r="C487" s="117">
        <v>45382</v>
      </c>
      <c r="D487" s="97"/>
      <c r="E487" s="111" t="s">
        <v>58</v>
      </c>
      <c r="F487" s="101"/>
      <c r="G487" s="97"/>
      <c r="H487" s="113">
        <v>584.72799999999995</v>
      </c>
      <c r="I487" s="114">
        <v>0.52290000000000003</v>
      </c>
      <c r="J487" s="115">
        <f t="shared" si="77"/>
        <v>305.75</v>
      </c>
      <c r="K487" s="115">
        <f t="shared" si="78"/>
        <v>366.9</v>
      </c>
      <c r="L487" s="104">
        <v>366.9</v>
      </c>
      <c r="M487" s="152">
        <v>45384</v>
      </c>
      <c r="N487" s="115">
        <f>+Table6[[#This Row],[стойност с ДДС]]-Table6[[#This Row],[плащане]]</f>
        <v>0</v>
      </c>
      <c r="O487" s="208">
        <v>45387</v>
      </c>
    </row>
    <row r="488" spans="1:15" x14ac:dyDescent="0.3">
      <c r="A488" s="116" t="s">
        <v>82</v>
      </c>
      <c r="B488" s="394">
        <v>3000002751</v>
      </c>
      <c r="C488" s="117">
        <v>45382</v>
      </c>
      <c r="D488" s="97"/>
      <c r="E488" s="111" t="s">
        <v>33</v>
      </c>
      <c r="F488" s="101"/>
      <c r="G488" s="97"/>
      <c r="H488" s="113">
        <v>584.72799999999995</v>
      </c>
      <c r="I488" s="114">
        <v>0.5</v>
      </c>
      <c r="J488" s="115">
        <f t="shared" si="77"/>
        <v>292.36</v>
      </c>
      <c r="K488" s="115">
        <f t="shared" si="78"/>
        <v>350.83199999999999</v>
      </c>
      <c r="L488" s="104">
        <v>350.83</v>
      </c>
      <c r="M488" s="152">
        <v>45384</v>
      </c>
      <c r="N488" s="115">
        <f>+Table6[[#This Row],[стойност с ДДС]]-Table6[[#This Row],[плащане]]</f>
        <v>2.0000000000095497E-3</v>
      </c>
      <c r="O488" s="208">
        <v>45387</v>
      </c>
    </row>
    <row r="489" spans="1:15" x14ac:dyDescent="0.3">
      <c r="A489" s="116" t="s">
        <v>82</v>
      </c>
      <c r="B489" s="394">
        <v>3000002751</v>
      </c>
      <c r="C489" s="117">
        <v>45382</v>
      </c>
      <c r="D489" s="97"/>
      <c r="E489" s="116" t="s">
        <v>59</v>
      </c>
      <c r="F489" s="118"/>
      <c r="G489" s="116"/>
      <c r="H489" s="141">
        <v>2105.02</v>
      </c>
      <c r="I489" s="142">
        <v>0.6</v>
      </c>
      <c r="J489" s="130">
        <f>ROUND(+H489*I489,2)</f>
        <v>1263.01</v>
      </c>
      <c r="K489" s="130">
        <f>J489*1.2</f>
        <v>1515.6119999999999</v>
      </c>
      <c r="L489" s="129">
        <v>1515.61</v>
      </c>
      <c r="M489" s="152">
        <v>45384</v>
      </c>
      <c r="N489" s="130">
        <f>+Table6[[#This Row],[стойност с ДДС]]-Table6[[#This Row],[плащане]]</f>
        <v>1.9999999999527063E-3</v>
      </c>
      <c r="O489" s="208">
        <v>45387</v>
      </c>
    </row>
    <row r="490" spans="1:15" x14ac:dyDescent="0.3">
      <c r="A490" s="116" t="s">
        <v>49</v>
      </c>
      <c r="B490" s="394">
        <v>3000002752</v>
      </c>
      <c r="C490" s="117">
        <v>45382</v>
      </c>
      <c r="D490" s="116" t="s">
        <v>85</v>
      </c>
      <c r="E490" s="111" t="s">
        <v>33</v>
      </c>
      <c r="F490" s="118"/>
      <c r="G490" s="116"/>
      <c r="H490" s="141">
        <v>1</v>
      </c>
      <c r="I490" s="142">
        <v>848.14</v>
      </c>
      <c r="J490" s="130">
        <f>ROUND(+H490*I490,2)</f>
        <v>848.14</v>
      </c>
      <c r="K490" s="130">
        <f>J490*1.2</f>
        <v>1017.7679999999999</v>
      </c>
      <c r="L490" s="129">
        <v>1017.77</v>
      </c>
      <c r="M490" s="152">
        <v>45386</v>
      </c>
      <c r="N490" s="130">
        <f>+Table6[[#This Row],[стойност с ДДС]]-Table6[[#This Row],[плащане]]</f>
        <v>-2.0000000000663931E-3</v>
      </c>
      <c r="O490" s="208">
        <v>45387</v>
      </c>
    </row>
    <row r="491" spans="1:15" x14ac:dyDescent="0.3">
      <c r="A491" s="116" t="s">
        <v>49</v>
      </c>
      <c r="B491" s="394">
        <v>3000002753</v>
      </c>
      <c r="C491" s="117">
        <v>45382</v>
      </c>
      <c r="D491" s="116"/>
      <c r="E491" s="111" t="s">
        <v>33</v>
      </c>
      <c r="F491" s="118"/>
      <c r="G491" s="116"/>
      <c r="H491" s="141">
        <v>-1</v>
      </c>
      <c r="I491" s="142">
        <v>2360.52</v>
      </c>
      <c r="J491" s="130">
        <f>ROUND(+H491*I491,2)</f>
        <v>-2360.52</v>
      </c>
      <c r="K491" s="130">
        <f>J491*1.2</f>
        <v>-2832.6239999999998</v>
      </c>
      <c r="L491" s="129">
        <v>-2832.62</v>
      </c>
      <c r="M491" s="152">
        <v>45385</v>
      </c>
      <c r="N491" s="130">
        <f>+Table6[[#This Row],[стойност с ДДС]]-Table6[[#This Row],[плащане]]</f>
        <v>-3.9999999999054126E-3</v>
      </c>
      <c r="O491" s="208">
        <v>45387</v>
      </c>
    </row>
    <row r="492" spans="1:15" x14ac:dyDescent="0.3">
      <c r="A492" s="116" t="s">
        <v>49</v>
      </c>
      <c r="B492" s="394">
        <v>3000002754</v>
      </c>
      <c r="C492" s="117">
        <v>45382</v>
      </c>
      <c r="D492" s="97"/>
      <c r="E492" s="111" t="s">
        <v>33</v>
      </c>
      <c r="F492" s="101"/>
      <c r="G492" s="97"/>
      <c r="H492" s="113">
        <v>43.082999999999998</v>
      </c>
      <c r="I492" s="114">
        <v>54.79</v>
      </c>
      <c r="J492" s="115">
        <f t="shared" ref="J492:J495" si="79">ROUND(+H492*I492,2)</f>
        <v>2360.52</v>
      </c>
      <c r="K492" s="115">
        <f t="shared" ref="K492:K495" si="80">J492*1.2</f>
        <v>2832.6239999999998</v>
      </c>
      <c r="L492" s="104">
        <v>2832.62</v>
      </c>
      <c r="M492" s="107">
        <v>45385</v>
      </c>
      <c r="N492" s="115">
        <f>+Table6[[#This Row],[стойност с ДДС]]-Table6[[#This Row],[плащане]]</f>
        <v>3.9999999999054126E-3</v>
      </c>
      <c r="O492" s="208">
        <v>45387</v>
      </c>
    </row>
    <row r="493" spans="1:15" x14ac:dyDescent="0.3">
      <c r="A493" s="116" t="s">
        <v>49</v>
      </c>
      <c r="B493" s="394">
        <v>3000002755</v>
      </c>
      <c r="C493" s="117">
        <v>45382</v>
      </c>
      <c r="D493" s="97"/>
      <c r="E493" s="145" t="s">
        <v>56</v>
      </c>
      <c r="F493" s="101"/>
      <c r="G493" s="97"/>
      <c r="H493" s="113">
        <v>1.258</v>
      </c>
      <c r="I493" s="114">
        <v>3.3016999999999999</v>
      </c>
      <c r="J493" s="115">
        <f t="shared" si="79"/>
        <v>4.1500000000000004</v>
      </c>
      <c r="K493" s="115">
        <f t="shared" si="80"/>
        <v>4.9800000000000004</v>
      </c>
      <c r="L493" s="104">
        <v>4.9800000000000004</v>
      </c>
      <c r="M493" s="152">
        <v>45384</v>
      </c>
      <c r="N493" s="115">
        <f>+Table6[[#This Row],[стойност с ДДС]]-Table6[[#This Row],[плащане]]</f>
        <v>0</v>
      </c>
      <c r="O493" s="208">
        <v>45387</v>
      </c>
    </row>
    <row r="494" spans="1:15" x14ac:dyDescent="0.3">
      <c r="A494" s="116" t="s">
        <v>49</v>
      </c>
      <c r="B494" s="394">
        <v>3000002756</v>
      </c>
      <c r="C494" s="117">
        <v>45382</v>
      </c>
      <c r="D494" s="97"/>
      <c r="E494" s="111" t="s">
        <v>58</v>
      </c>
      <c r="F494" s="101"/>
      <c r="G494" s="97"/>
      <c r="H494" s="113">
        <v>43.082999999999998</v>
      </c>
      <c r="I494" s="114">
        <v>0.52290000000000003</v>
      </c>
      <c r="J494" s="115">
        <f t="shared" si="79"/>
        <v>22.53</v>
      </c>
      <c r="K494" s="115">
        <f t="shared" si="80"/>
        <v>27.036000000000001</v>
      </c>
      <c r="L494" s="104">
        <v>27.04</v>
      </c>
      <c r="M494" s="152">
        <v>45384</v>
      </c>
      <c r="N494" s="115">
        <f>+Table6[[#This Row],[стойност с ДДС]]-Table6[[#This Row],[плащане]]</f>
        <v>-3.9999999999977831E-3</v>
      </c>
      <c r="O494" s="208">
        <v>45387</v>
      </c>
    </row>
    <row r="495" spans="1:15" x14ac:dyDescent="0.3">
      <c r="A495" s="116" t="s">
        <v>49</v>
      </c>
      <c r="B495" s="394">
        <v>3000002757</v>
      </c>
      <c r="C495" s="117">
        <v>45382</v>
      </c>
      <c r="D495" s="97"/>
      <c r="E495" s="116" t="s">
        <v>59</v>
      </c>
      <c r="F495" s="101"/>
      <c r="G495" s="97"/>
      <c r="H495" s="113">
        <v>155.09899999999999</v>
      </c>
      <c r="I495" s="114">
        <v>0.6</v>
      </c>
      <c r="J495" s="115">
        <f t="shared" si="79"/>
        <v>93.06</v>
      </c>
      <c r="K495" s="115">
        <f t="shared" si="80"/>
        <v>111.672</v>
      </c>
      <c r="L495" s="104">
        <v>111.67</v>
      </c>
      <c r="M495" s="152">
        <v>45384</v>
      </c>
      <c r="N495" s="115">
        <f>+Table6[[#This Row],[стойност с ДДС]]-Table6[[#This Row],[плащане]]</f>
        <v>1.9999999999953388E-3</v>
      </c>
      <c r="O495" s="208">
        <v>45387</v>
      </c>
    </row>
    <row r="496" spans="1:15" x14ac:dyDescent="0.3">
      <c r="A496" s="116" t="s">
        <v>123</v>
      </c>
      <c r="B496" s="394">
        <v>3000002754</v>
      </c>
      <c r="C496" s="117">
        <v>45382</v>
      </c>
      <c r="D496" s="116" t="s">
        <v>85</v>
      </c>
      <c r="E496" s="111" t="s">
        <v>33</v>
      </c>
      <c r="F496" s="118"/>
      <c r="G496" s="116"/>
      <c r="H496" s="141">
        <v>1</v>
      </c>
      <c r="I496" s="142">
        <v>711.21</v>
      </c>
      <c r="J496" s="130">
        <f>ROUND(+H496*I496,2)</f>
        <v>711.21</v>
      </c>
      <c r="K496" s="130">
        <f>J496*1.2</f>
        <v>853.452</v>
      </c>
      <c r="L496" s="129"/>
      <c r="M496" s="152">
        <v>45384</v>
      </c>
      <c r="N496" s="130">
        <f>+Table6[[#This Row],[стойност с ДДС]]-Table6[[#This Row],[плащане]]</f>
        <v>853.452</v>
      </c>
      <c r="O496" s="208">
        <v>45387</v>
      </c>
    </row>
    <row r="497" spans="1:15" x14ac:dyDescent="0.3">
      <c r="A497" s="116" t="s">
        <v>123</v>
      </c>
      <c r="B497" s="394">
        <v>3000002755</v>
      </c>
      <c r="C497" s="117">
        <v>45382</v>
      </c>
      <c r="D497" s="116"/>
      <c r="E497" s="111" t="s">
        <v>33</v>
      </c>
      <c r="F497" s="118"/>
      <c r="G497" s="116"/>
      <c r="H497" s="141">
        <v>-1</v>
      </c>
      <c r="I497" s="142">
        <v>1591.65</v>
      </c>
      <c r="J497" s="130">
        <f>ROUND(+H497*I497,2)</f>
        <v>-1591.65</v>
      </c>
      <c r="K497" s="130">
        <f>J497*1.2</f>
        <v>-1909.98</v>
      </c>
      <c r="L497" s="129">
        <v>1909.98</v>
      </c>
      <c r="M497" s="152">
        <v>45387</v>
      </c>
      <c r="N497" s="130">
        <f>+Table6[[#This Row],[стойност с ДДС]]-Table6[[#This Row],[плащане]]</f>
        <v>-3819.96</v>
      </c>
      <c r="O497" s="208">
        <v>45387</v>
      </c>
    </row>
    <row r="498" spans="1:15" x14ac:dyDescent="0.3">
      <c r="A498" s="116" t="s">
        <v>123</v>
      </c>
      <c r="B498" s="394">
        <v>3000002755</v>
      </c>
      <c r="C498" s="117">
        <v>45382</v>
      </c>
      <c r="D498" s="97"/>
      <c r="E498" s="111" t="s">
        <v>33</v>
      </c>
      <c r="F498" s="101"/>
      <c r="G498" s="97"/>
      <c r="H498" s="113">
        <v>29.05</v>
      </c>
      <c r="I498" s="114">
        <v>54.79</v>
      </c>
      <c r="J498" s="115">
        <f>ROUND(+H498*I498,2)</f>
        <v>1591.65</v>
      </c>
      <c r="K498" s="115">
        <f>J498*1.2</f>
        <v>1909.98</v>
      </c>
      <c r="L498" s="104">
        <v>1909.98</v>
      </c>
      <c r="M498" s="152">
        <v>45387</v>
      </c>
      <c r="N498" s="115">
        <f>+Table6[[#This Row],[стойност с ДДС]]-Table6[[#This Row],[плащане]]</f>
        <v>0</v>
      </c>
      <c r="O498" s="208">
        <v>45387</v>
      </c>
    </row>
    <row r="499" spans="1:15" x14ac:dyDescent="0.3">
      <c r="A499" s="116" t="s">
        <v>123</v>
      </c>
      <c r="B499" s="394">
        <v>3000002755</v>
      </c>
      <c r="C499" s="117">
        <v>45382</v>
      </c>
      <c r="D499" s="97"/>
      <c r="E499" s="111" t="s">
        <v>58</v>
      </c>
      <c r="F499" s="101"/>
      <c r="G499" s="97"/>
      <c r="H499" s="113">
        <v>29.05</v>
      </c>
      <c r="I499" s="114">
        <v>1.0194000000000001</v>
      </c>
      <c r="J499" s="115">
        <f t="shared" ref="J499:J500" si="81">ROUND(+H499*I499,2)</f>
        <v>29.61</v>
      </c>
      <c r="K499" s="115">
        <f t="shared" ref="K499:K500" si="82">J499*1.2</f>
        <v>35.531999999999996</v>
      </c>
      <c r="L499" s="104">
        <v>35.53</v>
      </c>
      <c r="M499" s="152">
        <v>45387</v>
      </c>
      <c r="N499" s="115">
        <f>+Table6[[#This Row],[стойност с ДДС]]-Table6[[#This Row],[плащане]]</f>
        <v>1.9999999999953388E-3</v>
      </c>
      <c r="O499" s="208">
        <v>45387</v>
      </c>
    </row>
    <row r="500" spans="1:15" x14ac:dyDescent="0.3">
      <c r="A500" s="116" t="s">
        <v>123</v>
      </c>
      <c r="B500" s="394">
        <v>3000002755</v>
      </c>
      <c r="C500" s="117">
        <v>45382</v>
      </c>
      <c r="D500" s="97"/>
      <c r="E500" s="116" t="s">
        <v>59</v>
      </c>
      <c r="F500" s="101"/>
      <c r="G500" s="97"/>
      <c r="H500" s="113">
        <v>104.58</v>
      </c>
      <c r="I500" s="114">
        <v>0.6</v>
      </c>
      <c r="J500" s="115">
        <f t="shared" si="81"/>
        <v>62.75</v>
      </c>
      <c r="K500" s="115">
        <f t="shared" si="82"/>
        <v>75.3</v>
      </c>
      <c r="L500" s="104">
        <v>75.3</v>
      </c>
      <c r="M500" s="152">
        <v>45387</v>
      </c>
      <c r="N500" s="115">
        <f>+Table6[[#This Row],[стойност с ДДС]]-Table6[[#This Row],[плащане]]</f>
        <v>0</v>
      </c>
      <c r="O500" s="208">
        <v>45387</v>
      </c>
    </row>
    <row r="501" spans="1:15" x14ac:dyDescent="0.3">
      <c r="A501" s="116" t="s">
        <v>31</v>
      </c>
      <c r="B501" s="394">
        <v>3000002756</v>
      </c>
      <c r="C501" s="117">
        <v>45382</v>
      </c>
      <c r="D501" s="116"/>
      <c r="E501" s="111" t="s">
        <v>33</v>
      </c>
      <c r="F501" s="118"/>
      <c r="G501" s="116"/>
      <c r="H501" s="141">
        <v>9.57</v>
      </c>
      <c r="I501" s="142">
        <v>54</v>
      </c>
      <c r="J501" s="130">
        <f>ROUND(+H501*I501,2)</f>
        <v>516.78</v>
      </c>
      <c r="K501" s="130">
        <f>J501*1.2</f>
        <v>620.13599999999997</v>
      </c>
      <c r="L501" s="129">
        <v>620.14</v>
      </c>
      <c r="M501" s="152">
        <v>45387</v>
      </c>
      <c r="N501" s="130">
        <f>+Table6[[#This Row],[стойност с ДДС]]-Table6[[#This Row],[плащане]]</f>
        <v>-4.0000000000190994E-3</v>
      </c>
      <c r="O501" s="208">
        <v>45387</v>
      </c>
    </row>
    <row r="502" spans="1:15" x14ac:dyDescent="0.3">
      <c r="A502" s="97" t="s">
        <v>31</v>
      </c>
      <c r="B502" s="393">
        <v>3000002756</v>
      </c>
      <c r="C502" s="110">
        <v>45382</v>
      </c>
      <c r="D502" s="97"/>
      <c r="E502" s="111" t="s">
        <v>58</v>
      </c>
      <c r="F502" s="101"/>
      <c r="G502" s="97"/>
      <c r="H502" s="113">
        <v>9.57</v>
      </c>
      <c r="I502" s="114"/>
      <c r="J502" s="115">
        <f t="shared" ref="J502:J503" si="83">ROUND(+H502*I502,2)</f>
        <v>0</v>
      </c>
      <c r="K502" s="115">
        <f t="shared" ref="K502:K503" si="84">J502*1.2</f>
        <v>0</v>
      </c>
      <c r="L502" s="104">
        <v>0</v>
      </c>
      <c r="M502" s="152">
        <v>45387</v>
      </c>
      <c r="N502" s="115">
        <f>+Table6[[#This Row],[стойност с ДДС]]-Table6[[#This Row],[плащане]]</f>
        <v>0</v>
      </c>
      <c r="O502" s="208">
        <v>45387</v>
      </c>
    </row>
    <row r="503" spans="1:15" x14ac:dyDescent="0.3">
      <c r="A503" s="116" t="s">
        <v>31</v>
      </c>
      <c r="B503" s="394">
        <v>3000002756</v>
      </c>
      <c r="C503" s="117">
        <v>45382</v>
      </c>
      <c r="D503" s="116"/>
      <c r="E503" s="116" t="s">
        <v>59</v>
      </c>
      <c r="F503" s="118"/>
      <c r="G503" s="116"/>
      <c r="H503" s="141">
        <v>34.451999999999998</v>
      </c>
      <c r="I503" s="142"/>
      <c r="J503" s="130">
        <f t="shared" si="83"/>
        <v>0</v>
      </c>
      <c r="K503" s="130">
        <f t="shared" si="84"/>
        <v>0</v>
      </c>
      <c r="L503" s="129">
        <v>0</v>
      </c>
      <c r="M503" s="152">
        <v>45387</v>
      </c>
      <c r="N503" s="130">
        <f>+Table6[[#This Row],[стойност с ДДС]]-Table6[[#This Row],[плащане]]</f>
        <v>0</v>
      </c>
      <c r="O503" s="208">
        <v>45387</v>
      </c>
    </row>
    <row r="504" spans="1:15" x14ac:dyDescent="0.3">
      <c r="A504" s="116" t="s">
        <v>75</v>
      </c>
      <c r="B504" s="394">
        <v>3000002757</v>
      </c>
      <c r="C504" s="117">
        <v>45382</v>
      </c>
      <c r="D504" s="116" t="s">
        <v>85</v>
      </c>
      <c r="E504" s="111" t="s">
        <v>33</v>
      </c>
      <c r="F504" s="118"/>
      <c r="G504" s="116"/>
      <c r="H504" s="141">
        <v>1</v>
      </c>
      <c r="I504" s="142">
        <v>36.83</v>
      </c>
      <c r="J504" s="130">
        <f>ROUND(+H504*I504,2)</f>
        <v>36.83</v>
      </c>
      <c r="K504" s="130">
        <f>J504*1.2</f>
        <v>44.195999999999998</v>
      </c>
      <c r="L504" s="129">
        <v>44.2</v>
      </c>
      <c r="M504" s="152">
        <v>45392</v>
      </c>
      <c r="N504" s="130">
        <f>+Table6[[#This Row],[стойност с ДДС]]-Table6[[#This Row],[плащане]]</f>
        <v>-4.0000000000048885E-3</v>
      </c>
      <c r="O504" s="208">
        <v>45387</v>
      </c>
    </row>
    <row r="505" spans="1:15" x14ac:dyDescent="0.3">
      <c r="A505" s="116" t="s">
        <v>75</v>
      </c>
      <c r="B505" s="394">
        <v>3000002758</v>
      </c>
      <c r="C505" s="117">
        <v>45382</v>
      </c>
      <c r="D505" s="116"/>
      <c r="E505" s="111" t="s">
        <v>33</v>
      </c>
      <c r="F505" s="118"/>
      <c r="G505" s="116"/>
      <c r="H505" s="141">
        <v>-1</v>
      </c>
      <c r="I505" s="142">
        <v>47112.33</v>
      </c>
      <c r="J505" s="130">
        <f>ROUND(+H505*I505,2)</f>
        <v>-47112.33</v>
      </c>
      <c r="K505" s="130">
        <f>J505*1.2</f>
        <v>-56534.796000000002</v>
      </c>
      <c r="L505" s="129">
        <v>-56534.8</v>
      </c>
      <c r="M505" s="152">
        <v>45392</v>
      </c>
      <c r="N505" s="130">
        <f>+Table6[[#This Row],[стойност с ДДС]]-Table6[[#This Row],[плащане]]</f>
        <v>4.0000000008149073E-3</v>
      </c>
      <c r="O505" s="208">
        <v>45387</v>
      </c>
    </row>
    <row r="506" spans="1:15" x14ac:dyDescent="0.3">
      <c r="A506" s="116" t="s">
        <v>75</v>
      </c>
      <c r="B506" s="394">
        <v>3000002758</v>
      </c>
      <c r="C506" s="117">
        <v>45382</v>
      </c>
      <c r="D506" s="97"/>
      <c r="E506" s="111" t="s">
        <v>33</v>
      </c>
      <c r="F506" s="101"/>
      <c r="G506" s="97"/>
      <c r="H506" s="113">
        <v>859.87099999999998</v>
      </c>
      <c r="I506" s="114">
        <v>54.79</v>
      </c>
      <c r="J506" s="115">
        <f>ROUND(+H506*I506,2)</f>
        <v>47112.33</v>
      </c>
      <c r="K506" s="115">
        <f>J506*1.2</f>
        <v>56534.796000000002</v>
      </c>
      <c r="L506" s="104">
        <v>56534.8</v>
      </c>
      <c r="M506" s="152">
        <v>45392</v>
      </c>
      <c r="N506" s="115">
        <f>+Table6[[#This Row],[стойност с ДДС]]-Table6[[#This Row],[плащане]]</f>
        <v>-4.0000000008149073E-3</v>
      </c>
      <c r="O506" s="208">
        <v>45387</v>
      </c>
    </row>
    <row r="507" spans="1:15" x14ac:dyDescent="0.3">
      <c r="A507" s="116" t="s">
        <v>75</v>
      </c>
      <c r="B507" s="394">
        <v>3000002758</v>
      </c>
      <c r="C507" s="117">
        <v>45382</v>
      </c>
      <c r="D507" s="97"/>
      <c r="E507" s="111" t="s">
        <v>58</v>
      </c>
      <c r="F507" s="101"/>
      <c r="G507" s="97"/>
      <c r="H507" s="113">
        <v>859.87099999999998</v>
      </c>
      <c r="I507" s="114">
        <v>1.0194000000000001</v>
      </c>
      <c r="J507" s="115">
        <f t="shared" ref="J507:J508" si="85">ROUND(+H507*I507,2)</f>
        <v>876.55</v>
      </c>
      <c r="K507" s="115">
        <f t="shared" ref="K507:K508" si="86">J507*1.2</f>
        <v>1051.8599999999999</v>
      </c>
      <c r="L507" s="104">
        <v>1051.8599999999999</v>
      </c>
      <c r="M507" s="152">
        <v>45392</v>
      </c>
      <c r="N507" s="115">
        <f>+Table6[[#This Row],[стойност с ДДС]]-Table6[[#This Row],[плащане]]</f>
        <v>0</v>
      </c>
      <c r="O507" s="208">
        <v>45387</v>
      </c>
    </row>
    <row r="508" spans="1:15" x14ac:dyDescent="0.3">
      <c r="A508" s="116" t="s">
        <v>75</v>
      </c>
      <c r="B508" s="394">
        <v>3000002758</v>
      </c>
      <c r="C508" s="117">
        <v>45382</v>
      </c>
      <c r="D508" s="97"/>
      <c r="E508" s="116" t="s">
        <v>59</v>
      </c>
      <c r="F508" s="101"/>
      <c r="G508" s="97"/>
      <c r="H508" s="113">
        <v>3095.5360000000001</v>
      </c>
      <c r="I508" s="114">
        <v>0.85</v>
      </c>
      <c r="J508" s="115">
        <f t="shared" si="85"/>
        <v>2631.21</v>
      </c>
      <c r="K508" s="115">
        <f t="shared" si="86"/>
        <v>3157.4519999999998</v>
      </c>
      <c r="L508" s="104">
        <v>31</v>
      </c>
      <c r="M508" s="152">
        <v>45392</v>
      </c>
      <c r="N508" s="115">
        <f>+Table6[[#This Row],[стойност с ДДС]]-Table6[[#This Row],[плащане]]</f>
        <v>3126.4519999999998</v>
      </c>
      <c r="O508" s="208">
        <v>45387</v>
      </c>
    </row>
    <row r="509" spans="1:15" x14ac:dyDescent="0.3">
      <c r="A509" s="116" t="s">
        <v>89</v>
      </c>
      <c r="B509" s="394">
        <v>3000002759</v>
      </c>
      <c r="C509" s="117">
        <v>45382</v>
      </c>
      <c r="D509" s="116"/>
      <c r="E509" s="111" t="s">
        <v>33</v>
      </c>
      <c r="F509" s="118"/>
      <c r="G509" s="116"/>
      <c r="H509" s="141">
        <v>-1</v>
      </c>
      <c r="I509" s="142">
        <v>548.29999999999995</v>
      </c>
      <c r="J509" s="130">
        <f>ROUND(+H509*I509,2)</f>
        <v>-548.29999999999995</v>
      </c>
      <c r="K509" s="130">
        <f>J509*1.2</f>
        <v>-657.95999999999992</v>
      </c>
      <c r="L509" s="129">
        <v>-657.96</v>
      </c>
      <c r="M509" s="152">
        <v>45392</v>
      </c>
      <c r="N509" s="130">
        <f>+Table6[[#This Row],[стойност с ДДС]]-Table6[[#This Row],[плащане]]</f>
        <v>0</v>
      </c>
      <c r="O509" s="208">
        <v>45387</v>
      </c>
    </row>
    <row r="510" spans="1:15" x14ac:dyDescent="0.3">
      <c r="A510" s="116" t="s">
        <v>89</v>
      </c>
      <c r="B510" s="394">
        <v>3000002759</v>
      </c>
      <c r="C510" s="117">
        <v>45382</v>
      </c>
      <c r="D510" s="97"/>
      <c r="E510" s="111" t="s">
        <v>33</v>
      </c>
      <c r="F510" s="101"/>
      <c r="G510" s="97"/>
      <c r="H510" s="113">
        <v>16.379000000000001</v>
      </c>
      <c r="I510" s="114">
        <v>54.79</v>
      </c>
      <c r="J510" s="115">
        <f>ROUND(+H510*I510,2)</f>
        <v>897.41</v>
      </c>
      <c r="K510" s="115">
        <f>J510*1.2</f>
        <v>1076.8919999999998</v>
      </c>
      <c r="L510" s="104">
        <v>1076.8900000000001</v>
      </c>
      <c r="M510" s="152">
        <v>45392</v>
      </c>
      <c r="N510" s="115">
        <f>+Table6[[#This Row],[стойност с ДДС]]-Table6[[#This Row],[плащане]]</f>
        <v>1.9999999997253326E-3</v>
      </c>
      <c r="O510" s="208">
        <v>45387</v>
      </c>
    </row>
    <row r="511" spans="1:15" x14ac:dyDescent="0.3">
      <c r="A511" s="116" t="s">
        <v>89</v>
      </c>
      <c r="B511" s="394">
        <v>3000002759</v>
      </c>
      <c r="C511" s="117">
        <v>45382</v>
      </c>
      <c r="D511" s="97"/>
      <c r="E511" s="139" t="s">
        <v>58</v>
      </c>
      <c r="F511" s="101"/>
      <c r="G511" s="97"/>
      <c r="H511" s="113">
        <v>16.379000000000001</v>
      </c>
      <c r="I511" s="114">
        <v>1.0194000000000001</v>
      </c>
      <c r="J511" s="115">
        <f t="shared" ref="J511:J514" si="87">ROUND(+H511*I511,2)</f>
        <v>16.7</v>
      </c>
      <c r="K511" s="115">
        <f t="shared" ref="K511:K512" si="88">J511*1.2</f>
        <v>20.04</v>
      </c>
      <c r="L511" s="104">
        <v>20.04</v>
      </c>
      <c r="M511" s="152">
        <v>45392</v>
      </c>
      <c r="N511" s="115">
        <f>+Table6[[#This Row],[стойност с ДДС]]-Table6[[#This Row],[плащане]]</f>
        <v>0</v>
      </c>
      <c r="O511" s="208">
        <v>45387</v>
      </c>
    </row>
    <row r="512" spans="1:15" x14ac:dyDescent="0.3">
      <c r="A512" s="116" t="s">
        <v>89</v>
      </c>
      <c r="B512" s="394">
        <v>3000002759</v>
      </c>
      <c r="C512" s="117">
        <v>45382</v>
      </c>
      <c r="D512" s="116"/>
      <c r="E512" s="116" t="s">
        <v>59</v>
      </c>
      <c r="F512" s="118"/>
      <c r="G512" s="116"/>
      <c r="H512" s="141">
        <v>58.963999999999999</v>
      </c>
      <c r="I512" s="142">
        <v>0.6</v>
      </c>
      <c r="J512" s="130">
        <f t="shared" si="87"/>
        <v>35.380000000000003</v>
      </c>
      <c r="K512" s="130">
        <f t="shared" si="88"/>
        <v>42.456000000000003</v>
      </c>
      <c r="L512" s="129">
        <v>42.46</v>
      </c>
      <c r="M512" s="152">
        <v>45392</v>
      </c>
      <c r="N512" s="130">
        <f>+Table6[[#This Row],[стойност с ДДС]]-Table6[[#This Row],[плащане]]</f>
        <v>-3.9999999999977831E-3</v>
      </c>
      <c r="O512" s="208">
        <v>45387</v>
      </c>
    </row>
    <row r="513" spans="1:15" x14ac:dyDescent="0.3">
      <c r="A513" s="116" t="s">
        <v>31</v>
      </c>
      <c r="B513" s="394">
        <v>3000002760</v>
      </c>
      <c r="C513" s="117">
        <v>45382</v>
      </c>
      <c r="D513" s="116" t="s">
        <v>85</v>
      </c>
      <c r="E513" s="111" t="s">
        <v>33</v>
      </c>
      <c r="F513" s="118"/>
      <c r="G513" s="116"/>
      <c r="H513" s="141">
        <v>1</v>
      </c>
      <c r="I513" s="142">
        <v>11496</v>
      </c>
      <c r="J513" s="130">
        <f t="shared" si="87"/>
        <v>11496</v>
      </c>
      <c r="K513" s="130">
        <f t="shared" ref="K513:K523" si="89">J513*1.2</f>
        <v>13795.199999999999</v>
      </c>
      <c r="L513" s="129">
        <v>13795.2</v>
      </c>
      <c r="M513" s="152">
        <v>45392</v>
      </c>
      <c r="N513" s="130">
        <f>+Table6[[#This Row],[стойност с ДДС]]-Table6[[#This Row],[плащане]]</f>
        <v>0</v>
      </c>
      <c r="O513" s="208">
        <v>45387</v>
      </c>
    </row>
    <row r="514" spans="1:15" ht="37.5" x14ac:dyDescent="0.3">
      <c r="A514" s="116" t="s">
        <v>50</v>
      </c>
      <c r="B514" s="394">
        <v>3000002761</v>
      </c>
      <c r="C514" s="117">
        <v>45393</v>
      </c>
      <c r="D514" s="116"/>
      <c r="E514" s="111" t="s">
        <v>53</v>
      </c>
      <c r="F514" s="118"/>
      <c r="G514" s="116"/>
      <c r="H514" s="141">
        <v>210</v>
      </c>
      <c r="I514" s="142">
        <v>63.7316</v>
      </c>
      <c r="J514" s="130">
        <f t="shared" si="87"/>
        <v>13383.64</v>
      </c>
      <c r="K514" s="130">
        <f t="shared" si="89"/>
        <v>16060.367999999999</v>
      </c>
      <c r="L514" s="129">
        <v>16060.367999999999</v>
      </c>
      <c r="M514" s="152">
        <v>45397</v>
      </c>
      <c r="N514" s="130">
        <f>+Table6[[#This Row],[стойност с ДДС]]-Table6[[#This Row],[плащане]]</f>
        <v>0</v>
      </c>
      <c r="O514" s="208">
        <v>45398</v>
      </c>
    </row>
    <row r="515" spans="1:15" x14ac:dyDescent="0.3">
      <c r="A515" s="116" t="s">
        <v>64</v>
      </c>
      <c r="B515" s="394">
        <v>3000002762</v>
      </c>
      <c r="C515" s="117">
        <v>45393</v>
      </c>
      <c r="D515" s="116"/>
      <c r="E515" s="111" t="s">
        <v>76</v>
      </c>
      <c r="F515" s="118"/>
      <c r="G515" s="116"/>
      <c r="H515" s="141">
        <v>50</v>
      </c>
      <c r="I515" s="142">
        <v>63.7316</v>
      </c>
      <c r="J515" s="130">
        <f t="shared" ref="J515:J523" si="90">ROUND(+H515*I515,2)</f>
        <v>3186.58</v>
      </c>
      <c r="K515" s="130">
        <f t="shared" si="89"/>
        <v>3823.8959999999997</v>
      </c>
      <c r="L515" s="129">
        <v>3823.8959999999997</v>
      </c>
      <c r="M515" s="152">
        <v>45397</v>
      </c>
      <c r="N515" s="130">
        <f>+Table6[[#This Row],[стойност с ДДС]]-Table6[[#This Row],[плащане]]</f>
        <v>0</v>
      </c>
      <c r="O515" s="208">
        <v>45398</v>
      </c>
    </row>
    <row r="516" spans="1:15" x14ac:dyDescent="0.3">
      <c r="A516" s="116" t="s">
        <v>64</v>
      </c>
      <c r="B516" s="394">
        <v>3000002762</v>
      </c>
      <c r="C516" s="117">
        <v>45393</v>
      </c>
      <c r="D516" s="116"/>
      <c r="E516" s="111" t="s">
        <v>63</v>
      </c>
      <c r="F516" s="118"/>
      <c r="G516" s="116"/>
      <c r="H516" s="141">
        <v>1</v>
      </c>
      <c r="I516" s="142">
        <v>89.516900000000007</v>
      </c>
      <c r="J516" s="130">
        <f t="shared" si="90"/>
        <v>89.52</v>
      </c>
      <c r="K516" s="130">
        <f t="shared" si="89"/>
        <v>107.42399999999999</v>
      </c>
      <c r="L516" s="129">
        <v>107.42399999999999</v>
      </c>
      <c r="M516" s="152">
        <v>45397</v>
      </c>
      <c r="N516" s="130">
        <f>+Table6[[#This Row],[стойност с ДДС]]-Table6[[#This Row],[плащане]]</f>
        <v>0</v>
      </c>
      <c r="O516" s="208">
        <v>45398</v>
      </c>
    </row>
    <row r="517" spans="1:15" x14ac:dyDescent="0.3">
      <c r="A517" s="116" t="s">
        <v>62</v>
      </c>
      <c r="B517" s="394">
        <v>3000002763</v>
      </c>
      <c r="C517" s="117">
        <v>45393</v>
      </c>
      <c r="D517" s="116"/>
      <c r="E517" s="111" t="s">
        <v>76</v>
      </c>
      <c r="F517" s="118"/>
      <c r="G517" s="116"/>
      <c r="H517" s="141">
        <v>500</v>
      </c>
      <c r="I517" s="142">
        <v>63.7316</v>
      </c>
      <c r="J517" s="130">
        <f t="shared" si="90"/>
        <v>31865.8</v>
      </c>
      <c r="K517" s="130">
        <f t="shared" si="89"/>
        <v>38238.959999999999</v>
      </c>
      <c r="L517" s="129">
        <v>38238.959999999999</v>
      </c>
      <c r="M517" s="152">
        <v>45397</v>
      </c>
      <c r="N517" s="130">
        <f>+Table6[[#This Row],[стойност с ДДС]]-Table6[[#This Row],[плащане]]</f>
        <v>0</v>
      </c>
      <c r="O517" s="208">
        <v>45398</v>
      </c>
    </row>
    <row r="518" spans="1:15" x14ac:dyDescent="0.3">
      <c r="A518" s="116" t="s">
        <v>83</v>
      </c>
      <c r="B518" s="394">
        <v>3000002764</v>
      </c>
      <c r="C518" s="117">
        <v>45393</v>
      </c>
      <c r="D518" s="116"/>
      <c r="E518" s="111" t="s">
        <v>76</v>
      </c>
      <c r="F518" s="118"/>
      <c r="G518" s="116"/>
      <c r="H518" s="141">
        <v>46</v>
      </c>
      <c r="I518" s="142">
        <v>63.7316</v>
      </c>
      <c r="J518" s="130">
        <f t="shared" si="90"/>
        <v>2931.65</v>
      </c>
      <c r="K518" s="130">
        <f t="shared" si="89"/>
        <v>3517.98</v>
      </c>
      <c r="L518" s="129">
        <v>3517.98</v>
      </c>
      <c r="M518" s="152">
        <v>45397</v>
      </c>
      <c r="N518" s="130">
        <f>+Table6[[#This Row],[стойност с ДДС]]-Table6[[#This Row],[плащане]]</f>
        <v>0</v>
      </c>
      <c r="O518" s="208">
        <v>45398</v>
      </c>
    </row>
    <row r="519" spans="1:15" x14ac:dyDescent="0.3">
      <c r="A519" s="116" t="s">
        <v>77</v>
      </c>
      <c r="B519" s="394">
        <v>3000002765</v>
      </c>
      <c r="C519" s="117">
        <v>45393</v>
      </c>
      <c r="D519" s="116"/>
      <c r="E519" s="111" t="s">
        <v>63</v>
      </c>
      <c r="F519" s="118"/>
      <c r="G519" s="116"/>
      <c r="H519" s="141">
        <v>260</v>
      </c>
      <c r="I519" s="142">
        <v>89.516900000000007</v>
      </c>
      <c r="J519" s="130">
        <f t="shared" si="90"/>
        <v>23274.39</v>
      </c>
      <c r="K519" s="130">
        <f t="shared" si="89"/>
        <v>27929.268</v>
      </c>
      <c r="L519" s="129">
        <v>27929.268</v>
      </c>
      <c r="M519" s="152">
        <v>45397</v>
      </c>
      <c r="N519" s="130">
        <f>+Table6[[#This Row],[стойност с ДДС]]-Table6[[#This Row],[плащане]]</f>
        <v>0</v>
      </c>
      <c r="O519" s="208">
        <v>45398</v>
      </c>
    </row>
    <row r="520" spans="1:15" x14ac:dyDescent="0.3">
      <c r="A520" s="116" t="s">
        <v>91</v>
      </c>
      <c r="B520" s="394">
        <v>3000002766</v>
      </c>
      <c r="C520" s="117">
        <v>45393</v>
      </c>
      <c r="D520" s="116"/>
      <c r="E520" s="111" t="s">
        <v>33</v>
      </c>
      <c r="F520" s="118"/>
      <c r="G520" s="116"/>
      <c r="H520" s="141">
        <v>1</v>
      </c>
      <c r="I520" s="142">
        <v>947.7</v>
      </c>
      <c r="J520" s="130">
        <f t="shared" si="90"/>
        <v>947.7</v>
      </c>
      <c r="K520" s="130">
        <f t="shared" si="89"/>
        <v>1137.24</v>
      </c>
      <c r="L520" s="129">
        <v>1137.24</v>
      </c>
      <c r="M520" s="152">
        <v>45397</v>
      </c>
      <c r="N520" s="130">
        <f>+Table6[[#This Row],[стойност с ДДС]]-Table6[[#This Row],[плащане]]</f>
        <v>0</v>
      </c>
      <c r="O520" s="208">
        <v>45398</v>
      </c>
    </row>
    <row r="521" spans="1:15" x14ac:dyDescent="0.3">
      <c r="A521" s="116" t="s">
        <v>69</v>
      </c>
      <c r="B521" s="394">
        <v>3000002767</v>
      </c>
      <c r="C521" s="117">
        <v>45393</v>
      </c>
      <c r="D521" s="116"/>
      <c r="E521" s="111" t="s">
        <v>33</v>
      </c>
      <c r="F521" s="118"/>
      <c r="G521" s="116"/>
      <c r="H521" s="141">
        <v>1</v>
      </c>
      <c r="I521" s="142">
        <v>8739.9</v>
      </c>
      <c r="J521" s="130">
        <f t="shared" si="90"/>
        <v>8739.9</v>
      </c>
      <c r="K521" s="130">
        <f t="shared" si="89"/>
        <v>10487.88</v>
      </c>
      <c r="L521" s="129">
        <v>10487.88</v>
      </c>
      <c r="M521" s="152">
        <v>45397</v>
      </c>
      <c r="N521" s="130">
        <f>+Table6[[#This Row],[стойност с ДДС]]-Table6[[#This Row],[плащане]]</f>
        <v>0</v>
      </c>
      <c r="O521" s="208">
        <v>45398</v>
      </c>
    </row>
    <row r="522" spans="1:15" x14ac:dyDescent="0.3">
      <c r="A522" s="116" t="s">
        <v>69</v>
      </c>
      <c r="B522" s="394">
        <v>3000002767</v>
      </c>
      <c r="C522" s="117">
        <v>45393</v>
      </c>
      <c r="D522" s="116"/>
      <c r="E522" s="111" t="s">
        <v>76</v>
      </c>
      <c r="F522" s="118"/>
      <c r="G522" s="116"/>
      <c r="H522" s="141">
        <v>20</v>
      </c>
      <c r="I522" s="142">
        <v>25.1753</v>
      </c>
      <c r="J522" s="130">
        <f t="shared" si="90"/>
        <v>503.51</v>
      </c>
      <c r="K522" s="130">
        <f t="shared" si="89"/>
        <v>604.21199999999999</v>
      </c>
      <c r="L522" s="129">
        <v>604.21199999999999</v>
      </c>
      <c r="M522" s="152">
        <v>45397</v>
      </c>
      <c r="N522" s="130">
        <f>+Table6[[#This Row],[стойност с ДДС]]-Table6[[#This Row],[плащане]]</f>
        <v>0</v>
      </c>
      <c r="O522" s="208">
        <v>45398</v>
      </c>
    </row>
    <row r="523" spans="1:15" x14ac:dyDescent="0.3">
      <c r="A523" s="116" t="s">
        <v>72</v>
      </c>
      <c r="B523" s="394">
        <v>3000002768</v>
      </c>
      <c r="C523" s="117">
        <v>45393</v>
      </c>
      <c r="D523" s="116"/>
      <c r="E523" s="111" t="s">
        <v>33</v>
      </c>
      <c r="F523" s="118"/>
      <c r="G523" s="116"/>
      <c r="H523" s="141">
        <v>1</v>
      </c>
      <c r="I523" s="142">
        <v>13030.88</v>
      </c>
      <c r="J523" s="130">
        <f t="shared" si="90"/>
        <v>13030.88</v>
      </c>
      <c r="K523" s="130">
        <f t="shared" si="89"/>
        <v>15637.055999999999</v>
      </c>
      <c r="L523" s="129">
        <v>15637.055999999999</v>
      </c>
      <c r="M523" s="152">
        <v>45397</v>
      </c>
      <c r="N523" s="130">
        <f>+Table6[[#This Row],[стойност с ДДС]]-Table6[[#This Row],[плащане]]</f>
        <v>0</v>
      </c>
      <c r="O523" s="208">
        <v>45398</v>
      </c>
    </row>
    <row r="524" spans="1:15" x14ac:dyDescent="0.3">
      <c r="A524" s="97" t="s">
        <v>72</v>
      </c>
      <c r="B524" s="393">
        <v>3000002768</v>
      </c>
      <c r="C524" s="110">
        <v>45393</v>
      </c>
      <c r="D524" s="97"/>
      <c r="E524" s="111" t="s">
        <v>76</v>
      </c>
      <c r="F524" s="101"/>
      <c r="G524" s="97"/>
      <c r="H524" s="113">
        <v>18</v>
      </c>
      <c r="I524" s="114">
        <v>25.1753</v>
      </c>
      <c r="J524" s="115">
        <f t="shared" ref="J524:J525" si="91">ROUND(+H524*I524,2)</f>
        <v>453.16</v>
      </c>
      <c r="K524" s="115">
        <f t="shared" ref="K524:K525" si="92">J524*1.2</f>
        <v>543.79200000000003</v>
      </c>
      <c r="L524" s="104">
        <v>543.79200000000003</v>
      </c>
      <c r="M524" s="152">
        <v>45397</v>
      </c>
      <c r="N524" s="115">
        <f>+Table6[[#This Row],[стойност с ДДС]]-Table6[[#This Row],[плащане]]</f>
        <v>0</v>
      </c>
      <c r="O524" s="208">
        <v>45398</v>
      </c>
    </row>
    <row r="525" spans="1:15" x14ac:dyDescent="0.3">
      <c r="A525" s="116" t="s">
        <v>72</v>
      </c>
      <c r="B525" s="394">
        <v>3000002768</v>
      </c>
      <c r="C525" s="117">
        <v>45393</v>
      </c>
      <c r="D525" s="116"/>
      <c r="E525" s="111" t="s">
        <v>63</v>
      </c>
      <c r="F525" s="118"/>
      <c r="G525" s="116"/>
      <c r="H525" s="141">
        <v>2.5</v>
      </c>
      <c r="I525" s="142">
        <v>35.360999999999997</v>
      </c>
      <c r="J525" s="130">
        <f t="shared" si="91"/>
        <v>88.4</v>
      </c>
      <c r="K525" s="130">
        <f t="shared" si="92"/>
        <v>106.08</v>
      </c>
      <c r="L525" s="129">
        <v>106.08</v>
      </c>
      <c r="M525" s="152">
        <v>45397</v>
      </c>
      <c r="N525" s="130">
        <f>+Table6[[#This Row],[стойност с ДДС]]-Table6[[#This Row],[плащане]]</f>
        <v>0</v>
      </c>
      <c r="O525" s="208">
        <v>45398</v>
      </c>
    </row>
    <row r="526" spans="1:15" x14ac:dyDescent="0.3">
      <c r="A526" s="116" t="s">
        <v>94</v>
      </c>
      <c r="B526" s="394">
        <v>3000002769</v>
      </c>
      <c r="C526" s="117">
        <v>45393</v>
      </c>
      <c r="D526" s="116"/>
      <c r="E526" s="111" t="s">
        <v>33</v>
      </c>
      <c r="F526" s="118"/>
      <c r="G526" s="116"/>
      <c r="H526" s="141">
        <v>1</v>
      </c>
      <c r="I526" s="142">
        <v>138.21</v>
      </c>
      <c r="J526" s="130">
        <f>ROUND(+H526*I526,2)</f>
        <v>138.21</v>
      </c>
      <c r="K526" s="130">
        <f>J526*1.2</f>
        <v>165.852</v>
      </c>
      <c r="L526" s="129">
        <v>165.852</v>
      </c>
      <c r="M526" s="152">
        <v>45397</v>
      </c>
      <c r="N526" s="130">
        <f>+Table6[[#This Row],[стойност с ДДС]]-Table6[[#This Row],[плащане]]</f>
        <v>0</v>
      </c>
      <c r="O526" s="208">
        <v>45398</v>
      </c>
    </row>
    <row r="527" spans="1:15" x14ac:dyDescent="0.3">
      <c r="A527" s="116" t="s">
        <v>94</v>
      </c>
      <c r="B527" s="394">
        <v>3000002769</v>
      </c>
      <c r="C527" s="117">
        <v>45393</v>
      </c>
      <c r="D527" s="116"/>
      <c r="E527" s="145" t="s">
        <v>63</v>
      </c>
      <c r="F527" s="118"/>
      <c r="G527" s="116"/>
      <c r="H527" s="141">
        <v>0.35</v>
      </c>
      <c r="I527" s="142">
        <v>35.360999999999997</v>
      </c>
      <c r="J527" s="130">
        <f>ROUND(+H527*I527,2)</f>
        <v>12.38</v>
      </c>
      <c r="K527" s="130">
        <f>J527*1.2</f>
        <v>14.856</v>
      </c>
      <c r="L527" s="129">
        <v>14.856</v>
      </c>
      <c r="M527" s="152">
        <v>45397</v>
      </c>
      <c r="N527" s="130">
        <f>+Table6[[#This Row],[стойност с ДДС]]-Table6[[#This Row],[плащане]]</f>
        <v>0</v>
      </c>
      <c r="O527" s="208">
        <v>45398</v>
      </c>
    </row>
    <row r="528" spans="1:15" x14ac:dyDescent="0.3">
      <c r="A528" s="116" t="s">
        <v>98</v>
      </c>
      <c r="B528" s="394">
        <v>3000002770</v>
      </c>
      <c r="C528" s="117">
        <v>45393</v>
      </c>
      <c r="D528" s="116"/>
      <c r="E528" s="111" t="s">
        <v>33</v>
      </c>
      <c r="F528" s="118"/>
      <c r="G528" s="116"/>
      <c r="H528" s="141">
        <v>1</v>
      </c>
      <c r="I528" s="142">
        <v>41623.67</v>
      </c>
      <c r="J528" s="130">
        <f>ROUND(+H528*I528,2)</f>
        <v>41623.67</v>
      </c>
      <c r="K528" s="130">
        <f>J528*1.2</f>
        <v>49948.403999999995</v>
      </c>
      <c r="L528" s="129">
        <v>49948.403999999995</v>
      </c>
      <c r="M528" s="152">
        <v>45397</v>
      </c>
      <c r="N528" s="130">
        <f>+Table6[[#This Row],[стойност с ДДС]]-Table6[[#This Row],[плащане]]</f>
        <v>0</v>
      </c>
      <c r="O528" s="208">
        <v>45398</v>
      </c>
    </row>
    <row r="529" spans="1:15" x14ac:dyDescent="0.3">
      <c r="A529" s="116" t="s">
        <v>98</v>
      </c>
      <c r="B529" s="394">
        <v>3000002770</v>
      </c>
      <c r="C529" s="117">
        <v>45393</v>
      </c>
      <c r="D529" s="116"/>
      <c r="E529" s="145" t="s">
        <v>63</v>
      </c>
      <c r="F529" s="118"/>
      <c r="G529" s="116"/>
      <c r="H529" s="141">
        <v>1</v>
      </c>
      <c r="I529" s="142">
        <v>35.360999999999997</v>
      </c>
      <c r="J529" s="130">
        <f>ROUND(+H529*I529,2)</f>
        <v>35.36</v>
      </c>
      <c r="K529" s="130">
        <f>J529*1.2</f>
        <v>42.431999999999995</v>
      </c>
      <c r="L529" s="129">
        <v>42.431999999999995</v>
      </c>
      <c r="M529" s="152">
        <v>45397</v>
      </c>
      <c r="N529" s="130">
        <f>+Table6[[#This Row],[стойност с ДДС]]-Table6[[#This Row],[плащане]]</f>
        <v>0</v>
      </c>
      <c r="O529" s="208">
        <v>45398</v>
      </c>
    </row>
    <row r="530" spans="1:15" x14ac:dyDescent="0.3">
      <c r="A530" s="116" t="s">
        <v>82</v>
      </c>
      <c r="B530" s="394">
        <v>3000002771</v>
      </c>
      <c r="C530" s="117">
        <v>45393</v>
      </c>
      <c r="D530" s="116"/>
      <c r="E530" s="111" t="s">
        <v>33</v>
      </c>
      <c r="F530" s="118"/>
      <c r="G530" s="116"/>
      <c r="H530" s="141">
        <v>1</v>
      </c>
      <c r="I530" s="142">
        <v>11497.55</v>
      </c>
      <c r="J530" s="130">
        <f>ROUND(+H530*I530,2)</f>
        <v>11497.55</v>
      </c>
      <c r="K530" s="130">
        <f>J530*1.2</f>
        <v>13797.06</v>
      </c>
      <c r="L530" s="129">
        <v>13797.06</v>
      </c>
      <c r="M530" s="152">
        <v>45397</v>
      </c>
      <c r="N530" s="130">
        <f>+Table6[[#This Row],[стойност с ДДС]]-Table6[[#This Row],[плащане]]</f>
        <v>0</v>
      </c>
      <c r="O530" s="208">
        <v>45398</v>
      </c>
    </row>
    <row r="531" spans="1:15" x14ac:dyDescent="0.3">
      <c r="A531" s="97" t="s">
        <v>82</v>
      </c>
      <c r="B531" s="393">
        <v>3000002771</v>
      </c>
      <c r="C531" s="117">
        <v>45393</v>
      </c>
      <c r="D531" s="97"/>
      <c r="E531" s="111" t="s">
        <v>33</v>
      </c>
      <c r="F531" s="101"/>
      <c r="G531" s="97"/>
      <c r="H531" s="113">
        <v>1</v>
      </c>
      <c r="I531" s="114">
        <v>113.5</v>
      </c>
      <c r="J531" s="115">
        <f t="shared" ref="J531:J534" si="93">ROUND(+H531*I531,2)</f>
        <v>113.5</v>
      </c>
      <c r="K531" s="115">
        <f t="shared" ref="K531:K534" si="94">J531*1.2</f>
        <v>136.19999999999999</v>
      </c>
      <c r="L531" s="104">
        <v>136.19999999999999</v>
      </c>
      <c r="M531" s="152">
        <v>45397</v>
      </c>
      <c r="N531" s="115">
        <f>+Table6[[#This Row],[стойност с ДДС]]-Table6[[#This Row],[плащане]]</f>
        <v>0</v>
      </c>
      <c r="O531" s="208">
        <v>45398</v>
      </c>
    </row>
    <row r="532" spans="1:15" x14ac:dyDescent="0.3">
      <c r="A532" s="97" t="s">
        <v>82</v>
      </c>
      <c r="B532" s="393">
        <v>3000002771</v>
      </c>
      <c r="C532" s="117">
        <v>45393</v>
      </c>
      <c r="D532" s="97"/>
      <c r="E532" s="111" t="s">
        <v>33</v>
      </c>
      <c r="F532" s="101"/>
      <c r="G532" s="97"/>
      <c r="H532" s="113">
        <v>1</v>
      </c>
      <c r="I532" s="114">
        <v>118.7</v>
      </c>
      <c r="J532" s="115">
        <f t="shared" si="93"/>
        <v>118.7</v>
      </c>
      <c r="K532" s="115">
        <f t="shared" si="94"/>
        <v>142.44</v>
      </c>
      <c r="L532" s="104">
        <v>142.44</v>
      </c>
      <c r="M532" s="152">
        <v>45397</v>
      </c>
      <c r="N532" s="115">
        <f>+Table6[[#This Row],[стойност с ДДС]]-Table6[[#This Row],[плащане]]</f>
        <v>0</v>
      </c>
      <c r="O532" s="208">
        <v>45398</v>
      </c>
    </row>
    <row r="533" spans="1:15" x14ac:dyDescent="0.3">
      <c r="A533" s="97" t="s">
        <v>82</v>
      </c>
      <c r="B533" s="393">
        <v>3000002771</v>
      </c>
      <c r="C533" s="117">
        <v>45393</v>
      </c>
      <c r="D533" s="97"/>
      <c r="E533" s="111" t="s">
        <v>76</v>
      </c>
      <c r="F533" s="101"/>
      <c r="G533" s="97"/>
      <c r="H533" s="113">
        <v>90</v>
      </c>
      <c r="I533" s="114">
        <v>0.82769999999999999</v>
      </c>
      <c r="J533" s="115">
        <f t="shared" si="93"/>
        <v>74.489999999999995</v>
      </c>
      <c r="K533" s="115">
        <f t="shared" si="94"/>
        <v>89.387999999999991</v>
      </c>
      <c r="L533" s="104">
        <v>89.387999999999991</v>
      </c>
      <c r="M533" s="152">
        <v>45397</v>
      </c>
      <c r="N533" s="115">
        <f>+Table6[[#This Row],[стойност с ДДС]]-Table6[[#This Row],[плащане]]</f>
        <v>0</v>
      </c>
      <c r="O533" s="208">
        <v>45398</v>
      </c>
    </row>
    <row r="534" spans="1:15" x14ac:dyDescent="0.3">
      <c r="A534" s="116" t="s">
        <v>82</v>
      </c>
      <c r="B534" s="394">
        <v>3000002771</v>
      </c>
      <c r="C534" s="117">
        <v>45393</v>
      </c>
      <c r="D534" s="116"/>
      <c r="E534" s="111" t="s">
        <v>63</v>
      </c>
      <c r="F534" s="118"/>
      <c r="G534" s="116"/>
      <c r="H534" s="141">
        <v>360</v>
      </c>
      <c r="I534" s="142">
        <v>1.1787000000000001</v>
      </c>
      <c r="J534" s="130">
        <f t="shared" si="93"/>
        <v>424.33</v>
      </c>
      <c r="K534" s="130">
        <f t="shared" si="94"/>
        <v>509.19599999999997</v>
      </c>
      <c r="L534" s="129">
        <v>509.19599999999997</v>
      </c>
      <c r="M534" s="152">
        <v>45397</v>
      </c>
      <c r="N534" s="130">
        <f>+Table6[[#This Row],[стойност с ДДС]]-Table6[[#This Row],[плащане]]</f>
        <v>0</v>
      </c>
      <c r="O534" s="208">
        <v>45398</v>
      </c>
    </row>
    <row r="535" spans="1:15" x14ac:dyDescent="0.3">
      <c r="A535" s="116" t="s">
        <v>49</v>
      </c>
      <c r="B535" s="394">
        <v>3000002772</v>
      </c>
      <c r="C535" s="117">
        <v>45393</v>
      </c>
      <c r="D535" s="116"/>
      <c r="E535" s="111" t="s">
        <v>33</v>
      </c>
      <c r="F535" s="118"/>
      <c r="G535" s="116"/>
      <c r="H535" s="141">
        <v>1</v>
      </c>
      <c r="I535" s="142">
        <v>1210.95</v>
      </c>
      <c r="J535" s="130">
        <f t="shared" ref="J535:J542" si="95">ROUND(+H535*I535,2)</f>
        <v>1210.95</v>
      </c>
      <c r="K535" s="130">
        <f t="shared" ref="K535:K542" si="96">J535*1.2</f>
        <v>1453.14</v>
      </c>
      <c r="L535" s="129">
        <v>1453.14</v>
      </c>
      <c r="M535" s="152">
        <v>45397</v>
      </c>
      <c r="N535" s="130">
        <f>+Table6[[#This Row],[стойност с ДДС]]-Table6[[#This Row],[плащане]]</f>
        <v>0</v>
      </c>
      <c r="O535" s="208">
        <v>45398</v>
      </c>
    </row>
    <row r="536" spans="1:15" x14ac:dyDescent="0.3">
      <c r="A536" s="116" t="s">
        <v>49</v>
      </c>
      <c r="B536" s="394">
        <v>3000002772</v>
      </c>
      <c r="C536" s="117">
        <v>45393</v>
      </c>
      <c r="D536" s="116"/>
      <c r="E536" s="145" t="s">
        <v>63</v>
      </c>
      <c r="F536" s="118"/>
      <c r="G536" s="116"/>
      <c r="H536" s="141">
        <v>1.53</v>
      </c>
      <c r="I536" s="142">
        <v>35.360999999999997</v>
      </c>
      <c r="J536" s="130">
        <f t="shared" si="95"/>
        <v>54.1</v>
      </c>
      <c r="K536" s="130">
        <f t="shared" si="96"/>
        <v>64.92</v>
      </c>
      <c r="L536" s="129">
        <v>64.92</v>
      </c>
      <c r="M536" s="152">
        <v>45397</v>
      </c>
      <c r="N536" s="130">
        <f>+Table6[[#This Row],[стойност с ДДС]]-Table6[[#This Row],[плащане]]</f>
        <v>0</v>
      </c>
      <c r="O536" s="208">
        <v>45398</v>
      </c>
    </row>
    <row r="537" spans="1:15" x14ac:dyDescent="0.3">
      <c r="A537" s="116" t="s">
        <v>92</v>
      </c>
      <c r="B537" s="394">
        <v>3000002773</v>
      </c>
      <c r="C537" s="117">
        <v>45393</v>
      </c>
      <c r="D537" s="116"/>
      <c r="E537" s="111" t="s">
        <v>33</v>
      </c>
      <c r="F537" s="118"/>
      <c r="G537" s="116"/>
      <c r="H537" s="141">
        <v>1</v>
      </c>
      <c r="I537" s="142">
        <v>579.15</v>
      </c>
      <c r="J537" s="130">
        <f t="shared" si="95"/>
        <v>579.15</v>
      </c>
      <c r="K537" s="130">
        <f t="shared" si="96"/>
        <v>694.9799999999999</v>
      </c>
      <c r="L537" s="129">
        <v>694.9799999999999</v>
      </c>
      <c r="M537" s="152">
        <v>45397</v>
      </c>
      <c r="N537" s="130">
        <f>+Table6[[#This Row],[стойност с ДДС]]-Table6[[#This Row],[плащане]]</f>
        <v>0</v>
      </c>
      <c r="O537" s="208">
        <v>45398</v>
      </c>
    </row>
    <row r="538" spans="1:15" x14ac:dyDescent="0.3">
      <c r="A538" s="116" t="s">
        <v>101</v>
      </c>
      <c r="B538" s="394">
        <v>3100000502</v>
      </c>
      <c r="C538" s="117">
        <v>45394</v>
      </c>
      <c r="D538" s="116"/>
      <c r="E538" s="118" t="s">
        <v>38</v>
      </c>
      <c r="F538" s="118"/>
      <c r="G538" s="116"/>
      <c r="H538" s="141">
        <v>50</v>
      </c>
      <c r="I538" s="142">
        <v>45.5</v>
      </c>
      <c r="J538" s="130">
        <f t="shared" si="95"/>
        <v>2275</v>
      </c>
      <c r="K538" s="130">
        <f t="shared" si="96"/>
        <v>2730</v>
      </c>
      <c r="L538" s="129">
        <v>2730</v>
      </c>
      <c r="M538" s="152">
        <v>45408</v>
      </c>
      <c r="N538" s="130">
        <f>+Table6[[#This Row],[стойност с ДДС]]-Table6[[#This Row],[плащане]]</f>
        <v>0</v>
      </c>
      <c r="O538" s="208">
        <v>45409</v>
      </c>
    </row>
    <row r="539" spans="1:15" x14ac:dyDescent="0.3">
      <c r="A539" s="116" t="s">
        <v>94</v>
      </c>
      <c r="B539" s="394">
        <v>3000002781</v>
      </c>
      <c r="C539" s="117">
        <v>45404</v>
      </c>
      <c r="D539" s="116"/>
      <c r="E539" s="111" t="s">
        <v>33</v>
      </c>
      <c r="F539" s="118"/>
      <c r="G539" s="116"/>
      <c r="H539" s="141">
        <v>1</v>
      </c>
      <c r="I539" s="142">
        <v>138.21</v>
      </c>
      <c r="J539" s="130">
        <f t="shared" si="95"/>
        <v>138.21</v>
      </c>
      <c r="K539" s="130">
        <f t="shared" si="96"/>
        <v>165.852</v>
      </c>
      <c r="L539" s="129">
        <v>165.852</v>
      </c>
      <c r="M539" s="152">
        <v>45408</v>
      </c>
      <c r="N539" s="130">
        <f>+Table6[[#This Row],[стойност с ДДС]]-Table6[[#This Row],[плащане]]</f>
        <v>0</v>
      </c>
      <c r="O539" s="208">
        <v>45409</v>
      </c>
    </row>
    <row r="540" spans="1:15" x14ac:dyDescent="0.3">
      <c r="A540" s="116" t="s">
        <v>49</v>
      </c>
      <c r="B540" s="394">
        <v>3000002782</v>
      </c>
      <c r="C540" s="117">
        <v>45404</v>
      </c>
      <c r="D540" s="116"/>
      <c r="E540" s="111" t="s">
        <v>33</v>
      </c>
      <c r="F540" s="118"/>
      <c r="G540" s="116"/>
      <c r="H540" s="141">
        <v>1</v>
      </c>
      <c r="I540" s="142">
        <v>1210.95</v>
      </c>
      <c r="J540" s="130">
        <f t="shared" si="95"/>
        <v>1210.95</v>
      </c>
      <c r="K540" s="130">
        <f t="shared" si="96"/>
        <v>1453.14</v>
      </c>
      <c r="L540" s="129">
        <v>1453.14</v>
      </c>
      <c r="M540" s="152">
        <v>45408</v>
      </c>
      <c r="N540" s="130">
        <f>+Table6[[#This Row],[стойност с ДДС]]-Table6[[#This Row],[плащане]]</f>
        <v>0</v>
      </c>
      <c r="O540" s="208">
        <v>45409</v>
      </c>
    </row>
    <row r="541" spans="1:15" x14ac:dyDescent="0.3">
      <c r="A541" s="116" t="s">
        <v>72</v>
      </c>
      <c r="B541" s="394">
        <v>3000002783</v>
      </c>
      <c r="C541" s="117">
        <v>45404</v>
      </c>
      <c r="D541" s="116"/>
      <c r="E541" s="111" t="s">
        <v>33</v>
      </c>
      <c r="F541" s="118"/>
      <c r="G541" s="116"/>
      <c r="H541" s="141">
        <v>1</v>
      </c>
      <c r="I541" s="142">
        <v>13030.88</v>
      </c>
      <c r="J541" s="130">
        <f t="shared" si="95"/>
        <v>13030.88</v>
      </c>
      <c r="K541" s="130">
        <f t="shared" si="96"/>
        <v>15637.055999999999</v>
      </c>
      <c r="L541" s="129">
        <v>15637.055999999999</v>
      </c>
      <c r="M541" s="152">
        <v>45408</v>
      </c>
      <c r="N541" s="130">
        <f>+Table6[[#This Row],[стойност с ДДС]]-Table6[[#This Row],[плащане]]</f>
        <v>0</v>
      </c>
      <c r="O541" s="208">
        <v>45409</v>
      </c>
    </row>
    <row r="542" spans="1:15" x14ac:dyDescent="0.3">
      <c r="A542" s="116" t="s">
        <v>82</v>
      </c>
      <c r="B542" s="394">
        <v>3000002784</v>
      </c>
      <c r="C542" s="117">
        <v>45404</v>
      </c>
      <c r="D542" s="116"/>
      <c r="E542" s="111" t="s">
        <v>33</v>
      </c>
      <c r="F542" s="118"/>
      <c r="G542" s="116"/>
      <c r="H542" s="141">
        <v>1</v>
      </c>
      <c r="I542" s="142">
        <v>11497.55</v>
      </c>
      <c r="J542" s="130">
        <f t="shared" si="95"/>
        <v>11497.55</v>
      </c>
      <c r="K542" s="130">
        <f t="shared" si="96"/>
        <v>13797.06</v>
      </c>
      <c r="L542" s="129">
        <v>13797.06</v>
      </c>
      <c r="M542" s="152">
        <v>45408</v>
      </c>
      <c r="N542" s="130">
        <f>+Table6[[#This Row],[стойност с ДДС]]-Table6[[#This Row],[плащане]]</f>
        <v>0</v>
      </c>
      <c r="O542" s="208">
        <v>45409</v>
      </c>
    </row>
    <row r="543" spans="1:15" x14ac:dyDescent="0.3">
      <c r="A543" s="97" t="s">
        <v>82</v>
      </c>
      <c r="B543" s="393">
        <v>3000002784</v>
      </c>
      <c r="C543" s="110">
        <v>45404</v>
      </c>
      <c r="D543" s="97"/>
      <c r="E543" s="139" t="s">
        <v>33</v>
      </c>
      <c r="F543" s="101"/>
      <c r="G543" s="97"/>
      <c r="H543" s="113">
        <v>1</v>
      </c>
      <c r="I543" s="114">
        <v>113.5</v>
      </c>
      <c r="J543" s="115">
        <f t="shared" ref="J543:J544" si="97">ROUND(+H543*I543,2)</f>
        <v>113.5</v>
      </c>
      <c r="K543" s="115">
        <f t="shared" ref="K543:K544" si="98">J543*1.2</f>
        <v>136.19999999999999</v>
      </c>
      <c r="L543" s="104">
        <v>136.19999999999999</v>
      </c>
      <c r="M543" s="152">
        <v>45408</v>
      </c>
      <c r="N543" s="115">
        <f>+Table6[[#This Row],[стойност с ДДС]]-Table6[[#This Row],[плащане]]</f>
        <v>0</v>
      </c>
      <c r="O543" s="208">
        <v>45409</v>
      </c>
    </row>
    <row r="544" spans="1:15" x14ac:dyDescent="0.3">
      <c r="A544" s="116" t="s">
        <v>82</v>
      </c>
      <c r="B544" s="394">
        <v>3000002784</v>
      </c>
      <c r="C544" s="117">
        <v>45404</v>
      </c>
      <c r="D544" s="116"/>
      <c r="E544" s="145" t="s">
        <v>33</v>
      </c>
      <c r="F544" s="118"/>
      <c r="G544" s="116"/>
      <c r="H544" s="141">
        <v>1</v>
      </c>
      <c r="I544" s="142">
        <v>118.7</v>
      </c>
      <c r="J544" s="130">
        <f t="shared" si="97"/>
        <v>118.7</v>
      </c>
      <c r="K544" s="130">
        <f t="shared" si="98"/>
        <v>142.44</v>
      </c>
      <c r="L544" s="129">
        <v>142.44</v>
      </c>
      <c r="M544" s="152">
        <v>45408</v>
      </c>
      <c r="N544" s="130">
        <f>+Table6[[#This Row],[стойност с ДДС]]-Table6[[#This Row],[плащане]]</f>
        <v>0</v>
      </c>
      <c r="O544" s="208">
        <v>45409</v>
      </c>
    </row>
    <row r="545" spans="1:15" x14ac:dyDescent="0.3">
      <c r="A545" s="116" t="s">
        <v>98</v>
      </c>
      <c r="B545" s="394">
        <v>3000002785</v>
      </c>
      <c r="C545" s="117">
        <v>45404</v>
      </c>
      <c r="D545" s="116"/>
      <c r="E545" s="145" t="s">
        <v>33</v>
      </c>
      <c r="F545" s="118"/>
      <c r="G545" s="116"/>
      <c r="H545" s="141">
        <v>1</v>
      </c>
      <c r="I545" s="142">
        <v>41623.67</v>
      </c>
      <c r="J545" s="130">
        <f t="shared" ref="J545:J553" si="99">ROUND(+H545*I545,2)</f>
        <v>41623.67</v>
      </c>
      <c r="K545" s="130">
        <f t="shared" ref="K545:K553" si="100">J545*1.2</f>
        <v>49948.403999999995</v>
      </c>
      <c r="L545" s="129">
        <v>49948.403999999995</v>
      </c>
      <c r="M545" s="152">
        <v>45408</v>
      </c>
      <c r="N545" s="130">
        <f>+Table6[[#This Row],[стойност с ДДС]]-Table6[[#This Row],[плащане]]</f>
        <v>0</v>
      </c>
      <c r="O545" s="208">
        <v>45409</v>
      </c>
    </row>
    <row r="546" spans="1:15" x14ac:dyDescent="0.3">
      <c r="A546" s="116" t="s">
        <v>92</v>
      </c>
      <c r="B546" s="394">
        <v>3000002786</v>
      </c>
      <c r="C546" s="117">
        <v>45404</v>
      </c>
      <c r="D546" s="116"/>
      <c r="E546" s="145" t="s">
        <v>33</v>
      </c>
      <c r="F546" s="118"/>
      <c r="G546" s="116"/>
      <c r="H546" s="141">
        <v>1</v>
      </c>
      <c r="I546" s="142">
        <v>579.15</v>
      </c>
      <c r="J546" s="130">
        <f t="shared" si="99"/>
        <v>579.15</v>
      </c>
      <c r="K546" s="130">
        <f t="shared" si="100"/>
        <v>694.9799999999999</v>
      </c>
      <c r="L546" s="129">
        <v>694.9799999999999</v>
      </c>
      <c r="M546" s="152">
        <v>45408</v>
      </c>
      <c r="N546" s="130">
        <f>+Table6[[#This Row],[стойност с ДДС]]-Table6[[#This Row],[плащане]]</f>
        <v>0</v>
      </c>
      <c r="O546" s="208">
        <v>45409</v>
      </c>
    </row>
    <row r="547" spans="1:15" ht="37.5" x14ac:dyDescent="0.3">
      <c r="A547" s="116" t="s">
        <v>50</v>
      </c>
      <c r="B547" s="394">
        <v>3000002774</v>
      </c>
      <c r="C547" s="117">
        <v>45404</v>
      </c>
      <c r="D547" s="116"/>
      <c r="E547" s="111" t="s">
        <v>53</v>
      </c>
      <c r="F547" s="118"/>
      <c r="G547" s="116"/>
      <c r="H547" s="141">
        <v>1078.837</v>
      </c>
      <c r="I547" s="142">
        <v>58.84</v>
      </c>
      <c r="J547" s="130">
        <f t="shared" si="99"/>
        <v>63478.77</v>
      </c>
      <c r="K547" s="130">
        <f t="shared" si="100"/>
        <v>76174.52399999999</v>
      </c>
      <c r="L547" s="129">
        <v>76174.52399999999</v>
      </c>
      <c r="M547" s="152">
        <v>45408</v>
      </c>
      <c r="N547" s="130">
        <f>+Table6[[#This Row],[стойност с ДДС]]-Table6[[#This Row],[плащане]]</f>
        <v>0</v>
      </c>
      <c r="O547" s="208">
        <v>45409</v>
      </c>
    </row>
    <row r="548" spans="1:15" ht="37.5" x14ac:dyDescent="0.3">
      <c r="A548" s="116" t="s">
        <v>62</v>
      </c>
      <c r="B548" s="394">
        <v>3000002775</v>
      </c>
      <c r="C548" s="117">
        <v>45404</v>
      </c>
      <c r="D548" s="116"/>
      <c r="E548" s="111" t="s">
        <v>53</v>
      </c>
      <c r="F548" s="118"/>
      <c r="G548" s="116"/>
      <c r="H548" s="141">
        <v>12575.554</v>
      </c>
      <c r="I548" s="142">
        <v>58.84</v>
      </c>
      <c r="J548" s="130">
        <f t="shared" si="99"/>
        <v>739945.6</v>
      </c>
      <c r="K548" s="130">
        <f t="shared" si="100"/>
        <v>887934.72</v>
      </c>
      <c r="L548" s="129">
        <v>887934.72</v>
      </c>
      <c r="M548" s="152">
        <v>45408</v>
      </c>
      <c r="N548" s="130">
        <f>+Table6[[#This Row],[стойност с ДДС]]-Table6[[#This Row],[плащане]]</f>
        <v>0</v>
      </c>
      <c r="O548" s="208">
        <v>45409</v>
      </c>
    </row>
    <row r="549" spans="1:15" ht="37.5" x14ac:dyDescent="0.3">
      <c r="A549" s="97" t="s">
        <v>67</v>
      </c>
      <c r="B549" s="393">
        <v>3000002776</v>
      </c>
      <c r="C549" s="110">
        <v>45404</v>
      </c>
      <c r="D549" s="97"/>
      <c r="E549" s="111" t="s">
        <v>53</v>
      </c>
      <c r="F549" s="101"/>
      <c r="G549" s="97"/>
      <c r="H549" s="113">
        <v>457.84</v>
      </c>
      <c r="I549" s="114">
        <v>58.84</v>
      </c>
      <c r="J549" s="115">
        <f t="shared" si="99"/>
        <v>26939.31</v>
      </c>
      <c r="K549" s="115">
        <f t="shared" si="100"/>
        <v>32327.171999999999</v>
      </c>
      <c r="L549" s="104">
        <v>32327.171999999999</v>
      </c>
      <c r="M549" s="152">
        <v>45408</v>
      </c>
      <c r="N549" s="115">
        <f>+Table6[[#This Row],[стойност с ДДС]]-Table6[[#This Row],[плащане]]</f>
        <v>0</v>
      </c>
      <c r="O549" s="208">
        <v>45409</v>
      </c>
    </row>
    <row r="550" spans="1:15" ht="37.5" x14ac:dyDescent="0.3">
      <c r="A550" s="116" t="s">
        <v>77</v>
      </c>
      <c r="B550" s="394">
        <v>3000002777</v>
      </c>
      <c r="C550" s="117">
        <v>45404</v>
      </c>
      <c r="D550" s="116"/>
      <c r="E550" s="111" t="s">
        <v>53</v>
      </c>
      <c r="F550" s="118"/>
      <c r="G550" s="116"/>
      <c r="H550" s="141">
        <v>2459.9160000000002</v>
      </c>
      <c r="I550" s="142">
        <v>58.84</v>
      </c>
      <c r="J550" s="130">
        <f t="shared" si="99"/>
        <v>144741.46</v>
      </c>
      <c r="K550" s="130">
        <f t="shared" si="100"/>
        <v>173689.75199999998</v>
      </c>
      <c r="L550" s="129">
        <v>173689.75199999998</v>
      </c>
      <c r="M550" s="152">
        <v>45408</v>
      </c>
      <c r="N550" s="130">
        <f>+Table6[[#This Row],[стойност с ДДС]]-Table6[[#This Row],[плащане]]</f>
        <v>0</v>
      </c>
      <c r="O550" s="208">
        <v>45409</v>
      </c>
    </row>
    <row r="551" spans="1:15" ht="37.5" x14ac:dyDescent="0.3">
      <c r="A551" s="116" t="s">
        <v>83</v>
      </c>
      <c r="B551" s="394">
        <v>3000002778</v>
      </c>
      <c r="C551" s="117">
        <v>45404</v>
      </c>
      <c r="D551" s="116"/>
      <c r="E551" s="111" t="s">
        <v>53</v>
      </c>
      <c r="F551" s="118"/>
      <c r="G551" s="116"/>
      <c r="H551" s="141">
        <v>782.70299999999997</v>
      </c>
      <c r="I551" s="142">
        <v>58.84</v>
      </c>
      <c r="J551" s="130">
        <f t="shared" si="99"/>
        <v>46054.239999999998</v>
      </c>
      <c r="K551" s="130">
        <f t="shared" si="100"/>
        <v>55265.087999999996</v>
      </c>
      <c r="L551" s="129">
        <v>55265.087999999996</v>
      </c>
      <c r="M551" s="152">
        <v>45408</v>
      </c>
      <c r="N551" s="130">
        <f>+Table6[[#This Row],[стойност с ДДС]]-Table6[[#This Row],[плащане]]</f>
        <v>0</v>
      </c>
      <c r="O551" s="208">
        <v>45409</v>
      </c>
    </row>
    <row r="552" spans="1:15" x14ac:dyDescent="0.3">
      <c r="A552" s="116" t="s">
        <v>91</v>
      </c>
      <c r="B552" s="394">
        <v>3000002779</v>
      </c>
      <c r="C552" s="117">
        <v>45404</v>
      </c>
      <c r="D552" s="116"/>
      <c r="E552" s="139" t="s">
        <v>33</v>
      </c>
      <c r="F552" s="118"/>
      <c r="G552" s="116"/>
      <c r="H552" s="141">
        <v>1</v>
      </c>
      <c r="I552" s="142">
        <v>947.7</v>
      </c>
      <c r="J552" s="130">
        <f t="shared" si="99"/>
        <v>947.7</v>
      </c>
      <c r="K552" s="130">
        <f t="shared" si="100"/>
        <v>1137.24</v>
      </c>
      <c r="L552" s="129">
        <v>1137.24</v>
      </c>
      <c r="M552" s="152">
        <v>45408</v>
      </c>
      <c r="N552" s="130">
        <f>+Table6[[#This Row],[стойност с ДДС]]-Table6[[#This Row],[плащане]]</f>
        <v>0</v>
      </c>
      <c r="O552" s="208">
        <v>45409</v>
      </c>
    </row>
    <row r="553" spans="1:15" x14ac:dyDescent="0.3">
      <c r="A553" s="116" t="s">
        <v>69</v>
      </c>
      <c r="B553" s="394">
        <v>3000002780</v>
      </c>
      <c r="C553" s="117">
        <v>45404</v>
      </c>
      <c r="D553" s="116"/>
      <c r="E553" s="139" t="s">
        <v>33</v>
      </c>
      <c r="F553" s="118"/>
      <c r="G553" s="116"/>
      <c r="H553" s="141">
        <v>1</v>
      </c>
      <c r="I553" s="142">
        <v>8739.9</v>
      </c>
      <c r="J553" s="130">
        <f t="shared" si="99"/>
        <v>8739.9</v>
      </c>
      <c r="K553" s="130">
        <f t="shared" si="100"/>
        <v>10487.88</v>
      </c>
      <c r="L553" s="129">
        <v>10487.88</v>
      </c>
      <c r="M553" s="152">
        <v>45408</v>
      </c>
      <c r="N553" s="130">
        <f>+Table6[[#This Row],[стойност с ДДС]]-Table6[[#This Row],[плащане]]</f>
        <v>0</v>
      </c>
      <c r="O553" s="208">
        <v>45409</v>
      </c>
    </row>
    <row r="554" spans="1:15" x14ac:dyDescent="0.3">
      <c r="A554" s="116" t="s">
        <v>99</v>
      </c>
      <c r="B554" s="394">
        <v>3000002787</v>
      </c>
      <c r="C554" s="117">
        <v>45412</v>
      </c>
      <c r="D554" s="116"/>
      <c r="E554" s="8" t="s">
        <v>119</v>
      </c>
      <c r="F554" s="118"/>
      <c r="G554" s="116"/>
      <c r="H554" s="141">
        <v>166.649</v>
      </c>
      <c r="I554" s="142">
        <v>40.552480000000003</v>
      </c>
      <c r="J554" s="130">
        <f>ROUND(+H554*I554,2)</f>
        <v>6758.03</v>
      </c>
      <c r="K554" s="130">
        <f>J554*1.2</f>
        <v>8109.6359999999995</v>
      </c>
      <c r="L554" s="129">
        <v>8109.6359999999995</v>
      </c>
      <c r="M554" s="152">
        <v>45411</v>
      </c>
      <c r="N554" s="130">
        <f>+Table6[[#This Row],[стойност с ДДС]]-Table6[[#This Row],[плащане]]</f>
        <v>0</v>
      </c>
      <c r="O554" s="208">
        <v>45412</v>
      </c>
    </row>
    <row r="555" spans="1:15" ht="37.5" x14ac:dyDescent="0.3">
      <c r="A555" s="116" t="s">
        <v>50</v>
      </c>
      <c r="B555" s="394">
        <v>3000002789</v>
      </c>
      <c r="C555" s="117">
        <v>45412</v>
      </c>
      <c r="D555" s="116"/>
      <c r="E555" s="111" t="s">
        <v>53</v>
      </c>
      <c r="F555" s="118"/>
      <c r="G555" s="116"/>
      <c r="H555" s="141">
        <v>1</v>
      </c>
      <c r="I555" s="142">
        <v>23809.95</v>
      </c>
      <c r="J555" s="130">
        <f>ROUND(+H555*I555,2)</f>
        <v>23809.95</v>
      </c>
      <c r="K555" s="130">
        <f>J555*1.2</f>
        <v>28571.94</v>
      </c>
      <c r="L555" s="129">
        <v>28571.94</v>
      </c>
      <c r="M555" s="152">
        <v>45411</v>
      </c>
      <c r="N555" s="130">
        <f>+Table6[[#This Row],[стойност с ДДС]]-Table6[[#This Row],[плащане]]</f>
        <v>0</v>
      </c>
      <c r="O555" s="208">
        <v>45412</v>
      </c>
    </row>
    <row r="556" spans="1:15" ht="37.5" x14ac:dyDescent="0.3">
      <c r="A556" s="116" t="s">
        <v>50</v>
      </c>
      <c r="B556" s="394">
        <v>3000002789</v>
      </c>
      <c r="C556" s="117">
        <v>45412</v>
      </c>
      <c r="D556" s="97"/>
      <c r="E556" s="111" t="s">
        <v>53</v>
      </c>
      <c r="F556" s="101"/>
      <c r="G556" s="97"/>
      <c r="H556" s="113">
        <v>1065.58</v>
      </c>
      <c r="I556" s="114">
        <v>58.84</v>
      </c>
      <c r="J556" s="115">
        <f>ROUND(+H556*I556,2)</f>
        <v>62698.73</v>
      </c>
      <c r="K556" s="115">
        <f>J556*1.2</f>
        <v>75238.475999999995</v>
      </c>
      <c r="L556" s="104">
        <v>75238.475999999995</v>
      </c>
      <c r="M556" s="152">
        <v>45411</v>
      </c>
      <c r="N556" s="115">
        <f>+Table6[[#This Row],[стойност с ДДС]]-Table6[[#This Row],[плащане]]</f>
        <v>0</v>
      </c>
      <c r="O556" s="208">
        <v>45412</v>
      </c>
    </row>
    <row r="557" spans="1:15" x14ac:dyDescent="0.3">
      <c r="A557" s="116" t="s">
        <v>50</v>
      </c>
      <c r="B557" s="394">
        <v>3000002789</v>
      </c>
      <c r="C557" s="117">
        <v>45412</v>
      </c>
      <c r="D557" s="97"/>
      <c r="E557" s="8" t="s">
        <v>58</v>
      </c>
      <c r="F557" s="101"/>
      <c r="G557" s="97"/>
      <c r="H557" s="113">
        <v>2144.4169999999999</v>
      </c>
      <c r="I557" s="114">
        <v>1.0194000000000001</v>
      </c>
      <c r="J557" s="115">
        <f t="shared" ref="J557:J558" si="101">ROUND(+H557*I557,2)</f>
        <v>2186.02</v>
      </c>
      <c r="K557" s="115">
        <f t="shared" ref="K557:K558" si="102">J557*1.2</f>
        <v>2623.2239999999997</v>
      </c>
      <c r="L557" s="104">
        <v>2623.2239999999997</v>
      </c>
      <c r="M557" s="152">
        <v>45411</v>
      </c>
      <c r="N557" s="115">
        <f>+Table6[[#This Row],[стойност с ДДС]]-Table6[[#This Row],[плащане]]</f>
        <v>0</v>
      </c>
      <c r="O557" s="208">
        <v>45412</v>
      </c>
    </row>
    <row r="558" spans="1:15" x14ac:dyDescent="0.3">
      <c r="A558" s="116" t="s">
        <v>50</v>
      </c>
      <c r="B558" s="394">
        <v>3000002789</v>
      </c>
      <c r="C558" s="117">
        <v>45412</v>
      </c>
      <c r="D558" s="97"/>
      <c r="E558" s="139" t="s">
        <v>59</v>
      </c>
      <c r="F558" s="101"/>
      <c r="G558" s="97"/>
      <c r="H558" s="113">
        <v>7719.9009999999998</v>
      </c>
      <c r="I558" s="114">
        <v>0</v>
      </c>
      <c r="J558" s="115">
        <f t="shared" si="101"/>
        <v>0</v>
      </c>
      <c r="K558" s="115">
        <f t="shared" si="102"/>
        <v>0</v>
      </c>
      <c r="L558" s="104">
        <v>0</v>
      </c>
      <c r="M558" s="152">
        <v>45411</v>
      </c>
      <c r="N558" s="115">
        <f>+Table6[[#This Row],[стойност с ДДС]]-Table6[[#This Row],[плащане]]</f>
        <v>0</v>
      </c>
      <c r="O558" s="208">
        <v>45412</v>
      </c>
    </row>
    <row r="559" spans="1:15" ht="37.5" x14ac:dyDescent="0.3">
      <c r="A559" s="116" t="s">
        <v>64</v>
      </c>
      <c r="B559" s="394">
        <v>3000002790</v>
      </c>
      <c r="C559" s="117">
        <v>45412</v>
      </c>
      <c r="D559" s="116"/>
      <c r="E559" s="111" t="s">
        <v>53</v>
      </c>
      <c r="F559" s="118"/>
      <c r="G559" s="116"/>
      <c r="H559" s="141">
        <v>1</v>
      </c>
      <c r="I559" s="142">
        <v>15873.3</v>
      </c>
      <c r="J559" s="130">
        <f>ROUND(+H559*I559,2)</f>
        <v>15873.3</v>
      </c>
      <c r="K559" s="130">
        <f>J559*1.2</f>
        <v>19047.96</v>
      </c>
      <c r="L559" s="129">
        <v>19047.96</v>
      </c>
      <c r="M559" s="152">
        <v>45411</v>
      </c>
      <c r="N559" s="130">
        <f>+Table6[[#This Row],[стойност с ДДС]]-Table6[[#This Row],[плащане]]</f>
        <v>0</v>
      </c>
      <c r="O559" s="208">
        <v>45412</v>
      </c>
    </row>
    <row r="560" spans="1:15" ht="37.5" x14ac:dyDescent="0.3">
      <c r="A560" s="116" t="s">
        <v>62</v>
      </c>
      <c r="B560" s="394">
        <v>3000002791</v>
      </c>
      <c r="C560" s="117">
        <v>45412</v>
      </c>
      <c r="D560" s="116"/>
      <c r="E560" s="111" t="s">
        <v>53</v>
      </c>
      <c r="F560" s="118"/>
      <c r="G560" s="116"/>
      <c r="H560" s="141">
        <v>1</v>
      </c>
      <c r="I560" s="142">
        <v>63493.2</v>
      </c>
      <c r="J560" s="130">
        <f>ROUND(+H560*I560,2)</f>
        <v>63493.2</v>
      </c>
      <c r="K560" s="130">
        <f>J560*1.2</f>
        <v>76191.839999999997</v>
      </c>
      <c r="L560" s="129">
        <v>76191.839999999997</v>
      </c>
      <c r="M560" s="152">
        <v>45411</v>
      </c>
      <c r="N560" s="130">
        <f>+Table6[[#This Row],[стойност с ДДС]]-Table6[[#This Row],[плащане]]</f>
        <v>0</v>
      </c>
      <c r="O560" s="208">
        <v>45412</v>
      </c>
    </row>
    <row r="561" spans="1:15" ht="37.5" x14ac:dyDescent="0.3">
      <c r="A561" s="116" t="s">
        <v>62</v>
      </c>
      <c r="B561" s="394">
        <v>3000002791</v>
      </c>
      <c r="C561" s="117">
        <v>45412</v>
      </c>
      <c r="D561" s="97"/>
      <c r="E561" s="111" t="s">
        <v>53</v>
      </c>
      <c r="F561" s="101"/>
      <c r="G561" s="97"/>
      <c r="H561" s="113">
        <v>1178.32</v>
      </c>
      <c r="I561" s="114">
        <v>58.84</v>
      </c>
      <c r="J561" s="115">
        <f>ROUND(+H561*I561,2)</f>
        <v>69332.350000000006</v>
      </c>
      <c r="K561" s="115">
        <f>J561*1.2</f>
        <v>83198.820000000007</v>
      </c>
      <c r="L561" s="104">
        <v>83198.820000000007</v>
      </c>
      <c r="M561" s="152">
        <v>45411</v>
      </c>
      <c r="N561" s="115">
        <f>+Table6[[#This Row],[стойност с ДДС]]-Table6[[#This Row],[плащане]]</f>
        <v>0</v>
      </c>
      <c r="O561" s="208">
        <v>45412</v>
      </c>
    </row>
    <row r="562" spans="1:15" x14ac:dyDescent="0.3">
      <c r="A562" s="116" t="s">
        <v>62</v>
      </c>
      <c r="B562" s="394">
        <v>3000002791</v>
      </c>
      <c r="C562" s="117">
        <v>45412</v>
      </c>
      <c r="D562" s="97"/>
      <c r="E562" s="8" t="s">
        <v>120</v>
      </c>
      <c r="F562" s="101"/>
      <c r="G562" s="97"/>
      <c r="H562" s="113">
        <v>793</v>
      </c>
      <c r="I562" s="114">
        <v>5.3284000000000002</v>
      </c>
      <c r="J562" s="115">
        <f t="shared" ref="J562:J566" si="103">ROUND(+H562*I562,2)</f>
        <v>4225.42</v>
      </c>
      <c r="K562" s="115">
        <f t="shared" ref="K562:K566" si="104">J562*1.2</f>
        <v>5070.5039999999999</v>
      </c>
      <c r="L562" s="104">
        <v>5070.5039999999999</v>
      </c>
      <c r="M562" s="152">
        <v>45411</v>
      </c>
      <c r="N562" s="115">
        <f>+Table6[[#This Row],[стойност с ДДС]]-Table6[[#This Row],[плащане]]</f>
        <v>0</v>
      </c>
      <c r="O562" s="208">
        <v>45412</v>
      </c>
    </row>
    <row r="563" spans="1:15" x14ac:dyDescent="0.3">
      <c r="A563" s="116" t="s">
        <v>62</v>
      </c>
      <c r="B563" s="394">
        <v>3000002791</v>
      </c>
      <c r="C563" s="117">
        <v>45412</v>
      </c>
      <c r="D563" s="97"/>
      <c r="E563" s="8" t="s">
        <v>57</v>
      </c>
      <c r="F563" s="101"/>
      <c r="G563" s="97"/>
      <c r="H563" s="113">
        <v>5980</v>
      </c>
      <c r="I563" s="114">
        <v>4.2628000000000004</v>
      </c>
      <c r="J563" s="115">
        <f t="shared" si="103"/>
        <v>25491.54</v>
      </c>
      <c r="K563" s="115">
        <f t="shared" si="104"/>
        <v>30589.847999999998</v>
      </c>
      <c r="L563" s="104">
        <v>30589.847999999998</v>
      </c>
      <c r="M563" s="152">
        <v>45411</v>
      </c>
      <c r="N563" s="115">
        <f>+Table6[[#This Row],[стойност с ДДС]]-Table6[[#This Row],[плащане]]</f>
        <v>0</v>
      </c>
      <c r="O563" s="208">
        <v>45412</v>
      </c>
    </row>
    <row r="564" spans="1:15" x14ac:dyDescent="0.3">
      <c r="A564" s="116" t="s">
        <v>62</v>
      </c>
      <c r="B564" s="394">
        <v>3000002791</v>
      </c>
      <c r="C564" s="117">
        <v>45412</v>
      </c>
      <c r="D564" s="97"/>
      <c r="E564" s="8" t="s">
        <v>56</v>
      </c>
      <c r="F564" s="101"/>
      <c r="G564" s="97"/>
      <c r="H564" s="113">
        <v>14.07</v>
      </c>
      <c r="I564" s="114">
        <v>8.3582999999999998</v>
      </c>
      <c r="J564" s="115">
        <f t="shared" si="103"/>
        <v>117.6</v>
      </c>
      <c r="K564" s="115">
        <f t="shared" si="104"/>
        <v>141.11999999999998</v>
      </c>
      <c r="L564" s="104">
        <v>141.11999999999998</v>
      </c>
      <c r="M564" s="152">
        <v>45411</v>
      </c>
      <c r="N564" s="115">
        <f>+Table6[[#This Row],[стойност с ДДС]]-Table6[[#This Row],[плащане]]</f>
        <v>0</v>
      </c>
      <c r="O564" s="208">
        <v>45412</v>
      </c>
    </row>
    <row r="565" spans="1:15" x14ac:dyDescent="0.3">
      <c r="A565" s="116" t="s">
        <v>62</v>
      </c>
      <c r="B565" s="394">
        <v>3000002791</v>
      </c>
      <c r="C565" s="117">
        <v>45412</v>
      </c>
      <c r="D565" s="97"/>
      <c r="E565" s="8" t="s">
        <v>58</v>
      </c>
      <c r="F565" s="101"/>
      <c r="G565" s="97"/>
      <c r="H565" s="113">
        <v>13753.874</v>
      </c>
      <c r="I565" s="114">
        <v>1.0194000000000001</v>
      </c>
      <c r="J565" s="115">
        <f t="shared" si="103"/>
        <v>14020.7</v>
      </c>
      <c r="K565" s="115">
        <f t="shared" si="104"/>
        <v>16824.84</v>
      </c>
      <c r="L565" s="104">
        <v>16824.84</v>
      </c>
      <c r="M565" s="152">
        <v>45411</v>
      </c>
      <c r="N565" s="115">
        <f>+Table6[[#This Row],[стойност с ДДС]]-Table6[[#This Row],[плащане]]</f>
        <v>0</v>
      </c>
      <c r="O565" s="208">
        <v>45412</v>
      </c>
    </row>
    <row r="566" spans="1:15" x14ac:dyDescent="0.3">
      <c r="A566" s="116" t="s">
        <v>62</v>
      </c>
      <c r="B566" s="394">
        <v>3000002791</v>
      </c>
      <c r="C566" s="117">
        <v>45412</v>
      </c>
      <c r="D566" s="97"/>
      <c r="E566" s="139" t="s">
        <v>59</v>
      </c>
      <c r="F566" s="101"/>
      <c r="G566" s="97"/>
      <c r="H566" s="113">
        <v>49513.946000000004</v>
      </c>
      <c r="I566" s="114">
        <v>0</v>
      </c>
      <c r="J566" s="115">
        <f t="shared" si="103"/>
        <v>0</v>
      </c>
      <c r="K566" s="115">
        <f t="shared" si="104"/>
        <v>0</v>
      </c>
      <c r="L566" s="104">
        <v>0</v>
      </c>
      <c r="M566" s="152">
        <v>45411</v>
      </c>
      <c r="N566" s="115">
        <f>+Table6[[#This Row],[стойност с ДДС]]-Table6[[#This Row],[плащане]]</f>
        <v>0</v>
      </c>
      <c r="O566" s="208">
        <v>45412</v>
      </c>
    </row>
    <row r="567" spans="1:15" ht="37.5" x14ac:dyDescent="0.3">
      <c r="A567" s="116" t="s">
        <v>67</v>
      </c>
      <c r="B567" s="394">
        <v>3000002792</v>
      </c>
      <c r="C567" s="117">
        <v>45412</v>
      </c>
      <c r="D567" s="116"/>
      <c r="E567" s="111" t="s">
        <v>53</v>
      </c>
      <c r="F567" s="118"/>
      <c r="G567" s="116"/>
      <c r="H567" s="141">
        <v>11.618</v>
      </c>
      <c r="I567" s="142">
        <v>58.84</v>
      </c>
      <c r="J567" s="130">
        <f>ROUND(+H567*I567,2)</f>
        <v>683.6</v>
      </c>
      <c r="K567" s="130">
        <f>J567*1.2</f>
        <v>820.32</v>
      </c>
      <c r="L567" s="129">
        <v>820.32</v>
      </c>
      <c r="M567" s="152">
        <v>45411</v>
      </c>
      <c r="N567" s="130">
        <f>+Table6[[#This Row],[стойност с ДДС]]-Table6[[#This Row],[плащане]]</f>
        <v>0</v>
      </c>
      <c r="O567" s="208">
        <v>45412</v>
      </c>
    </row>
    <row r="568" spans="1:15" x14ac:dyDescent="0.3">
      <c r="A568" s="97" t="s">
        <v>67</v>
      </c>
      <c r="B568" s="393">
        <v>3000002792</v>
      </c>
      <c r="C568" s="110">
        <v>45412</v>
      </c>
      <c r="D568" s="97"/>
      <c r="E568" s="8" t="s">
        <v>108</v>
      </c>
      <c r="F568" s="101"/>
      <c r="G568" s="97"/>
      <c r="H568" s="113">
        <v>1</v>
      </c>
      <c r="I568" s="114">
        <v>795.73</v>
      </c>
      <c r="J568" s="115">
        <f t="shared" ref="J568:J572" si="105">ROUND(+H568*I568,2)</f>
        <v>795.73</v>
      </c>
      <c r="K568" s="115">
        <f t="shared" ref="K568:K572" si="106">J568*1.2</f>
        <v>954.87599999999998</v>
      </c>
      <c r="L568" s="104">
        <v>954.87599999999998</v>
      </c>
      <c r="M568" s="152">
        <v>45411</v>
      </c>
      <c r="N568" s="115">
        <f>+Table6[[#This Row],[стойност с ДДС]]-Table6[[#This Row],[плащане]]</f>
        <v>0</v>
      </c>
      <c r="O568" s="208">
        <v>45412</v>
      </c>
    </row>
    <row r="569" spans="1:15" x14ac:dyDescent="0.3">
      <c r="A569" s="97" t="s">
        <v>67</v>
      </c>
      <c r="B569" s="393">
        <v>3000002792</v>
      </c>
      <c r="C569" s="110">
        <v>45412</v>
      </c>
      <c r="D569" s="97"/>
      <c r="E569" s="8" t="s">
        <v>120</v>
      </c>
      <c r="F569" s="101"/>
      <c r="G569" s="97"/>
      <c r="H569" s="113">
        <v>329</v>
      </c>
      <c r="I569" s="114">
        <v>5.3284000000000002</v>
      </c>
      <c r="J569" s="115">
        <f t="shared" si="105"/>
        <v>1753.04</v>
      </c>
      <c r="K569" s="115">
        <f t="shared" si="106"/>
        <v>2103.6479999999997</v>
      </c>
      <c r="L569" s="104">
        <v>2103.6479999999997</v>
      </c>
      <c r="M569" s="152">
        <v>45411</v>
      </c>
      <c r="N569" s="115">
        <f>+Table6[[#This Row],[стойност с ДДС]]-Table6[[#This Row],[плащане]]</f>
        <v>0</v>
      </c>
      <c r="O569" s="208">
        <v>45412</v>
      </c>
    </row>
    <row r="570" spans="1:15" x14ac:dyDescent="0.3">
      <c r="A570" s="97" t="s">
        <v>67</v>
      </c>
      <c r="B570" s="393">
        <v>3000002792</v>
      </c>
      <c r="C570" s="110">
        <v>45412</v>
      </c>
      <c r="D570" s="97"/>
      <c r="E570" s="8" t="s">
        <v>56</v>
      </c>
      <c r="F570" s="101"/>
      <c r="G570" s="97"/>
      <c r="H570" s="113">
        <v>138.85499999999999</v>
      </c>
      <c r="I570" s="114">
        <v>8.3582999999999998</v>
      </c>
      <c r="J570" s="115">
        <f t="shared" si="105"/>
        <v>1160.5899999999999</v>
      </c>
      <c r="K570" s="115">
        <f t="shared" si="106"/>
        <v>1392.7079999999999</v>
      </c>
      <c r="L570" s="104">
        <v>1392.7079999999999</v>
      </c>
      <c r="M570" s="152">
        <v>45411</v>
      </c>
      <c r="N570" s="115">
        <f>+Table6[[#This Row],[стойност с ДДС]]-Table6[[#This Row],[плащане]]</f>
        <v>0</v>
      </c>
      <c r="O570" s="208">
        <v>45412</v>
      </c>
    </row>
    <row r="571" spans="1:15" x14ac:dyDescent="0.3">
      <c r="A571" s="97" t="s">
        <v>67</v>
      </c>
      <c r="B571" s="393">
        <v>3000002792</v>
      </c>
      <c r="C571" s="110">
        <v>45412</v>
      </c>
      <c r="D571" s="97"/>
      <c r="E571" s="8" t="s">
        <v>58</v>
      </c>
      <c r="F571" s="101"/>
      <c r="G571" s="97"/>
      <c r="H571" s="113">
        <v>469.45800000000003</v>
      </c>
      <c r="I571" s="114">
        <v>1.0194000000000001</v>
      </c>
      <c r="J571" s="115">
        <f t="shared" si="105"/>
        <v>478.57</v>
      </c>
      <c r="K571" s="115">
        <f t="shared" si="106"/>
        <v>574.28399999999999</v>
      </c>
      <c r="L571" s="104">
        <v>574.28399999999999</v>
      </c>
      <c r="M571" s="152">
        <v>45411</v>
      </c>
      <c r="N571" s="115">
        <f>+Table6[[#This Row],[стойност с ДДС]]-Table6[[#This Row],[плащане]]</f>
        <v>0</v>
      </c>
      <c r="O571" s="208">
        <v>45412</v>
      </c>
    </row>
    <row r="572" spans="1:15" x14ac:dyDescent="0.3">
      <c r="A572" s="116" t="s">
        <v>67</v>
      </c>
      <c r="B572" s="394">
        <v>3000002792</v>
      </c>
      <c r="C572" s="117">
        <v>45412</v>
      </c>
      <c r="D572" s="116"/>
      <c r="E572" s="116" t="s">
        <v>59</v>
      </c>
      <c r="F572" s="118"/>
      <c r="G572" s="116"/>
      <c r="H572" s="141">
        <v>1690.049</v>
      </c>
      <c r="I572" s="114">
        <v>0</v>
      </c>
      <c r="J572" s="130">
        <f t="shared" si="105"/>
        <v>0</v>
      </c>
      <c r="K572" s="130">
        <f t="shared" si="106"/>
        <v>0</v>
      </c>
      <c r="L572" s="129">
        <v>0</v>
      </c>
      <c r="M572" s="152">
        <v>45411</v>
      </c>
      <c r="N572" s="130">
        <f>+Table6[[#This Row],[стойност с ДДС]]-Table6[[#This Row],[плащане]]</f>
        <v>0</v>
      </c>
      <c r="O572" s="208">
        <v>45412</v>
      </c>
    </row>
    <row r="573" spans="1:15" ht="37.5" x14ac:dyDescent="0.3">
      <c r="A573" s="116" t="s">
        <v>83</v>
      </c>
      <c r="B573" s="394">
        <v>3000002793</v>
      </c>
      <c r="C573" s="117">
        <v>45412</v>
      </c>
      <c r="D573" s="116"/>
      <c r="E573" s="111" t="s">
        <v>53</v>
      </c>
      <c r="F573" s="118"/>
      <c r="G573" s="116"/>
      <c r="H573" s="141">
        <v>1</v>
      </c>
      <c r="I573" s="142">
        <v>4761.99</v>
      </c>
      <c r="J573" s="130">
        <f>ROUND(+H573*I573,2)</f>
        <v>4761.99</v>
      </c>
      <c r="K573" s="130">
        <f>J573*1.2</f>
        <v>5714.3879999999999</v>
      </c>
      <c r="L573" s="129">
        <v>5714.3879999999999</v>
      </c>
      <c r="M573" s="152">
        <v>45411</v>
      </c>
      <c r="N573" s="130">
        <f>+Table6[[#This Row],[стойност с ДДС]]-Table6[[#This Row],[плащане]]</f>
        <v>0</v>
      </c>
      <c r="O573" s="208">
        <v>45412</v>
      </c>
    </row>
    <row r="574" spans="1:15" ht="37.5" x14ac:dyDescent="0.3">
      <c r="A574" s="97" t="s">
        <v>83</v>
      </c>
      <c r="B574" s="393">
        <v>3000002793</v>
      </c>
      <c r="C574" s="110">
        <v>45412</v>
      </c>
      <c r="D574" s="97"/>
      <c r="E574" s="111" t="s">
        <v>53</v>
      </c>
      <c r="F574" s="101"/>
      <c r="G574" s="97"/>
      <c r="H574" s="113">
        <v>334.43700000000001</v>
      </c>
      <c r="I574" s="114">
        <v>58.84</v>
      </c>
      <c r="J574" s="115">
        <f t="shared" ref="J574:J579" si="107">ROUND(+H574*I574,2)</f>
        <v>19678.27</v>
      </c>
      <c r="K574" s="115">
        <f t="shared" ref="K574:K579" si="108">J574*1.2</f>
        <v>23613.923999999999</v>
      </c>
      <c r="L574" s="104">
        <v>23613.923999999999</v>
      </c>
      <c r="M574" s="152">
        <v>45411</v>
      </c>
      <c r="N574" s="115">
        <f>+Table6[[#This Row],[стойност с ДДС]]-Table6[[#This Row],[плащане]]</f>
        <v>0</v>
      </c>
      <c r="O574" s="208">
        <v>45412</v>
      </c>
    </row>
    <row r="575" spans="1:15" ht="37.5" x14ac:dyDescent="0.3">
      <c r="A575" s="97" t="s">
        <v>83</v>
      </c>
      <c r="B575" s="393">
        <v>3000002793</v>
      </c>
      <c r="C575" s="110">
        <v>45412</v>
      </c>
      <c r="D575" s="97"/>
      <c r="E575" s="111" t="s">
        <v>53</v>
      </c>
      <c r="F575" s="101"/>
      <c r="G575" s="97"/>
      <c r="H575" s="113">
        <v>22</v>
      </c>
      <c r="I575" s="114">
        <v>5.3284000000000002</v>
      </c>
      <c r="J575" s="115">
        <f t="shared" si="107"/>
        <v>117.22</v>
      </c>
      <c r="K575" s="115">
        <f t="shared" si="108"/>
        <v>140.66399999999999</v>
      </c>
      <c r="L575" s="104">
        <v>140.66399999999999</v>
      </c>
      <c r="M575" s="152">
        <v>45411</v>
      </c>
      <c r="N575" s="115">
        <f>+Table6[[#This Row],[стойност с ДДС]]-Table6[[#This Row],[плащане]]</f>
        <v>0</v>
      </c>
      <c r="O575" s="208">
        <v>45412</v>
      </c>
    </row>
    <row r="576" spans="1:15" x14ac:dyDescent="0.3">
      <c r="A576" s="97" t="s">
        <v>83</v>
      </c>
      <c r="B576" s="393">
        <v>3000002793</v>
      </c>
      <c r="C576" s="110">
        <v>45412</v>
      </c>
      <c r="D576" s="97"/>
      <c r="E576" s="8" t="s">
        <v>120</v>
      </c>
      <c r="F576" s="101"/>
      <c r="G576" s="97"/>
      <c r="H576" s="113">
        <v>123</v>
      </c>
      <c r="I576" s="114">
        <v>4.2628000000000004</v>
      </c>
      <c r="J576" s="115">
        <f t="shared" si="107"/>
        <v>524.32000000000005</v>
      </c>
      <c r="K576" s="115">
        <f t="shared" si="108"/>
        <v>629.18400000000008</v>
      </c>
      <c r="L576" s="104">
        <v>629.18400000000008</v>
      </c>
      <c r="M576" s="152">
        <v>45411</v>
      </c>
      <c r="N576" s="115">
        <f>+Table6[[#This Row],[стойност с ДДС]]-Table6[[#This Row],[плащане]]</f>
        <v>0</v>
      </c>
      <c r="O576" s="208">
        <v>45412</v>
      </c>
    </row>
    <row r="577" spans="1:15" x14ac:dyDescent="0.3">
      <c r="A577" s="97" t="s">
        <v>83</v>
      </c>
      <c r="B577" s="393">
        <v>3000002793</v>
      </c>
      <c r="C577" s="110">
        <v>45412</v>
      </c>
      <c r="D577" s="97"/>
      <c r="E577" s="8" t="s">
        <v>56</v>
      </c>
      <c r="F577" s="101"/>
      <c r="G577" s="97"/>
      <c r="H577" s="113">
        <v>32.479999999999997</v>
      </c>
      <c r="I577" s="114">
        <v>8.3582999999999998</v>
      </c>
      <c r="J577" s="115">
        <f t="shared" si="107"/>
        <v>271.48</v>
      </c>
      <c r="K577" s="115">
        <f t="shared" si="108"/>
        <v>325.77600000000001</v>
      </c>
      <c r="L577" s="104">
        <v>325.77600000000001</v>
      </c>
      <c r="M577" s="152">
        <v>45411</v>
      </c>
      <c r="N577" s="115">
        <f>+Table6[[#This Row],[стойност с ДДС]]-Table6[[#This Row],[плащане]]</f>
        <v>0</v>
      </c>
      <c r="O577" s="208">
        <v>45412</v>
      </c>
    </row>
    <row r="578" spans="1:15" x14ac:dyDescent="0.3">
      <c r="A578" s="97" t="s">
        <v>83</v>
      </c>
      <c r="B578" s="393">
        <v>3000002793</v>
      </c>
      <c r="C578" s="110">
        <v>45412</v>
      </c>
      <c r="D578" s="97"/>
      <c r="E578" s="139" t="s">
        <v>58</v>
      </c>
      <c r="F578" s="101"/>
      <c r="G578" s="97"/>
      <c r="H578" s="113">
        <v>1117.1400000000001</v>
      </c>
      <c r="I578" s="114">
        <v>1.0194000000000001</v>
      </c>
      <c r="J578" s="115">
        <f t="shared" si="107"/>
        <v>1138.81</v>
      </c>
      <c r="K578" s="115">
        <f t="shared" si="108"/>
        <v>1366.5719999999999</v>
      </c>
      <c r="L578" s="104">
        <v>1366.5719999999999</v>
      </c>
      <c r="M578" s="152">
        <v>45411</v>
      </c>
      <c r="N578" s="115">
        <f>+Table6[[#This Row],[стойност с ДДС]]-Table6[[#This Row],[плащане]]</f>
        <v>0</v>
      </c>
      <c r="O578" s="208">
        <v>45412</v>
      </c>
    </row>
    <row r="579" spans="1:15" x14ac:dyDescent="0.3">
      <c r="A579" s="116" t="s">
        <v>83</v>
      </c>
      <c r="B579" s="394">
        <v>3000002793</v>
      </c>
      <c r="C579" s="117">
        <v>45412</v>
      </c>
      <c r="D579" s="116"/>
      <c r="E579" s="139" t="s">
        <v>59</v>
      </c>
      <c r="F579" s="118"/>
      <c r="G579" s="116"/>
      <c r="H579" s="141">
        <v>4021.7040000000002</v>
      </c>
      <c r="I579" s="142">
        <v>0</v>
      </c>
      <c r="J579" s="130">
        <f t="shared" si="107"/>
        <v>0</v>
      </c>
      <c r="K579" s="130">
        <f t="shared" si="108"/>
        <v>0</v>
      </c>
      <c r="L579" s="129">
        <v>0</v>
      </c>
      <c r="M579" s="152">
        <v>45411</v>
      </c>
      <c r="N579" s="130">
        <f>+Table6[[#This Row],[стойност с ДДС]]-Table6[[#This Row],[плащане]]</f>
        <v>0</v>
      </c>
      <c r="O579" s="208">
        <v>45412</v>
      </c>
    </row>
    <row r="580" spans="1:15" ht="37.5" x14ac:dyDescent="0.3">
      <c r="A580" s="97" t="s">
        <v>77</v>
      </c>
      <c r="B580" s="393">
        <v>3000002794</v>
      </c>
      <c r="C580" s="110">
        <v>45412</v>
      </c>
      <c r="D580" s="97"/>
      <c r="E580" s="111" t="s">
        <v>53</v>
      </c>
      <c r="F580" s="101"/>
      <c r="G580" s="97"/>
      <c r="H580" s="113">
        <v>746.83399999999995</v>
      </c>
      <c r="I580" s="114">
        <v>58.84</v>
      </c>
      <c r="J580" s="115">
        <f>ROUND(+H580*I580,2)</f>
        <v>43943.71</v>
      </c>
      <c r="K580" s="115">
        <f>J580*1.2</f>
        <v>52732.451999999997</v>
      </c>
      <c r="L580" s="104">
        <v>52732.451999999997</v>
      </c>
      <c r="M580" s="152">
        <v>45411</v>
      </c>
      <c r="N580" s="115">
        <f>+Table6[[#This Row],[стойност с ДДС]]-Table6[[#This Row],[плащане]]</f>
        <v>0</v>
      </c>
      <c r="O580" s="208">
        <v>45412</v>
      </c>
    </row>
    <row r="581" spans="1:15" ht="37.5" x14ac:dyDescent="0.3">
      <c r="A581" s="97" t="s">
        <v>77</v>
      </c>
      <c r="B581" s="393">
        <v>3000002794</v>
      </c>
      <c r="C581" s="110">
        <v>45412</v>
      </c>
      <c r="D581" s="97"/>
      <c r="E581" s="111" t="s">
        <v>53</v>
      </c>
      <c r="F581" s="101"/>
      <c r="G581" s="97"/>
      <c r="H581" s="113">
        <v>3206.75</v>
      </c>
      <c r="I581" s="114">
        <v>1.0189999999999999</v>
      </c>
      <c r="J581" s="115">
        <f>ROUND(+H581*I581,2)</f>
        <v>3267.68</v>
      </c>
      <c r="K581" s="115">
        <f>J581*1.2</f>
        <v>3921.2159999999994</v>
      </c>
      <c r="L581" s="104">
        <v>3921.2159999999994</v>
      </c>
      <c r="M581" s="152">
        <v>45411</v>
      </c>
      <c r="N581" s="115">
        <f>+Table6[[#This Row],[стойност с ДДС]]-Table6[[#This Row],[плащане]]</f>
        <v>0</v>
      </c>
      <c r="O581" s="208">
        <v>45412</v>
      </c>
    </row>
    <row r="582" spans="1:15" x14ac:dyDescent="0.3">
      <c r="A582" s="97" t="s">
        <v>77</v>
      </c>
      <c r="B582" s="393">
        <v>3000002794</v>
      </c>
      <c r="C582" s="110">
        <v>45412</v>
      </c>
      <c r="D582" s="116"/>
      <c r="E582" s="116" t="s">
        <v>59</v>
      </c>
      <c r="F582" s="118"/>
      <c r="G582" s="116"/>
      <c r="H582" s="141">
        <v>11544.3</v>
      </c>
      <c r="I582" s="142">
        <v>0</v>
      </c>
      <c r="J582" s="130">
        <f>ROUND(+H582*I582,2)</f>
        <v>0</v>
      </c>
      <c r="K582" s="130">
        <f>J582*1.2</f>
        <v>0</v>
      </c>
      <c r="L582" s="129">
        <v>0</v>
      </c>
      <c r="M582" s="152">
        <v>45411</v>
      </c>
      <c r="N582" s="130">
        <f>+Table6[[#This Row],[стойност с ДДС]]-Table6[[#This Row],[плащане]]</f>
        <v>0</v>
      </c>
      <c r="O582" s="208">
        <v>45412</v>
      </c>
    </row>
    <row r="583" spans="1:15" x14ac:dyDescent="0.3">
      <c r="A583" s="116" t="s">
        <v>91</v>
      </c>
      <c r="B583" s="394">
        <v>3000002795</v>
      </c>
      <c r="C583" s="117">
        <v>45412</v>
      </c>
      <c r="D583" s="116"/>
      <c r="E583" s="111" t="s">
        <v>33</v>
      </c>
      <c r="F583" s="118"/>
      <c r="G583" s="116"/>
      <c r="H583" s="141">
        <v>-1</v>
      </c>
      <c r="I583" s="142">
        <v>1895.4</v>
      </c>
      <c r="J583" s="130">
        <f>ROUND(+H583*I583,2)</f>
        <v>-1895.4</v>
      </c>
      <c r="K583" s="130">
        <f>J583*1.2</f>
        <v>-2274.48</v>
      </c>
      <c r="L583" s="129">
        <v>-2274.48</v>
      </c>
      <c r="M583" s="152">
        <v>45411</v>
      </c>
      <c r="N583" s="130">
        <f>+Table6[[#This Row],[стойност с ДДС]]-Table6[[#This Row],[плащане]]</f>
        <v>0</v>
      </c>
      <c r="O583" s="208">
        <v>45412</v>
      </c>
    </row>
    <row r="584" spans="1:15" x14ac:dyDescent="0.3">
      <c r="A584" s="116" t="s">
        <v>91</v>
      </c>
      <c r="B584" s="394">
        <v>3000002795</v>
      </c>
      <c r="C584" s="117">
        <v>45412</v>
      </c>
      <c r="D584" s="97"/>
      <c r="E584" s="111" t="s">
        <v>33</v>
      </c>
      <c r="F584" s="101"/>
      <c r="G584" s="97"/>
      <c r="H584" s="113">
        <v>35.847999999999999</v>
      </c>
      <c r="I584" s="114">
        <v>53.05</v>
      </c>
      <c r="J584" s="115">
        <f>ROUND(+H584*I584,2)</f>
        <v>1901.74</v>
      </c>
      <c r="K584" s="115">
        <f>J584*1.2</f>
        <v>2282.0879999999997</v>
      </c>
      <c r="L584" s="104">
        <v>2282.0879999999997</v>
      </c>
      <c r="M584" s="152">
        <v>45411</v>
      </c>
      <c r="N584" s="115">
        <f>+Table6[[#This Row],[стойност с ДДС]]-Table6[[#This Row],[плащане]]</f>
        <v>0</v>
      </c>
      <c r="O584" s="208">
        <v>45412</v>
      </c>
    </row>
    <row r="585" spans="1:15" x14ac:dyDescent="0.3">
      <c r="A585" s="116" t="s">
        <v>91</v>
      </c>
      <c r="B585" s="394">
        <v>3000002795</v>
      </c>
      <c r="C585" s="117">
        <v>45412</v>
      </c>
      <c r="D585" s="97"/>
      <c r="E585" s="8" t="s">
        <v>120</v>
      </c>
      <c r="F585" s="101"/>
      <c r="G585" s="97"/>
      <c r="H585" s="113">
        <v>6</v>
      </c>
      <c r="I585" s="114">
        <v>2.1048</v>
      </c>
      <c r="J585" s="115">
        <f t="shared" ref="J585:J589" si="109">ROUND(+H585*I585,2)</f>
        <v>12.63</v>
      </c>
      <c r="K585" s="115">
        <f t="shared" ref="K585:K589" si="110">J585*1.2</f>
        <v>15.156000000000001</v>
      </c>
      <c r="L585" s="104">
        <v>15.156000000000001</v>
      </c>
      <c r="M585" s="152">
        <v>45411</v>
      </c>
      <c r="N585" s="115">
        <f>+Table6[[#This Row],[стойност с ДДС]]-Table6[[#This Row],[плащане]]</f>
        <v>0</v>
      </c>
      <c r="O585" s="208">
        <v>45412</v>
      </c>
    </row>
    <row r="586" spans="1:15" x14ac:dyDescent="0.3">
      <c r="A586" s="116" t="s">
        <v>91</v>
      </c>
      <c r="B586" s="394">
        <v>3000002795</v>
      </c>
      <c r="C586" s="117">
        <v>45412</v>
      </c>
      <c r="D586" s="97"/>
      <c r="E586" s="8" t="s">
        <v>57</v>
      </c>
      <c r="F586" s="101"/>
      <c r="G586" s="97"/>
      <c r="H586" s="113">
        <v>30</v>
      </c>
      <c r="I586" s="114">
        <v>1.6839</v>
      </c>
      <c r="J586" s="115">
        <f t="shared" si="109"/>
        <v>50.52</v>
      </c>
      <c r="K586" s="115">
        <f t="shared" si="110"/>
        <v>60.624000000000002</v>
      </c>
      <c r="L586" s="104">
        <v>60.624000000000002</v>
      </c>
      <c r="M586" s="152">
        <v>45411</v>
      </c>
      <c r="N586" s="115">
        <f>+Table6[[#This Row],[стойност с ДДС]]-Table6[[#This Row],[плащане]]</f>
        <v>0</v>
      </c>
      <c r="O586" s="208">
        <v>45412</v>
      </c>
    </row>
    <row r="587" spans="1:15" x14ac:dyDescent="0.3">
      <c r="A587" s="116" t="s">
        <v>91</v>
      </c>
      <c r="B587" s="394">
        <v>3000002795</v>
      </c>
      <c r="C587" s="117">
        <v>45412</v>
      </c>
      <c r="D587" s="97"/>
      <c r="E587" s="8" t="s">
        <v>56</v>
      </c>
      <c r="F587" s="101"/>
      <c r="G587" s="97"/>
      <c r="H587" s="113">
        <v>2.6789999999999998</v>
      </c>
      <c r="I587" s="114">
        <v>3.3016999999999999</v>
      </c>
      <c r="J587" s="115">
        <f t="shared" si="109"/>
        <v>8.85</v>
      </c>
      <c r="K587" s="115">
        <f t="shared" si="110"/>
        <v>10.62</v>
      </c>
      <c r="L587" s="104">
        <v>10.62</v>
      </c>
      <c r="M587" s="152">
        <v>45411</v>
      </c>
      <c r="N587" s="115">
        <f>+Table6[[#This Row],[стойност с ДДС]]-Table6[[#This Row],[плащане]]</f>
        <v>0</v>
      </c>
      <c r="O587" s="208">
        <v>45412</v>
      </c>
    </row>
    <row r="588" spans="1:15" x14ac:dyDescent="0.3">
      <c r="A588" s="116" t="s">
        <v>91</v>
      </c>
      <c r="B588" s="394">
        <v>3000002795</v>
      </c>
      <c r="C588" s="117">
        <v>45412</v>
      </c>
      <c r="D588" s="97"/>
      <c r="E588" s="8" t="s">
        <v>58</v>
      </c>
      <c r="F588" s="101"/>
      <c r="G588" s="97"/>
      <c r="H588" s="113">
        <v>35.847999999999999</v>
      </c>
      <c r="I588" s="114">
        <v>0.52290000000000003</v>
      </c>
      <c r="J588" s="115">
        <f t="shared" si="109"/>
        <v>18.739999999999998</v>
      </c>
      <c r="K588" s="115">
        <f t="shared" si="110"/>
        <v>22.487999999999996</v>
      </c>
      <c r="L588" s="104">
        <v>22.487999999999996</v>
      </c>
      <c r="M588" s="152">
        <v>45411</v>
      </c>
      <c r="N588" s="115">
        <f>+Table6[[#This Row],[стойност с ДДС]]-Table6[[#This Row],[плащане]]</f>
        <v>0</v>
      </c>
      <c r="O588" s="208">
        <v>45412</v>
      </c>
    </row>
    <row r="589" spans="1:15" x14ac:dyDescent="0.3">
      <c r="A589" s="116" t="s">
        <v>91</v>
      </c>
      <c r="B589" s="394">
        <v>3000002795</v>
      </c>
      <c r="C589" s="117">
        <v>45412</v>
      </c>
      <c r="D589" s="97"/>
      <c r="E589" s="139" t="s">
        <v>59</v>
      </c>
      <c r="F589" s="101"/>
      <c r="G589" s="97"/>
      <c r="H589" s="113">
        <v>129.053</v>
      </c>
      <c r="I589" s="114">
        <v>0.6</v>
      </c>
      <c r="J589" s="115">
        <f t="shared" si="109"/>
        <v>77.430000000000007</v>
      </c>
      <c r="K589" s="115">
        <f t="shared" si="110"/>
        <v>92.916000000000011</v>
      </c>
      <c r="L589" s="104">
        <v>92.916000000000011</v>
      </c>
      <c r="M589" s="152">
        <v>45411</v>
      </c>
      <c r="N589" s="115">
        <f>+Table6[[#This Row],[стойност с ДДС]]-Table6[[#This Row],[плащане]]</f>
        <v>0</v>
      </c>
      <c r="O589" s="208">
        <v>45412</v>
      </c>
    </row>
    <row r="590" spans="1:15" x14ac:dyDescent="0.3">
      <c r="A590" s="116" t="s">
        <v>69</v>
      </c>
      <c r="B590" s="394">
        <v>3000002796</v>
      </c>
      <c r="C590" s="117">
        <v>45412</v>
      </c>
      <c r="D590" s="116"/>
      <c r="E590" s="111" t="s">
        <v>33</v>
      </c>
      <c r="F590" s="118"/>
      <c r="G590" s="116"/>
      <c r="H590" s="141">
        <v>-1</v>
      </c>
      <c r="I590" s="142">
        <v>17479.8</v>
      </c>
      <c r="J590" s="130">
        <f>ROUND(+H590*I590,2)</f>
        <v>-17479.8</v>
      </c>
      <c r="K590" s="130">
        <f>J590*1.2</f>
        <v>-20975.759999999998</v>
      </c>
      <c r="L590" s="129">
        <v>-20975.759999999998</v>
      </c>
      <c r="M590" s="152">
        <v>45411</v>
      </c>
      <c r="N590" s="130">
        <f>+Table6[[#This Row],[стойност с ДДС]]-Table6[[#This Row],[плащане]]</f>
        <v>0</v>
      </c>
      <c r="O590" s="208">
        <v>45412</v>
      </c>
    </row>
    <row r="591" spans="1:15" x14ac:dyDescent="0.3">
      <c r="A591" s="116" t="s">
        <v>69</v>
      </c>
      <c r="B591" s="394">
        <v>3000002796</v>
      </c>
      <c r="C591" s="117">
        <v>45412</v>
      </c>
      <c r="D591" s="97"/>
      <c r="E591" s="111" t="s">
        <v>33</v>
      </c>
      <c r="F591" s="101"/>
      <c r="G591" s="97"/>
      <c r="H591" s="113">
        <v>359.04399999999998</v>
      </c>
      <c r="I591" s="114">
        <v>53.05</v>
      </c>
      <c r="J591" s="115">
        <f t="shared" ref="J591:J596" si="111">ROUND(+H591*I591,2)</f>
        <v>19047.28</v>
      </c>
      <c r="K591" s="115">
        <f t="shared" ref="K591:K596" si="112">J591*1.2</f>
        <v>22856.735999999997</v>
      </c>
      <c r="L591" s="104">
        <v>22856.735999999997</v>
      </c>
      <c r="M591" s="152">
        <v>45411</v>
      </c>
      <c r="N591" s="115">
        <f>+Table6[[#This Row],[стойност с ДДС]]-Table6[[#This Row],[плащане]]</f>
        <v>0</v>
      </c>
      <c r="O591" s="208">
        <v>45412</v>
      </c>
    </row>
    <row r="592" spans="1:15" x14ac:dyDescent="0.3">
      <c r="A592" s="116" t="s">
        <v>69</v>
      </c>
      <c r="B592" s="394">
        <v>3000002796</v>
      </c>
      <c r="C592" s="117">
        <v>45412</v>
      </c>
      <c r="D592" s="97"/>
      <c r="E592" s="8" t="s">
        <v>120</v>
      </c>
      <c r="F592" s="101"/>
      <c r="G592" s="97"/>
      <c r="H592" s="113">
        <v>14</v>
      </c>
      <c r="I592" s="114">
        <v>2.1048</v>
      </c>
      <c r="J592" s="115">
        <f t="shared" si="111"/>
        <v>29.47</v>
      </c>
      <c r="K592" s="115">
        <f t="shared" si="112"/>
        <v>35.363999999999997</v>
      </c>
      <c r="L592" s="104">
        <v>35.363999999999997</v>
      </c>
      <c r="M592" s="152">
        <v>45411</v>
      </c>
      <c r="N592" s="115">
        <f>+Table6[[#This Row],[стойност с ДДС]]-Table6[[#This Row],[плащане]]</f>
        <v>0</v>
      </c>
      <c r="O592" s="208">
        <v>45412</v>
      </c>
    </row>
    <row r="593" spans="1:15" x14ac:dyDescent="0.3">
      <c r="A593" s="116" t="s">
        <v>69</v>
      </c>
      <c r="B593" s="394">
        <v>3000002796</v>
      </c>
      <c r="C593" s="117">
        <v>45412</v>
      </c>
      <c r="D593" s="97"/>
      <c r="E593" s="8" t="s">
        <v>57</v>
      </c>
      <c r="F593" s="101"/>
      <c r="G593" s="97"/>
      <c r="H593" s="113">
        <v>64</v>
      </c>
      <c r="I593" s="114">
        <v>1.6839</v>
      </c>
      <c r="J593" s="115">
        <f t="shared" si="111"/>
        <v>107.77</v>
      </c>
      <c r="K593" s="115">
        <f t="shared" si="112"/>
        <v>129.32399999999998</v>
      </c>
      <c r="L593" s="104">
        <v>129.32399999999998</v>
      </c>
      <c r="M593" s="152">
        <v>45411</v>
      </c>
      <c r="N593" s="115">
        <f>+Table6[[#This Row],[стойност с ДДС]]-Table6[[#This Row],[плащане]]</f>
        <v>0</v>
      </c>
      <c r="O593" s="208">
        <v>45412</v>
      </c>
    </row>
    <row r="594" spans="1:15" x14ac:dyDescent="0.3">
      <c r="A594" s="116" t="s">
        <v>69</v>
      </c>
      <c r="B594" s="394">
        <v>3000002796</v>
      </c>
      <c r="C594" s="117">
        <v>45412</v>
      </c>
      <c r="D594" s="97"/>
      <c r="E594" s="8" t="s">
        <v>56</v>
      </c>
      <c r="F594" s="101"/>
      <c r="G594" s="97"/>
      <c r="H594" s="113">
        <v>23.100999999999999</v>
      </c>
      <c r="I594" s="114">
        <v>3.3016999999999999</v>
      </c>
      <c r="J594" s="115">
        <f t="shared" si="111"/>
        <v>76.27</v>
      </c>
      <c r="K594" s="115">
        <f t="shared" si="112"/>
        <v>91.523999999999987</v>
      </c>
      <c r="L594" s="104">
        <v>91.523999999999987</v>
      </c>
      <c r="M594" s="152">
        <v>45411</v>
      </c>
      <c r="N594" s="115">
        <f>+Table6[[#This Row],[стойност с ДДС]]-Table6[[#This Row],[плащане]]</f>
        <v>0</v>
      </c>
      <c r="O594" s="208">
        <v>45412</v>
      </c>
    </row>
    <row r="595" spans="1:15" x14ac:dyDescent="0.3">
      <c r="A595" s="116" t="s">
        <v>69</v>
      </c>
      <c r="B595" s="394">
        <v>3000002796</v>
      </c>
      <c r="C595" s="117">
        <v>45412</v>
      </c>
      <c r="D595" s="97"/>
      <c r="E595" s="8" t="s">
        <v>58</v>
      </c>
      <c r="F595" s="101"/>
      <c r="G595" s="97"/>
      <c r="H595" s="113">
        <v>359.04399999999998</v>
      </c>
      <c r="I595" s="114">
        <v>0.52290000000000003</v>
      </c>
      <c r="J595" s="115">
        <f t="shared" si="111"/>
        <v>187.74</v>
      </c>
      <c r="K595" s="115">
        <f t="shared" si="112"/>
        <v>225.28800000000001</v>
      </c>
      <c r="L595" s="104">
        <v>225.28800000000001</v>
      </c>
      <c r="M595" s="152">
        <v>45411</v>
      </c>
      <c r="N595" s="115">
        <f>+Table6[[#This Row],[стойност с ДДС]]-Table6[[#This Row],[плащане]]</f>
        <v>0</v>
      </c>
      <c r="O595" s="208">
        <v>45412</v>
      </c>
    </row>
    <row r="596" spans="1:15" x14ac:dyDescent="0.3">
      <c r="A596" s="116" t="s">
        <v>69</v>
      </c>
      <c r="B596" s="394">
        <v>3000002796</v>
      </c>
      <c r="C596" s="117">
        <v>45412</v>
      </c>
      <c r="D596" s="97"/>
      <c r="E596" s="139" t="s">
        <v>59</v>
      </c>
      <c r="F596" s="101"/>
      <c r="G596" s="97"/>
      <c r="H596" s="113">
        <v>1292.559</v>
      </c>
      <c r="I596" s="114">
        <v>0.6</v>
      </c>
      <c r="J596" s="115">
        <f t="shared" si="111"/>
        <v>775.54</v>
      </c>
      <c r="K596" s="115">
        <f t="shared" si="112"/>
        <v>930.64799999999991</v>
      </c>
      <c r="L596" s="104">
        <v>930.64799999999991</v>
      </c>
      <c r="M596" s="152">
        <v>45411</v>
      </c>
      <c r="N596" s="115">
        <f>+Table6[[#This Row],[стойност с ДДС]]-Table6[[#This Row],[плащане]]</f>
        <v>0</v>
      </c>
      <c r="O596" s="208">
        <v>45412</v>
      </c>
    </row>
    <row r="597" spans="1:15" x14ac:dyDescent="0.3">
      <c r="A597" s="116" t="s">
        <v>72</v>
      </c>
      <c r="B597" s="394">
        <v>3000002797</v>
      </c>
      <c r="C597" s="117">
        <v>45412</v>
      </c>
      <c r="D597" s="116"/>
      <c r="E597" s="111" t="s">
        <v>33</v>
      </c>
      <c r="F597" s="118" t="s">
        <v>85</v>
      </c>
      <c r="G597" s="116"/>
      <c r="H597" s="141">
        <v>1</v>
      </c>
      <c r="I597" s="142">
        <v>1094.25</v>
      </c>
      <c r="J597" s="130">
        <f>ROUND(+H597*I597,2)</f>
        <v>1094.25</v>
      </c>
      <c r="K597" s="130">
        <f>J597*1.2</f>
        <v>1313.1</v>
      </c>
      <c r="L597" s="129">
        <v>1313.1</v>
      </c>
      <c r="M597" s="152">
        <v>45411</v>
      </c>
      <c r="N597" s="130">
        <f>+Table6[[#This Row],[стойност с ДДС]]-Table6[[#This Row],[плащане]]</f>
        <v>0</v>
      </c>
      <c r="O597" s="208">
        <v>45412</v>
      </c>
    </row>
    <row r="598" spans="1:15" x14ac:dyDescent="0.3">
      <c r="A598" s="116" t="s">
        <v>72</v>
      </c>
      <c r="B598" s="394">
        <v>3000002798</v>
      </c>
      <c r="C598" s="117">
        <v>45412</v>
      </c>
      <c r="D598" s="116"/>
      <c r="E598" s="111" t="s">
        <v>33</v>
      </c>
      <c r="F598" s="118"/>
      <c r="G598" s="116"/>
      <c r="H598" s="141">
        <v>-1</v>
      </c>
      <c r="I598" s="142">
        <v>24967.51</v>
      </c>
      <c r="J598" s="130">
        <f>ROUND(+H598*I598,2)</f>
        <v>-24967.51</v>
      </c>
      <c r="K598" s="130">
        <f>J598*1.2</f>
        <v>-29961.011999999995</v>
      </c>
      <c r="L598" s="129">
        <v>-29961.011999999995</v>
      </c>
      <c r="M598" s="152">
        <v>45411</v>
      </c>
      <c r="N598" s="130">
        <f>+Table6[[#This Row],[стойност с ДДС]]-Table6[[#This Row],[плащане]]</f>
        <v>0</v>
      </c>
      <c r="O598" s="208">
        <v>45412</v>
      </c>
    </row>
    <row r="599" spans="1:15" x14ac:dyDescent="0.3">
      <c r="A599" s="116" t="s">
        <v>72</v>
      </c>
      <c r="B599" s="394">
        <v>3000002798</v>
      </c>
      <c r="C599" s="117">
        <v>45412</v>
      </c>
      <c r="D599" s="97"/>
      <c r="E599" s="111" t="s">
        <v>33</v>
      </c>
      <c r="F599" s="101"/>
      <c r="G599" s="97"/>
      <c r="H599" s="113">
        <v>470.64100000000002</v>
      </c>
      <c r="I599" s="114">
        <v>53.05</v>
      </c>
      <c r="J599" s="115">
        <f>ROUND(+H599*I599,2)</f>
        <v>24967.51</v>
      </c>
      <c r="K599" s="115">
        <f>J599*1.2</f>
        <v>29961.011999999995</v>
      </c>
      <c r="L599" s="104">
        <v>29961.011999999995</v>
      </c>
      <c r="M599" s="152">
        <v>45411</v>
      </c>
      <c r="N599" s="115">
        <f>+Table6[[#This Row],[стойност с ДДС]]-Table6[[#This Row],[плащане]]</f>
        <v>0</v>
      </c>
      <c r="O599" s="208">
        <v>45412</v>
      </c>
    </row>
    <row r="600" spans="1:15" x14ac:dyDescent="0.3">
      <c r="A600" s="116" t="s">
        <v>72</v>
      </c>
      <c r="B600" s="394">
        <v>3000002798</v>
      </c>
      <c r="C600" s="117">
        <v>45412</v>
      </c>
      <c r="D600" s="97"/>
      <c r="E600" s="8" t="s">
        <v>56</v>
      </c>
      <c r="F600" s="101"/>
      <c r="G600" s="97"/>
      <c r="H600" s="113">
        <v>12.417</v>
      </c>
      <c r="I600" s="114">
        <v>3.3016999999999999</v>
      </c>
      <c r="J600" s="115">
        <f t="shared" ref="J600:J602" si="113">ROUND(+H600*I600,2)</f>
        <v>41</v>
      </c>
      <c r="K600" s="115">
        <f t="shared" ref="K600:K602" si="114">J600*1.2</f>
        <v>49.199999999999996</v>
      </c>
      <c r="L600" s="104">
        <v>49.199999999999996</v>
      </c>
      <c r="M600" s="152">
        <v>45411</v>
      </c>
      <c r="N600" s="115">
        <f>+Table6[[#This Row],[стойност с ДДС]]-Table6[[#This Row],[плащане]]</f>
        <v>0</v>
      </c>
      <c r="O600" s="208">
        <v>45412</v>
      </c>
    </row>
    <row r="601" spans="1:15" x14ac:dyDescent="0.3">
      <c r="A601" s="116" t="s">
        <v>72</v>
      </c>
      <c r="B601" s="394">
        <v>3000002798</v>
      </c>
      <c r="C601" s="117">
        <v>45412</v>
      </c>
      <c r="D601" s="97"/>
      <c r="E601" s="8" t="s">
        <v>58</v>
      </c>
      <c r="F601" s="101"/>
      <c r="G601" s="97"/>
      <c r="H601" s="113">
        <v>470.64100000000002</v>
      </c>
      <c r="I601" s="114">
        <v>0.52290000000000003</v>
      </c>
      <c r="J601" s="115">
        <f t="shared" si="113"/>
        <v>246.1</v>
      </c>
      <c r="K601" s="115">
        <f t="shared" si="114"/>
        <v>295.32</v>
      </c>
      <c r="L601" s="104">
        <v>295.32</v>
      </c>
      <c r="M601" s="152">
        <v>45411</v>
      </c>
      <c r="N601" s="115">
        <f>+Table6[[#This Row],[стойност с ДДС]]-Table6[[#This Row],[плащане]]</f>
        <v>0</v>
      </c>
      <c r="O601" s="208">
        <v>45412</v>
      </c>
    </row>
    <row r="602" spans="1:15" x14ac:dyDescent="0.3">
      <c r="A602" s="116" t="s">
        <v>72</v>
      </c>
      <c r="B602" s="394">
        <v>3000002798</v>
      </c>
      <c r="C602" s="117">
        <v>45412</v>
      </c>
      <c r="D602" s="97"/>
      <c r="E602" s="139" t="s">
        <v>59</v>
      </c>
      <c r="F602" s="101"/>
      <c r="G602" s="97"/>
      <c r="H602" s="113">
        <v>1694.308</v>
      </c>
      <c r="I602" s="114">
        <v>0.6</v>
      </c>
      <c r="J602" s="115">
        <f t="shared" si="113"/>
        <v>1016.58</v>
      </c>
      <c r="K602" s="115">
        <f t="shared" si="114"/>
        <v>1219.896</v>
      </c>
      <c r="L602" s="104">
        <v>1219.896</v>
      </c>
      <c r="M602" s="152">
        <v>45411</v>
      </c>
      <c r="N602" s="115">
        <f>+Table6[[#This Row],[стойност с ДДС]]-Table6[[#This Row],[плащане]]</f>
        <v>0</v>
      </c>
      <c r="O602" s="208">
        <v>45412</v>
      </c>
    </row>
    <row r="603" spans="1:15" x14ac:dyDescent="0.3">
      <c r="A603" s="116" t="s">
        <v>94</v>
      </c>
      <c r="B603" s="394">
        <v>3000002799</v>
      </c>
      <c r="C603" s="117">
        <v>45412</v>
      </c>
      <c r="D603" s="116"/>
      <c r="E603" s="111" t="s">
        <v>33</v>
      </c>
      <c r="F603" s="118" t="s">
        <v>85</v>
      </c>
      <c r="G603" s="116"/>
      <c r="H603" s="141">
        <v>1</v>
      </c>
      <c r="I603" s="142">
        <v>199.92</v>
      </c>
      <c r="J603" s="130">
        <f t="shared" ref="J603:J610" si="115">ROUND(+H603*I603,2)</f>
        <v>199.92</v>
      </c>
      <c r="K603" s="130">
        <f t="shared" ref="K603:K610" si="116">J603*1.2</f>
        <v>239.90399999999997</v>
      </c>
      <c r="L603" s="129">
        <v>239.90399999999997</v>
      </c>
      <c r="M603" s="152">
        <v>45411</v>
      </c>
      <c r="N603" s="130">
        <f>+Table6[[#This Row],[стойност с ДДС]]-Table6[[#This Row],[плащане]]</f>
        <v>0</v>
      </c>
      <c r="O603" s="208">
        <v>45412</v>
      </c>
    </row>
    <row r="604" spans="1:15" x14ac:dyDescent="0.3">
      <c r="A604" s="116" t="s">
        <v>94</v>
      </c>
      <c r="B604" s="394">
        <v>3000002800</v>
      </c>
      <c r="C604" s="117">
        <v>45412</v>
      </c>
      <c r="D604" s="116"/>
      <c r="E604" s="111" t="s">
        <v>33</v>
      </c>
      <c r="F604" s="118"/>
      <c r="G604" s="116"/>
      <c r="H604" s="141">
        <v>-1</v>
      </c>
      <c r="I604" s="142">
        <v>76.5</v>
      </c>
      <c r="J604" s="130">
        <f t="shared" si="115"/>
        <v>-76.5</v>
      </c>
      <c r="K604" s="130">
        <f t="shared" si="116"/>
        <v>-91.8</v>
      </c>
      <c r="L604" s="129">
        <v>-91.8</v>
      </c>
      <c r="M604" s="152">
        <v>45411</v>
      </c>
      <c r="N604" s="130">
        <f>+Table6[[#This Row],[стойност с ДДС]]-Table6[[#This Row],[плащане]]</f>
        <v>0</v>
      </c>
      <c r="O604" s="208">
        <v>45412</v>
      </c>
    </row>
    <row r="605" spans="1:15" x14ac:dyDescent="0.3">
      <c r="A605" s="116" t="s">
        <v>94</v>
      </c>
      <c r="B605" s="394">
        <v>3000002800</v>
      </c>
      <c r="C605" s="117">
        <v>45412</v>
      </c>
      <c r="D605" s="97"/>
      <c r="E605" s="111" t="s">
        <v>33</v>
      </c>
      <c r="F605" s="101"/>
      <c r="G605" s="97"/>
      <c r="H605" s="113">
        <v>1.4419999999999999</v>
      </c>
      <c r="I605" s="114">
        <v>53.05</v>
      </c>
      <c r="J605" s="130">
        <f t="shared" si="115"/>
        <v>76.5</v>
      </c>
      <c r="K605" s="115">
        <f t="shared" si="116"/>
        <v>91.8</v>
      </c>
      <c r="L605" s="104">
        <v>91.8</v>
      </c>
      <c r="M605" s="152">
        <v>45411</v>
      </c>
      <c r="N605" s="115">
        <f>+Table6[[#This Row],[стойност с ДДС]]-Table6[[#This Row],[плащане]]</f>
        <v>0</v>
      </c>
      <c r="O605" s="208">
        <v>45412</v>
      </c>
    </row>
    <row r="606" spans="1:15" x14ac:dyDescent="0.3">
      <c r="A606" s="116" t="s">
        <v>94</v>
      </c>
      <c r="B606" s="394">
        <v>3000002800</v>
      </c>
      <c r="C606" s="117">
        <v>45412</v>
      </c>
      <c r="D606" s="97"/>
      <c r="E606" s="8" t="s">
        <v>58</v>
      </c>
      <c r="F606" s="101"/>
      <c r="G606" s="97"/>
      <c r="H606" s="114">
        <v>1.4419999999999999</v>
      </c>
      <c r="I606" s="114">
        <v>0.52290000000000003</v>
      </c>
      <c r="J606" s="130">
        <f t="shared" si="115"/>
        <v>0.75</v>
      </c>
      <c r="K606" s="130">
        <f t="shared" si="116"/>
        <v>0.89999999999999991</v>
      </c>
      <c r="L606" s="104">
        <v>0.89999999999999991</v>
      </c>
      <c r="M606" s="152">
        <v>45411</v>
      </c>
      <c r="N606" s="115">
        <f>+Table6[[#This Row],[стойност с ДДС]]-Table6[[#This Row],[плащане]]</f>
        <v>0</v>
      </c>
      <c r="O606" s="208">
        <v>45412</v>
      </c>
    </row>
    <row r="607" spans="1:15" x14ac:dyDescent="0.3">
      <c r="A607" s="116" t="s">
        <v>94</v>
      </c>
      <c r="B607" s="394">
        <v>3000002800</v>
      </c>
      <c r="C607" s="117">
        <v>45412</v>
      </c>
      <c r="D607" s="97"/>
      <c r="E607" s="139" t="s">
        <v>59</v>
      </c>
      <c r="F607" s="101"/>
      <c r="G607" s="97"/>
      <c r="H607" s="114">
        <v>5.1909999999999998</v>
      </c>
      <c r="I607" s="142">
        <v>0.6</v>
      </c>
      <c r="J607" s="130">
        <f t="shared" si="115"/>
        <v>3.11</v>
      </c>
      <c r="K607" s="115">
        <f t="shared" si="116"/>
        <v>3.7319999999999998</v>
      </c>
      <c r="L607" s="104">
        <v>3.7319999999999998</v>
      </c>
      <c r="M607" s="152">
        <v>45411</v>
      </c>
      <c r="N607" s="115">
        <f>+Table6[[#This Row],[стойност с ДДС]]-Table6[[#This Row],[плащане]]</f>
        <v>0</v>
      </c>
      <c r="O607" s="208">
        <v>45412</v>
      </c>
    </row>
    <row r="608" spans="1:15" x14ac:dyDescent="0.3">
      <c r="A608" s="116" t="s">
        <v>98</v>
      </c>
      <c r="B608" s="394">
        <v>3000002801</v>
      </c>
      <c r="C608" s="117">
        <v>45412</v>
      </c>
      <c r="D608" s="116"/>
      <c r="E608" s="111" t="s">
        <v>33</v>
      </c>
      <c r="F608" s="118" t="s">
        <v>85</v>
      </c>
      <c r="G608" s="116"/>
      <c r="H608" s="141">
        <v>1</v>
      </c>
      <c r="I608" s="142">
        <v>29610.82</v>
      </c>
      <c r="J608" s="130">
        <f t="shared" si="115"/>
        <v>29610.82</v>
      </c>
      <c r="K608" s="130">
        <f t="shared" si="116"/>
        <v>35532.983999999997</v>
      </c>
      <c r="L608" s="129">
        <v>35532.983999999997</v>
      </c>
      <c r="M608" s="152">
        <v>45411</v>
      </c>
      <c r="N608" s="130">
        <f>+Table6[[#This Row],[стойност с ДДС]]-Table6[[#This Row],[плащане]]</f>
        <v>0</v>
      </c>
      <c r="O608" s="208">
        <v>45412</v>
      </c>
    </row>
    <row r="609" spans="1:15" x14ac:dyDescent="0.3">
      <c r="A609" s="116" t="s">
        <v>98</v>
      </c>
      <c r="B609" s="394">
        <v>3000002802</v>
      </c>
      <c r="C609" s="117">
        <v>45412</v>
      </c>
      <c r="D609" s="97"/>
      <c r="E609" s="111" t="s">
        <v>33</v>
      </c>
      <c r="F609" s="101"/>
      <c r="G609" s="97"/>
      <c r="H609" s="113">
        <v>-1</v>
      </c>
      <c r="I609" s="114">
        <v>53636.52</v>
      </c>
      <c r="J609" s="115">
        <f t="shared" si="115"/>
        <v>-53636.52</v>
      </c>
      <c r="K609" s="115">
        <f t="shared" si="116"/>
        <v>-64363.823999999993</v>
      </c>
      <c r="L609" s="104">
        <v>-64363.823999999993</v>
      </c>
      <c r="M609" s="152">
        <v>45411</v>
      </c>
      <c r="N609" s="115">
        <f>+Table6[[#This Row],[стойност с ДДС]]-Table6[[#This Row],[плащане]]</f>
        <v>0</v>
      </c>
      <c r="O609" s="208">
        <v>45412</v>
      </c>
    </row>
    <row r="610" spans="1:15" x14ac:dyDescent="0.3">
      <c r="A610" s="116" t="s">
        <v>98</v>
      </c>
      <c r="B610" s="394">
        <v>3000002802</v>
      </c>
      <c r="C610" s="117">
        <v>45412</v>
      </c>
      <c r="D610" s="97"/>
      <c r="E610" s="111" t="s">
        <v>33</v>
      </c>
      <c r="F610" s="101"/>
      <c r="G610" s="97"/>
      <c r="H610" s="113">
        <v>1167.28</v>
      </c>
      <c r="I610" s="114">
        <v>45.95</v>
      </c>
      <c r="J610" s="115">
        <f t="shared" si="115"/>
        <v>53636.52</v>
      </c>
      <c r="K610" s="115">
        <f t="shared" si="116"/>
        <v>64363.823999999993</v>
      </c>
      <c r="L610" s="104">
        <v>64363.823999999993</v>
      </c>
      <c r="M610" s="152">
        <v>45411</v>
      </c>
      <c r="N610" s="115">
        <f>+Table6[[#This Row],[стойност с ДДС]]-Table6[[#This Row],[плащане]]</f>
        <v>0</v>
      </c>
      <c r="O610" s="208">
        <v>45412</v>
      </c>
    </row>
    <row r="611" spans="1:15" x14ac:dyDescent="0.3">
      <c r="A611" s="116" t="s">
        <v>98</v>
      </c>
      <c r="B611" s="394">
        <v>3000002802</v>
      </c>
      <c r="C611" s="117">
        <v>45412</v>
      </c>
      <c r="D611" s="97"/>
      <c r="E611" s="8" t="s">
        <v>120</v>
      </c>
      <c r="F611" s="101"/>
      <c r="G611" s="97"/>
      <c r="H611" s="113">
        <v>41.234000000000002</v>
      </c>
      <c r="I611" s="114">
        <v>5.3284000000000002</v>
      </c>
      <c r="J611" s="115">
        <f t="shared" ref="J611:J614" si="117">ROUND(+H611*I611,2)</f>
        <v>219.71</v>
      </c>
      <c r="K611" s="115">
        <f t="shared" ref="K611:K614" si="118">J611*1.2</f>
        <v>263.65199999999999</v>
      </c>
      <c r="L611" s="104">
        <v>263.65199999999999</v>
      </c>
      <c r="M611" s="152">
        <v>45411</v>
      </c>
      <c r="N611" s="115">
        <f>+Table6[[#This Row],[стойност с ДДС]]-Table6[[#This Row],[плащане]]</f>
        <v>0</v>
      </c>
      <c r="O611" s="208">
        <v>45412</v>
      </c>
    </row>
    <row r="612" spans="1:15" x14ac:dyDescent="0.3">
      <c r="A612" s="116" t="s">
        <v>98</v>
      </c>
      <c r="B612" s="394">
        <v>3000002802</v>
      </c>
      <c r="C612" s="117">
        <v>45412</v>
      </c>
      <c r="D612" s="97"/>
      <c r="E612" s="8" t="s">
        <v>57</v>
      </c>
      <c r="F612" s="101"/>
      <c r="G612" s="97"/>
      <c r="H612" s="113">
        <v>1107.0999999999999</v>
      </c>
      <c r="I612" s="114">
        <v>4.2628000000000004</v>
      </c>
      <c r="J612" s="115">
        <f t="shared" si="117"/>
        <v>4719.3500000000004</v>
      </c>
      <c r="K612" s="115">
        <f t="shared" si="118"/>
        <v>5663.22</v>
      </c>
      <c r="L612" s="104">
        <v>5663.22</v>
      </c>
      <c r="M612" s="152">
        <v>45411</v>
      </c>
      <c r="N612" s="115">
        <f>+Table6[[#This Row],[стойност с ДДС]]-Table6[[#This Row],[плащане]]</f>
        <v>0</v>
      </c>
      <c r="O612" s="208">
        <v>45412</v>
      </c>
    </row>
    <row r="613" spans="1:15" x14ac:dyDescent="0.3">
      <c r="A613" s="116" t="s">
        <v>98</v>
      </c>
      <c r="B613" s="394">
        <v>3000002802</v>
      </c>
      <c r="C613" s="117">
        <v>45412</v>
      </c>
      <c r="D613" s="97"/>
      <c r="E613" s="8" t="s">
        <v>56</v>
      </c>
      <c r="F613" s="101"/>
      <c r="G613" s="97"/>
      <c r="H613" s="113">
        <v>23.713000000000001</v>
      </c>
      <c r="I613" s="114">
        <v>8.3582999999999998</v>
      </c>
      <c r="J613" s="115">
        <f t="shared" si="117"/>
        <v>198.2</v>
      </c>
      <c r="K613" s="115">
        <f t="shared" si="118"/>
        <v>237.83999999999997</v>
      </c>
      <c r="L613" s="104">
        <v>237.83999999999997</v>
      </c>
      <c r="M613" s="152">
        <v>45411</v>
      </c>
      <c r="N613" s="115">
        <f>+Table6[[#This Row],[стойност с ДДС]]-Table6[[#This Row],[плащане]]</f>
        <v>0</v>
      </c>
      <c r="O613" s="208">
        <v>45412</v>
      </c>
    </row>
    <row r="614" spans="1:15" x14ac:dyDescent="0.3">
      <c r="A614" s="116" t="s">
        <v>98</v>
      </c>
      <c r="B614" s="394">
        <v>3000002802</v>
      </c>
      <c r="C614" s="117">
        <v>45412</v>
      </c>
      <c r="D614" s="97"/>
      <c r="E614" s="8" t="s">
        <v>58</v>
      </c>
      <c r="F614" s="101"/>
      <c r="G614" s="97"/>
      <c r="H614" s="113">
        <v>1167.28</v>
      </c>
      <c r="I614" s="114">
        <v>1.0194000000000001</v>
      </c>
      <c r="J614" s="115">
        <f t="shared" si="117"/>
        <v>1189.93</v>
      </c>
      <c r="K614" s="115">
        <f t="shared" si="118"/>
        <v>1427.9159999999999</v>
      </c>
      <c r="L614" s="104">
        <v>1427.9159999999999</v>
      </c>
      <c r="M614" s="152">
        <v>45411</v>
      </c>
      <c r="N614" s="115">
        <f>+Table6[[#This Row],[стойност с ДДС]]-Table6[[#This Row],[плащане]]</f>
        <v>0</v>
      </c>
      <c r="O614" s="208">
        <v>45412</v>
      </c>
    </row>
    <row r="615" spans="1:15" x14ac:dyDescent="0.3">
      <c r="A615" s="116" t="s">
        <v>98</v>
      </c>
      <c r="B615" s="394">
        <v>3000002802</v>
      </c>
      <c r="C615" s="117">
        <v>45412</v>
      </c>
      <c r="D615" s="97"/>
      <c r="E615" s="139" t="s">
        <v>59</v>
      </c>
      <c r="F615" s="101"/>
      <c r="G615" s="97"/>
      <c r="H615" s="113">
        <v>4202.2079999999996</v>
      </c>
      <c r="I615" s="114">
        <v>0.6</v>
      </c>
      <c r="J615" s="115">
        <f>ROUND(+H615*I615,2)</f>
        <v>2521.3200000000002</v>
      </c>
      <c r="K615" s="115">
        <f>J615*1.2</f>
        <v>3025.5840000000003</v>
      </c>
      <c r="L615" s="104">
        <v>3025.5840000000003</v>
      </c>
      <c r="M615" s="152">
        <v>45411</v>
      </c>
      <c r="N615" s="115">
        <f>+Table6[[#This Row],[стойност с ДДС]]-Table6[[#This Row],[плащане]]</f>
        <v>0</v>
      </c>
      <c r="O615" s="208">
        <v>45412</v>
      </c>
    </row>
    <row r="616" spans="1:15" x14ac:dyDescent="0.3">
      <c r="A616" s="116" t="s">
        <v>82</v>
      </c>
      <c r="B616" s="394">
        <v>3000002803</v>
      </c>
      <c r="C616" s="117">
        <v>45412</v>
      </c>
      <c r="D616" s="116"/>
      <c r="E616" s="111" t="s">
        <v>33</v>
      </c>
      <c r="F616" s="118" t="s">
        <v>85</v>
      </c>
      <c r="G616" s="116"/>
      <c r="H616" s="141">
        <v>1</v>
      </c>
      <c r="I616" s="142">
        <v>5710.83</v>
      </c>
      <c r="J616" s="130">
        <f>ROUND(+H616*I616,2)</f>
        <v>5710.83</v>
      </c>
      <c r="K616" s="130">
        <f>J616*1.2</f>
        <v>6852.9960000000001</v>
      </c>
      <c r="L616" s="129">
        <v>6852.9960000000001</v>
      </c>
      <c r="M616" s="152">
        <v>45411</v>
      </c>
      <c r="N616" s="130">
        <f>+Table6[[#This Row],[стойност с ДДС]]-Table6[[#This Row],[плащане]]</f>
        <v>0</v>
      </c>
      <c r="O616" s="208">
        <v>45412</v>
      </c>
    </row>
    <row r="617" spans="1:15" x14ac:dyDescent="0.3">
      <c r="A617" s="116" t="s">
        <v>82</v>
      </c>
      <c r="B617" s="394">
        <v>3000002804</v>
      </c>
      <c r="C617" s="117">
        <v>45412</v>
      </c>
      <c r="D617" s="97"/>
      <c r="E617" s="111" t="s">
        <v>33</v>
      </c>
      <c r="F617" s="101"/>
      <c r="G617" s="97"/>
      <c r="H617" s="113">
        <v>-1</v>
      </c>
      <c r="I617" s="114">
        <v>17399.98</v>
      </c>
      <c r="J617" s="115">
        <f>ROUND(+H617*I617,2)</f>
        <v>-17399.98</v>
      </c>
      <c r="K617" s="115">
        <f>J617*1.2</f>
        <v>-20879.975999999999</v>
      </c>
      <c r="L617" s="104">
        <v>-20879.975999999999</v>
      </c>
      <c r="M617" s="152">
        <v>45411</v>
      </c>
      <c r="N617" s="115">
        <f>+Table6[[#This Row],[стойност с ДДС]]-Table6[[#This Row],[плащане]]</f>
        <v>0</v>
      </c>
      <c r="O617" s="208">
        <v>45412</v>
      </c>
    </row>
    <row r="618" spans="1:15" x14ac:dyDescent="0.3">
      <c r="A618" s="97" t="s">
        <v>82</v>
      </c>
      <c r="B618" s="393">
        <v>3000002804</v>
      </c>
      <c r="C618" s="110">
        <v>45412</v>
      </c>
      <c r="D618" s="97"/>
      <c r="E618" s="111" t="s">
        <v>33</v>
      </c>
      <c r="F618" s="101"/>
      <c r="G618" s="97"/>
      <c r="H618" s="113">
        <v>-1</v>
      </c>
      <c r="I618" s="114">
        <v>170.42</v>
      </c>
      <c r="J618" s="115">
        <f t="shared" ref="J618:J623" si="119">ROUND(+H618*I618,2)</f>
        <v>-170.42</v>
      </c>
      <c r="K618" s="115">
        <f t="shared" ref="K618:K623" si="120">J618*1.2</f>
        <v>-204.50399999999999</v>
      </c>
      <c r="L618" s="104">
        <v>-204.50399999999999</v>
      </c>
      <c r="M618" s="152">
        <v>45411</v>
      </c>
      <c r="N618" s="115">
        <f>+Table6[[#This Row],[стойност с ДДС]]-Table6[[#This Row],[плащане]]</f>
        <v>0</v>
      </c>
      <c r="O618" s="208">
        <v>45412</v>
      </c>
    </row>
    <row r="619" spans="1:15" x14ac:dyDescent="0.3">
      <c r="A619" s="97" t="s">
        <v>82</v>
      </c>
      <c r="B619" s="393">
        <v>3000002804</v>
      </c>
      <c r="C619" s="110">
        <v>45412</v>
      </c>
      <c r="D619" s="97"/>
      <c r="E619" s="111" t="s">
        <v>33</v>
      </c>
      <c r="F619" s="101"/>
      <c r="G619" s="97"/>
      <c r="H619" s="113">
        <v>-1</v>
      </c>
      <c r="I619" s="114">
        <v>178.23</v>
      </c>
      <c r="J619" s="115">
        <f t="shared" si="119"/>
        <v>-178.23</v>
      </c>
      <c r="K619" s="115">
        <f t="shared" si="120"/>
        <v>-213.87599999999998</v>
      </c>
      <c r="L619" s="104">
        <v>-213.87599999999998</v>
      </c>
      <c r="M619" s="152">
        <v>45411</v>
      </c>
      <c r="N619" s="115">
        <f>+Table6[[#This Row],[стойност с ДДС]]-Table6[[#This Row],[плащане]]</f>
        <v>0</v>
      </c>
      <c r="O619" s="208">
        <v>45412</v>
      </c>
    </row>
    <row r="620" spans="1:15" x14ac:dyDescent="0.3">
      <c r="A620" s="97" t="s">
        <v>82</v>
      </c>
      <c r="B620" s="393">
        <v>3000002804</v>
      </c>
      <c r="C620" s="110">
        <v>45412</v>
      </c>
      <c r="D620" s="97"/>
      <c r="E620" s="111" t="s">
        <v>33</v>
      </c>
      <c r="F620" s="101"/>
      <c r="G620" s="97"/>
      <c r="H620" s="113">
        <v>340.84199999999998</v>
      </c>
      <c r="I620" s="114">
        <v>51.05</v>
      </c>
      <c r="J620" s="115">
        <f t="shared" si="119"/>
        <v>17399.98</v>
      </c>
      <c r="K620" s="115">
        <f t="shared" si="120"/>
        <v>20879.975999999999</v>
      </c>
      <c r="L620" s="104">
        <v>20879.975999999999</v>
      </c>
      <c r="M620" s="152">
        <v>45411</v>
      </c>
      <c r="N620" s="115">
        <f>+Table6[[#This Row],[стойност с ДДС]]-Table6[[#This Row],[плащане]]</f>
        <v>0</v>
      </c>
      <c r="O620" s="208">
        <v>45412</v>
      </c>
    </row>
    <row r="621" spans="1:15" x14ac:dyDescent="0.3">
      <c r="A621" s="97" t="s">
        <v>82</v>
      </c>
      <c r="B621" s="393">
        <v>3000002804</v>
      </c>
      <c r="C621" s="110">
        <v>45412</v>
      </c>
      <c r="D621" s="97"/>
      <c r="E621" s="8" t="s">
        <v>56</v>
      </c>
      <c r="F621" s="101"/>
      <c r="G621" s="97"/>
      <c r="H621" s="113">
        <v>1.514</v>
      </c>
      <c r="I621" s="114">
        <v>3.3016999999999999</v>
      </c>
      <c r="J621" s="115">
        <f t="shared" si="119"/>
        <v>5</v>
      </c>
      <c r="K621" s="115">
        <f t="shared" si="120"/>
        <v>6</v>
      </c>
      <c r="L621" s="104">
        <v>6</v>
      </c>
      <c r="M621" s="152">
        <v>45411</v>
      </c>
      <c r="N621" s="115">
        <f>+Table6[[#This Row],[стойност с ДДС]]-Table6[[#This Row],[плащане]]</f>
        <v>0</v>
      </c>
      <c r="O621" s="208">
        <v>45412</v>
      </c>
    </row>
    <row r="622" spans="1:15" x14ac:dyDescent="0.3">
      <c r="A622" s="97" t="s">
        <v>82</v>
      </c>
      <c r="B622" s="393">
        <v>3000002804</v>
      </c>
      <c r="C622" s="110">
        <v>45412</v>
      </c>
      <c r="D622" s="97"/>
      <c r="E622" s="8" t="s">
        <v>58</v>
      </c>
      <c r="F622" s="101"/>
      <c r="G622" s="97"/>
      <c r="H622" s="113">
        <v>340.84199999999998</v>
      </c>
      <c r="I622" s="114">
        <v>0.52290000000000003</v>
      </c>
      <c r="J622" s="115">
        <f t="shared" si="119"/>
        <v>178.23</v>
      </c>
      <c r="K622" s="115">
        <f t="shared" si="120"/>
        <v>213.87599999999998</v>
      </c>
      <c r="L622" s="104">
        <v>213.87599999999998</v>
      </c>
      <c r="M622" s="152">
        <v>45411</v>
      </c>
      <c r="N622" s="115">
        <f>+Table6[[#This Row],[стойност с ДДС]]-Table6[[#This Row],[плащане]]</f>
        <v>0</v>
      </c>
      <c r="O622" s="208">
        <v>45412</v>
      </c>
    </row>
    <row r="623" spans="1:15" x14ac:dyDescent="0.3">
      <c r="A623" s="116" t="s">
        <v>82</v>
      </c>
      <c r="B623" s="394">
        <v>3000002804</v>
      </c>
      <c r="C623" s="117">
        <v>45412</v>
      </c>
      <c r="D623" s="116"/>
      <c r="E623" s="139" t="s">
        <v>58</v>
      </c>
      <c r="F623" s="118"/>
      <c r="G623" s="116"/>
      <c r="H623" s="141">
        <v>340.84199999999998</v>
      </c>
      <c r="I623" s="142">
        <v>0.5</v>
      </c>
      <c r="J623" s="130">
        <f t="shared" si="119"/>
        <v>170.42</v>
      </c>
      <c r="K623" s="130">
        <f t="shared" si="120"/>
        <v>204.50399999999999</v>
      </c>
      <c r="L623" s="129">
        <v>204.50399999999999</v>
      </c>
      <c r="M623" s="152">
        <v>45411</v>
      </c>
      <c r="N623" s="130">
        <f>+Table6[[#This Row],[стойност с ДДС]]-Table6[[#This Row],[плащане]]</f>
        <v>0</v>
      </c>
      <c r="O623" s="208">
        <v>45412</v>
      </c>
    </row>
    <row r="624" spans="1:15" x14ac:dyDescent="0.3">
      <c r="A624" s="97" t="s">
        <v>82</v>
      </c>
      <c r="B624" s="393">
        <v>3000002804</v>
      </c>
      <c r="C624" s="110">
        <v>45412</v>
      </c>
      <c r="D624" s="116"/>
      <c r="E624" s="139" t="s">
        <v>59</v>
      </c>
      <c r="F624" s="118"/>
      <c r="G624" s="116"/>
      <c r="H624" s="141">
        <v>1227.0309999999999</v>
      </c>
      <c r="I624" s="142">
        <v>0.6</v>
      </c>
      <c r="J624" s="130">
        <f>ROUND(+H624*I624,2)</f>
        <v>736.22</v>
      </c>
      <c r="K624" s="130">
        <f>J624*1.2</f>
        <v>883.46400000000006</v>
      </c>
      <c r="L624" s="129">
        <v>883.46400000000006</v>
      </c>
      <c r="M624" s="152">
        <v>45411</v>
      </c>
      <c r="N624" s="130">
        <f>+Table6[[#This Row],[стойност с ДДС]]-Table6[[#This Row],[плащане]]</f>
        <v>0</v>
      </c>
      <c r="O624" s="208">
        <v>45412</v>
      </c>
    </row>
    <row r="625" spans="1:15" x14ac:dyDescent="0.3">
      <c r="A625" s="116" t="s">
        <v>49</v>
      </c>
      <c r="B625" s="394">
        <v>3000002805</v>
      </c>
      <c r="C625" s="117">
        <v>45412</v>
      </c>
      <c r="D625" s="116"/>
      <c r="E625" s="111" t="s">
        <v>33</v>
      </c>
      <c r="F625" s="118" t="s">
        <v>85</v>
      </c>
      <c r="G625" s="116"/>
      <c r="H625" s="141">
        <v>1</v>
      </c>
      <c r="I625" s="142">
        <v>245.63</v>
      </c>
      <c r="J625" s="130">
        <f>ROUND(+H625*I625,2)</f>
        <v>245.63</v>
      </c>
      <c r="K625" s="130">
        <f>J625*1.2</f>
        <v>294.75599999999997</v>
      </c>
      <c r="L625" s="129">
        <v>294.75599999999997</v>
      </c>
      <c r="M625" s="152">
        <v>45411</v>
      </c>
      <c r="N625" s="130">
        <f>+Table6[[#This Row],[стойност с ДДС]]-Table6[[#This Row],[плащане]]</f>
        <v>0</v>
      </c>
      <c r="O625" s="208">
        <v>45412</v>
      </c>
    </row>
    <row r="626" spans="1:15" x14ac:dyDescent="0.3">
      <c r="A626" s="116" t="s">
        <v>49</v>
      </c>
      <c r="B626" s="394">
        <v>3000002806</v>
      </c>
      <c r="C626" s="110">
        <v>45412</v>
      </c>
      <c r="D626" s="97"/>
      <c r="E626" s="111" t="s">
        <v>33</v>
      </c>
      <c r="F626" s="101"/>
      <c r="G626" s="97"/>
      <c r="H626" s="113">
        <v>-1</v>
      </c>
      <c r="I626" s="114">
        <v>2176.27</v>
      </c>
      <c r="J626" s="115">
        <f>ROUND(+H626*I626,2)</f>
        <v>-2176.27</v>
      </c>
      <c r="K626" s="115">
        <f>J626*1.2</f>
        <v>-2611.5239999999999</v>
      </c>
      <c r="L626" s="104">
        <v>-2611.5239999999999</v>
      </c>
      <c r="M626" s="152">
        <v>45411</v>
      </c>
      <c r="N626" s="115">
        <f>+Table6[[#This Row],[стойност с ДДС]]-Table6[[#This Row],[плащане]]</f>
        <v>0</v>
      </c>
      <c r="O626" s="208">
        <v>45412</v>
      </c>
    </row>
    <row r="627" spans="1:15" x14ac:dyDescent="0.3">
      <c r="A627" s="116" t="s">
        <v>49</v>
      </c>
      <c r="B627" s="394">
        <v>3000002806</v>
      </c>
      <c r="C627" s="110">
        <v>45412</v>
      </c>
      <c r="D627" s="97"/>
      <c r="E627" s="111" t="s">
        <v>33</v>
      </c>
      <c r="F627" s="101"/>
      <c r="G627" s="97"/>
      <c r="H627" s="113">
        <v>41.023000000000003</v>
      </c>
      <c r="I627" s="114">
        <v>53.05</v>
      </c>
      <c r="J627" s="115">
        <f>ROUND(+H627*I627,2)</f>
        <v>2176.27</v>
      </c>
      <c r="K627" s="115">
        <f>J627*1.2</f>
        <v>2611.5239999999999</v>
      </c>
      <c r="L627" s="104">
        <v>2611.5239999999999</v>
      </c>
      <c r="M627" s="152">
        <v>45411</v>
      </c>
      <c r="N627" s="115">
        <f>+Table6[[#This Row],[стойност с ДДС]]-Table6[[#This Row],[плащане]]</f>
        <v>0</v>
      </c>
      <c r="O627" s="208">
        <v>45412</v>
      </c>
    </row>
    <row r="628" spans="1:15" x14ac:dyDescent="0.3">
      <c r="A628" s="116" t="s">
        <v>49</v>
      </c>
      <c r="B628" s="394">
        <v>3000002806</v>
      </c>
      <c r="C628" s="110">
        <v>45412</v>
      </c>
      <c r="D628" s="97"/>
      <c r="E628" s="8" t="s">
        <v>56</v>
      </c>
      <c r="F628" s="101"/>
      <c r="G628" s="97"/>
      <c r="H628" s="113">
        <v>4.6609999999999996</v>
      </c>
      <c r="I628" s="114">
        <v>3.3016999999999999</v>
      </c>
      <c r="J628" s="115">
        <f t="shared" ref="J628:J630" si="121">ROUND(+H628*I628,2)</f>
        <v>15.39</v>
      </c>
      <c r="K628" s="115">
        <f t="shared" ref="K628:K630" si="122">J628*1.2</f>
        <v>18.468</v>
      </c>
      <c r="L628" s="104">
        <v>18.468</v>
      </c>
      <c r="M628" s="152">
        <v>45411</v>
      </c>
      <c r="N628" s="115">
        <f>+Table6[[#This Row],[стойност с ДДС]]-Table6[[#This Row],[плащане]]</f>
        <v>0</v>
      </c>
      <c r="O628" s="208">
        <v>45412</v>
      </c>
    </row>
    <row r="629" spans="1:15" x14ac:dyDescent="0.3">
      <c r="A629" s="116" t="s">
        <v>49</v>
      </c>
      <c r="B629" s="394">
        <v>3000002806</v>
      </c>
      <c r="C629" s="110">
        <v>45412</v>
      </c>
      <c r="D629" s="97"/>
      <c r="E629" s="8" t="s">
        <v>58</v>
      </c>
      <c r="F629" s="101"/>
      <c r="G629" s="97"/>
      <c r="H629" s="113">
        <v>41.023000000000003</v>
      </c>
      <c r="I629" s="114">
        <v>0.52290000000000003</v>
      </c>
      <c r="J629" s="115">
        <f t="shared" si="121"/>
        <v>21.45</v>
      </c>
      <c r="K629" s="115">
        <f t="shared" si="122"/>
        <v>25.74</v>
      </c>
      <c r="L629" s="104">
        <v>25.74</v>
      </c>
      <c r="M629" s="152">
        <v>45411</v>
      </c>
      <c r="N629" s="115">
        <f>+Table6[[#This Row],[стойност с ДДС]]-Table6[[#This Row],[плащане]]</f>
        <v>0</v>
      </c>
      <c r="O629" s="208">
        <v>45412</v>
      </c>
    </row>
    <row r="630" spans="1:15" x14ac:dyDescent="0.3">
      <c r="A630" s="116" t="s">
        <v>49</v>
      </c>
      <c r="B630" s="394">
        <v>3000002806</v>
      </c>
      <c r="C630" s="110">
        <v>45412</v>
      </c>
      <c r="D630" s="97"/>
      <c r="E630" s="139" t="s">
        <v>59</v>
      </c>
      <c r="F630" s="101"/>
      <c r="G630" s="97"/>
      <c r="H630" s="113">
        <v>147.68299999999999</v>
      </c>
      <c r="I630" s="114">
        <v>0.6</v>
      </c>
      <c r="J630" s="115">
        <f t="shared" si="121"/>
        <v>88.61</v>
      </c>
      <c r="K630" s="115">
        <f t="shared" si="122"/>
        <v>106.33199999999999</v>
      </c>
      <c r="L630" s="104">
        <v>106.33199999999999</v>
      </c>
      <c r="M630" s="152">
        <v>45411</v>
      </c>
      <c r="N630" s="115">
        <f>+Table6[[#This Row],[стойност с ДДС]]-Table6[[#This Row],[плащане]]</f>
        <v>0</v>
      </c>
      <c r="O630" s="208">
        <v>45412</v>
      </c>
    </row>
    <row r="631" spans="1:15" x14ac:dyDescent="0.3">
      <c r="A631" s="116" t="s">
        <v>92</v>
      </c>
      <c r="B631" s="393">
        <v>3000002807</v>
      </c>
      <c r="C631" s="110">
        <v>45412</v>
      </c>
      <c r="D631" s="97"/>
      <c r="E631" s="111" t="s">
        <v>33</v>
      </c>
      <c r="F631" s="101"/>
      <c r="G631" s="97"/>
      <c r="H631" s="113">
        <v>-1</v>
      </c>
      <c r="I631" s="114">
        <v>1158.3</v>
      </c>
      <c r="J631" s="115">
        <f>ROUND(+H631*I631,2)</f>
        <v>-1158.3</v>
      </c>
      <c r="K631" s="115">
        <f>J631*1.2</f>
        <v>-1389.9599999999998</v>
      </c>
      <c r="L631" s="104">
        <v>-1389.9599999999998</v>
      </c>
      <c r="M631" s="152">
        <v>45411</v>
      </c>
      <c r="N631" s="115">
        <f>+Table6[[#This Row],[стойност с ДДС]]-Table6[[#This Row],[плащане]]</f>
        <v>0</v>
      </c>
      <c r="O631" s="208">
        <v>45412</v>
      </c>
    </row>
    <row r="632" spans="1:15" x14ac:dyDescent="0.3">
      <c r="A632" s="116" t="s">
        <v>92</v>
      </c>
      <c r="B632" s="393">
        <v>3000002807</v>
      </c>
      <c r="C632" s="110">
        <v>45412</v>
      </c>
      <c r="D632" s="97"/>
      <c r="E632" s="111" t="s">
        <v>33</v>
      </c>
      <c r="F632" s="101"/>
      <c r="G632" s="97"/>
      <c r="H632" s="113">
        <v>22.748999999999999</v>
      </c>
      <c r="I632" s="114">
        <v>53.05</v>
      </c>
      <c r="J632" s="115">
        <f>ROUND(+H632*I632,2)</f>
        <v>1206.83</v>
      </c>
      <c r="K632" s="115">
        <f>J632*1.2</f>
        <v>1448.1959999999999</v>
      </c>
      <c r="L632" s="104">
        <v>1448.1959999999999</v>
      </c>
      <c r="M632" s="152">
        <v>45411</v>
      </c>
      <c r="N632" s="115">
        <f>+Table6[[#This Row],[стойност с ДДС]]-Table6[[#This Row],[плащане]]</f>
        <v>0</v>
      </c>
      <c r="O632" s="208">
        <v>45412</v>
      </c>
    </row>
    <row r="633" spans="1:15" x14ac:dyDescent="0.3">
      <c r="A633" s="116" t="s">
        <v>92</v>
      </c>
      <c r="B633" s="393">
        <v>3000002807</v>
      </c>
      <c r="C633" s="110">
        <v>45412</v>
      </c>
      <c r="D633" s="97"/>
      <c r="E633" s="8" t="s">
        <v>58</v>
      </c>
      <c r="F633" s="101"/>
      <c r="G633" s="97"/>
      <c r="H633" s="113">
        <v>22.748999999999999</v>
      </c>
      <c r="I633" s="114">
        <v>1.0194000000000001</v>
      </c>
      <c r="J633" s="115">
        <f t="shared" ref="J633:J634" si="123">ROUND(+H633*I633,2)</f>
        <v>23.19</v>
      </c>
      <c r="K633" s="115">
        <f t="shared" ref="K633:K634" si="124">J633*1.2</f>
        <v>27.827999999999999</v>
      </c>
      <c r="L633" s="104">
        <v>27.827999999999999</v>
      </c>
      <c r="M633" s="152">
        <v>45411</v>
      </c>
      <c r="N633" s="115">
        <f>+Table6[[#This Row],[стойност с ДДС]]-Table6[[#This Row],[плащане]]</f>
        <v>0</v>
      </c>
      <c r="O633" s="208">
        <v>45412</v>
      </c>
    </row>
    <row r="634" spans="1:15" x14ac:dyDescent="0.3">
      <c r="A634" s="116" t="s">
        <v>92</v>
      </c>
      <c r="B634" s="393">
        <v>3000002807</v>
      </c>
      <c r="C634" s="110">
        <v>45412</v>
      </c>
      <c r="D634" s="97"/>
      <c r="E634" s="139" t="s">
        <v>59</v>
      </c>
      <c r="F634" s="101"/>
      <c r="G634" s="97"/>
      <c r="H634" s="113">
        <v>81.896000000000001</v>
      </c>
      <c r="I634" s="114">
        <v>0.6</v>
      </c>
      <c r="J634" s="115">
        <f t="shared" si="123"/>
        <v>49.14</v>
      </c>
      <c r="K634" s="115">
        <f t="shared" si="124"/>
        <v>58.967999999999996</v>
      </c>
      <c r="L634" s="104">
        <v>58.967999999999996</v>
      </c>
      <c r="M634" s="152">
        <v>45411</v>
      </c>
      <c r="N634" s="115">
        <f>+Table6[[#This Row],[стойност с ДДС]]-Table6[[#This Row],[плащане]]</f>
        <v>0</v>
      </c>
      <c r="O634" s="208">
        <v>45412</v>
      </c>
    </row>
    <row r="635" spans="1:15" x14ac:dyDescent="0.3">
      <c r="A635" s="116" t="s">
        <v>31</v>
      </c>
      <c r="B635" s="394">
        <v>3000002808</v>
      </c>
      <c r="C635" s="117">
        <v>45412</v>
      </c>
      <c r="D635" s="116"/>
      <c r="E635" s="111" t="s">
        <v>33</v>
      </c>
      <c r="F635" s="118"/>
      <c r="G635" s="116"/>
      <c r="H635" s="141">
        <v>7.5469999999999997</v>
      </c>
      <c r="I635" s="142">
        <v>53.05</v>
      </c>
      <c r="J635" s="130">
        <f>ROUND(+H635*I635,2)</f>
        <v>400.37</v>
      </c>
      <c r="K635" s="130">
        <f>J635*1.2</f>
        <v>480.44399999999996</v>
      </c>
      <c r="L635" s="129">
        <v>480.44399999999996</v>
      </c>
      <c r="M635" s="152">
        <v>45411</v>
      </c>
      <c r="N635" s="130">
        <f>+Table6[[#This Row],[стойност с ДДС]]-Table6[[#This Row],[плащане]]</f>
        <v>0</v>
      </c>
      <c r="O635" s="208">
        <v>45412</v>
      </c>
    </row>
    <row r="636" spans="1:15" x14ac:dyDescent="0.3">
      <c r="A636" s="116" t="s">
        <v>31</v>
      </c>
      <c r="B636" s="394">
        <v>3000002808</v>
      </c>
      <c r="C636" s="117">
        <v>45412</v>
      </c>
      <c r="D636" s="97"/>
      <c r="E636" s="8" t="s">
        <v>58</v>
      </c>
      <c r="F636" s="101"/>
      <c r="G636" s="97"/>
      <c r="H636" s="113">
        <v>7.5469999999999997</v>
      </c>
      <c r="I636" s="114">
        <v>0.52290000000000003</v>
      </c>
      <c r="J636" s="115">
        <f t="shared" ref="J636:J637" si="125">ROUND(+H636*I636,2)</f>
        <v>3.95</v>
      </c>
      <c r="K636" s="115">
        <f t="shared" ref="K636:K637" si="126">J636*1.2</f>
        <v>4.74</v>
      </c>
      <c r="L636" s="104">
        <v>4.74</v>
      </c>
      <c r="M636" s="152">
        <v>45411</v>
      </c>
      <c r="N636" s="115">
        <f>+Table6[[#This Row],[стойност с ДДС]]-Table6[[#This Row],[плащане]]</f>
        <v>0</v>
      </c>
      <c r="O636" s="208">
        <v>45412</v>
      </c>
    </row>
    <row r="637" spans="1:15" x14ac:dyDescent="0.3">
      <c r="A637" s="116" t="s">
        <v>31</v>
      </c>
      <c r="B637" s="394">
        <v>3000002808</v>
      </c>
      <c r="C637" s="117">
        <v>45412</v>
      </c>
      <c r="D637" s="97"/>
      <c r="E637" s="139" t="s">
        <v>59</v>
      </c>
      <c r="F637" s="101"/>
      <c r="G637" s="97"/>
      <c r="H637" s="113">
        <v>27.169</v>
      </c>
      <c r="I637" s="114">
        <v>0.6</v>
      </c>
      <c r="J637" s="115">
        <f t="shared" si="125"/>
        <v>16.3</v>
      </c>
      <c r="K637" s="115">
        <f t="shared" si="126"/>
        <v>19.559999999999999</v>
      </c>
      <c r="L637" s="104">
        <v>19.559999999999999</v>
      </c>
      <c r="M637" s="152">
        <v>45411</v>
      </c>
      <c r="N637" s="115">
        <f>+Table6[[#This Row],[стойност с ДДС]]-Table6[[#This Row],[плащане]]</f>
        <v>0</v>
      </c>
      <c r="O637" s="208">
        <v>45412</v>
      </c>
    </row>
    <row r="638" spans="1:15" x14ac:dyDescent="0.3">
      <c r="A638" s="281" t="s">
        <v>69</v>
      </c>
      <c r="B638" s="399">
        <v>3000002809</v>
      </c>
      <c r="C638" s="282">
        <v>45426</v>
      </c>
      <c r="D638" s="281"/>
      <c r="E638" s="283" t="s">
        <v>33</v>
      </c>
      <c r="F638" s="284"/>
      <c r="G638" s="281"/>
      <c r="H638" s="285">
        <v>1</v>
      </c>
      <c r="I638" s="286">
        <v>7766.2</v>
      </c>
      <c r="J638" s="287">
        <f>ROUND(+H638*I638,2)</f>
        <v>7766.2</v>
      </c>
      <c r="K638" s="287"/>
      <c r="L638" s="288"/>
      <c r="M638" s="289">
        <v>45432</v>
      </c>
      <c r="N638" s="130">
        <f>+Table6[[#This Row],[стойност с ДДС]]-Table6[[#This Row],[плащане]]</f>
        <v>0</v>
      </c>
      <c r="O638" s="208">
        <v>45432</v>
      </c>
    </row>
    <row r="639" spans="1:15" x14ac:dyDescent="0.3">
      <c r="A639" s="116" t="s">
        <v>69</v>
      </c>
      <c r="B639" s="394">
        <v>3000002809</v>
      </c>
      <c r="C639" s="117">
        <v>45426</v>
      </c>
      <c r="D639" s="116"/>
      <c r="E639" s="8" t="s">
        <v>76</v>
      </c>
      <c r="F639" s="118"/>
      <c r="G639" s="116"/>
      <c r="H639" s="141">
        <v>20</v>
      </c>
      <c r="I639" s="142">
        <v>25.1753</v>
      </c>
      <c r="J639" s="130">
        <f>ROUND(+H639*I639,2)</f>
        <v>503.51</v>
      </c>
      <c r="K639" s="130">
        <f>J639*1.2</f>
        <v>604.21199999999999</v>
      </c>
      <c r="L639" s="129">
        <v>604.21199999999999</v>
      </c>
      <c r="M639" s="152">
        <v>45432</v>
      </c>
      <c r="N639" s="130">
        <f>+Table6[[#This Row],[стойност с ДДС]]-Table6[[#This Row],[плащане]]</f>
        <v>0</v>
      </c>
      <c r="O639" s="208">
        <v>45432</v>
      </c>
    </row>
    <row r="640" spans="1:15" x14ac:dyDescent="0.3">
      <c r="A640" s="281" t="s">
        <v>72</v>
      </c>
      <c r="B640" s="399">
        <v>3000002810</v>
      </c>
      <c r="C640" s="282">
        <v>45426</v>
      </c>
      <c r="D640" s="281"/>
      <c r="E640" s="283" t="s">
        <v>33</v>
      </c>
      <c r="F640" s="284"/>
      <c r="G640" s="281"/>
      <c r="H640" s="285">
        <v>1</v>
      </c>
      <c r="I640" s="286">
        <v>10899.46</v>
      </c>
      <c r="J640" s="287">
        <f>ROUND(+H640*I640,2)</f>
        <v>10899.46</v>
      </c>
      <c r="K640" s="287"/>
      <c r="L640" s="288"/>
      <c r="M640" s="289">
        <v>45432</v>
      </c>
      <c r="N640" s="130">
        <f>+Table6[[#This Row],[стойност с ДДС]]-Table6[[#This Row],[плащане]]</f>
        <v>0</v>
      </c>
      <c r="O640" s="208">
        <v>45432</v>
      </c>
    </row>
    <row r="641" spans="1:15" x14ac:dyDescent="0.3">
      <c r="A641" s="290" t="s">
        <v>72</v>
      </c>
      <c r="B641" s="400">
        <v>3000002810</v>
      </c>
      <c r="C641" s="291">
        <v>45426</v>
      </c>
      <c r="D641" s="290"/>
      <c r="E641" s="25" t="s">
        <v>76</v>
      </c>
      <c r="F641" s="292"/>
      <c r="G641" s="290"/>
      <c r="H641" s="293">
        <v>18</v>
      </c>
      <c r="I641" s="294">
        <v>25.175599999999999</v>
      </c>
      <c r="J641" s="295">
        <f t="shared" ref="J641:J642" si="127">ROUND(+H641*I641,2)</f>
        <v>453.16</v>
      </c>
      <c r="K641" s="295"/>
      <c r="L641" s="296"/>
      <c r="M641" s="289">
        <v>45432</v>
      </c>
      <c r="N641" s="115">
        <f>+Table6[[#This Row],[стойност с ДДС]]-Table6[[#This Row],[плащане]]</f>
        <v>0</v>
      </c>
      <c r="O641" s="208">
        <v>45432</v>
      </c>
    </row>
    <row r="642" spans="1:15" x14ac:dyDescent="0.3">
      <c r="A642" s="281" t="s">
        <v>72</v>
      </c>
      <c r="B642" s="399">
        <v>3000002810</v>
      </c>
      <c r="C642" s="282">
        <v>45426</v>
      </c>
      <c r="D642" s="281"/>
      <c r="E642" s="25" t="s">
        <v>63</v>
      </c>
      <c r="F642" s="284"/>
      <c r="G642" s="281"/>
      <c r="H642" s="285">
        <v>2.5</v>
      </c>
      <c r="I642" s="286">
        <v>31.1662</v>
      </c>
      <c r="J642" s="287">
        <f t="shared" si="127"/>
        <v>77.92</v>
      </c>
      <c r="K642" s="287"/>
      <c r="L642" s="288"/>
      <c r="M642" s="289">
        <v>45432</v>
      </c>
      <c r="N642" s="130">
        <f>+Table6[[#This Row],[стойност с ДДС]]-Table6[[#This Row],[плащане]]</f>
        <v>0</v>
      </c>
      <c r="O642" s="208">
        <v>45432</v>
      </c>
    </row>
    <row r="643" spans="1:15" x14ac:dyDescent="0.3">
      <c r="A643" s="116" t="s">
        <v>49</v>
      </c>
      <c r="B643" s="394">
        <v>3000002811</v>
      </c>
      <c r="C643" s="117">
        <v>45426</v>
      </c>
      <c r="D643" s="116"/>
      <c r="E643" s="111" t="s">
        <v>33</v>
      </c>
      <c r="F643" s="118"/>
      <c r="G643" s="116"/>
      <c r="H643" s="141">
        <v>1</v>
      </c>
      <c r="I643" s="142">
        <v>1139.76</v>
      </c>
      <c r="J643" s="130">
        <f>ROUND(+H643*I643,2)</f>
        <v>1139.76</v>
      </c>
      <c r="K643" s="130">
        <f>J643*1.2</f>
        <v>1367.712</v>
      </c>
      <c r="L643" s="129">
        <v>1367.712</v>
      </c>
      <c r="M643" s="152">
        <v>45432</v>
      </c>
      <c r="N643" s="130">
        <f>+Table6[[#This Row],[стойност с ДДС]]-Table6[[#This Row],[плащане]]</f>
        <v>0</v>
      </c>
      <c r="O643" s="208">
        <v>45432</v>
      </c>
    </row>
    <row r="644" spans="1:15" x14ac:dyDescent="0.3">
      <c r="A644" s="116" t="s">
        <v>49</v>
      </c>
      <c r="B644" s="394">
        <v>3000002811</v>
      </c>
      <c r="C644" s="117">
        <v>45426</v>
      </c>
      <c r="D644" s="116"/>
      <c r="E644" s="145" t="s">
        <v>63</v>
      </c>
      <c r="F644" s="118"/>
      <c r="G644" s="116"/>
      <c r="H644" s="141">
        <v>1.37</v>
      </c>
      <c r="I644" s="142">
        <v>31.1662</v>
      </c>
      <c r="J644" s="130">
        <f>ROUND(+H644*I644,2)</f>
        <v>42.7</v>
      </c>
      <c r="K644" s="130">
        <f>J644*1.2</f>
        <v>51.24</v>
      </c>
      <c r="L644" s="129">
        <v>51.24</v>
      </c>
      <c r="M644" s="152">
        <v>45432</v>
      </c>
      <c r="N644" s="130">
        <f>+Table6[[#This Row],[стойност с ДДС]]-Table6[[#This Row],[плащане]]</f>
        <v>0</v>
      </c>
      <c r="O644" s="208">
        <v>45432</v>
      </c>
    </row>
    <row r="645" spans="1:15" x14ac:dyDescent="0.3">
      <c r="A645" s="116" t="s">
        <v>82</v>
      </c>
      <c r="B645" s="394">
        <v>3000002812</v>
      </c>
      <c r="C645" s="117">
        <v>45426</v>
      </c>
      <c r="D645" s="116"/>
      <c r="E645" s="111" t="s">
        <v>33</v>
      </c>
      <c r="F645" s="118"/>
      <c r="G645" s="116"/>
      <c r="H645" s="141">
        <v>1</v>
      </c>
      <c r="I645" s="142">
        <v>6805.92</v>
      </c>
      <c r="J645" s="130">
        <f>ROUND(+H645*I645,2)</f>
        <v>6805.92</v>
      </c>
      <c r="K645" s="130">
        <f>J645*1.2</f>
        <v>8167.1039999999994</v>
      </c>
      <c r="L645" s="129">
        <v>8167.1039999999994</v>
      </c>
      <c r="M645" s="152">
        <v>45432</v>
      </c>
      <c r="N645" s="130">
        <f>+Table6[[#This Row],[стойност с ДДС]]-Table6[[#This Row],[плащане]]</f>
        <v>0</v>
      </c>
      <c r="O645" s="208">
        <v>45432</v>
      </c>
    </row>
    <row r="646" spans="1:15" x14ac:dyDescent="0.3">
      <c r="A646" s="97" t="s">
        <v>82</v>
      </c>
      <c r="B646" s="393">
        <v>3000002812</v>
      </c>
      <c r="C646" s="110">
        <v>45426</v>
      </c>
      <c r="D646" s="97"/>
      <c r="E646" s="111" t="s">
        <v>33</v>
      </c>
      <c r="F646" s="101"/>
      <c r="G646" s="97"/>
      <c r="H646" s="113">
        <v>1</v>
      </c>
      <c r="I646" s="114">
        <v>66</v>
      </c>
      <c r="J646" s="115">
        <f t="shared" ref="J646:J649" si="128">ROUND(+H646*I646,2)</f>
        <v>66</v>
      </c>
      <c r="K646" s="115">
        <f t="shared" ref="K646:K649" si="129">J646*1.2</f>
        <v>79.2</v>
      </c>
      <c r="L646" s="104">
        <v>79.2</v>
      </c>
      <c r="M646" s="152">
        <v>45432</v>
      </c>
      <c r="N646" s="115">
        <f>+Table6[[#This Row],[стойност с ДДС]]-Table6[[#This Row],[плащане]]</f>
        <v>0</v>
      </c>
      <c r="O646" s="208">
        <v>45432</v>
      </c>
    </row>
    <row r="647" spans="1:15" x14ac:dyDescent="0.3">
      <c r="A647" s="97" t="s">
        <v>82</v>
      </c>
      <c r="B647" s="393">
        <v>3000002812</v>
      </c>
      <c r="C647" s="110">
        <v>45426</v>
      </c>
      <c r="D647" s="97"/>
      <c r="E647" s="111" t="s">
        <v>33</v>
      </c>
      <c r="F647" s="101"/>
      <c r="G647" s="97"/>
      <c r="H647" s="113">
        <v>1</v>
      </c>
      <c r="I647" s="114">
        <v>69.02</v>
      </c>
      <c r="J647" s="115">
        <f t="shared" si="128"/>
        <v>69.02</v>
      </c>
      <c r="K647" s="115">
        <f t="shared" si="129"/>
        <v>82.823999999999998</v>
      </c>
      <c r="L647" s="104">
        <v>82.823999999999998</v>
      </c>
      <c r="M647" s="152">
        <v>45432</v>
      </c>
      <c r="N647" s="115">
        <f>+Table6[[#This Row],[стойност с ДДС]]-Table6[[#This Row],[плащане]]</f>
        <v>0</v>
      </c>
      <c r="O647" s="208">
        <v>45432</v>
      </c>
    </row>
    <row r="648" spans="1:15" x14ac:dyDescent="0.3">
      <c r="A648" s="97" t="s">
        <v>82</v>
      </c>
      <c r="B648" s="393">
        <v>3000002812</v>
      </c>
      <c r="C648" s="110">
        <v>45426</v>
      </c>
      <c r="D648" s="97"/>
      <c r="E648" s="8" t="s">
        <v>76</v>
      </c>
      <c r="F648" s="101"/>
      <c r="G648" s="97"/>
      <c r="H648" s="113">
        <v>93</v>
      </c>
      <c r="I648" s="114">
        <v>0.82769999999999999</v>
      </c>
      <c r="J648" s="115">
        <f t="shared" si="128"/>
        <v>76.98</v>
      </c>
      <c r="K648" s="115">
        <f t="shared" si="129"/>
        <v>92.376000000000005</v>
      </c>
      <c r="L648" s="104">
        <v>92.376000000000005</v>
      </c>
      <c r="M648" s="152">
        <v>45432</v>
      </c>
      <c r="N648" s="115">
        <f>+Table6[[#This Row],[стойност с ДДС]]-Table6[[#This Row],[плащане]]</f>
        <v>0</v>
      </c>
      <c r="O648" s="208">
        <v>45432</v>
      </c>
    </row>
    <row r="649" spans="1:15" x14ac:dyDescent="0.3">
      <c r="A649" s="116" t="s">
        <v>82</v>
      </c>
      <c r="B649" s="394">
        <v>3000002812</v>
      </c>
      <c r="C649" s="117">
        <v>45426</v>
      </c>
      <c r="D649" s="116"/>
      <c r="E649" s="8" t="s">
        <v>63</v>
      </c>
      <c r="F649" s="118"/>
      <c r="G649" s="116"/>
      <c r="H649" s="141">
        <v>186</v>
      </c>
      <c r="I649" s="142">
        <v>1.0054000000000001</v>
      </c>
      <c r="J649" s="130">
        <f t="shared" si="128"/>
        <v>187</v>
      </c>
      <c r="K649" s="130">
        <f t="shared" si="129"/>
        <v>224.4</v>
      </c>
      <c r="L649" s="129">
        <v>224.4</v>
      </c>
      <c r="M649" s="152">
        <v>45432</v>
      </c>
      <c r="N649" s="130">
        <f>+Table6[[#This Row],[стойност с ДДС]]-Table6[[#This Row],[плащане]]</f>
        <v>0</v>
      </c>
      <c r="O649" s="208">
        <v>45432</v>
      </c>
    </row>
    <row r="650" spans="1:15" x14ac:dyDescent="0.3">
      <c r="A650" s="116" t="s">
        <v>92</v>
      </c>
      <c r="B650" s="394">
        <v>3000002813</v>
      </c>
      <c r="C650" s="117">
        <v>45426</v>
      </c>
      <c r="D650" s="116"/>
      <c r="E650" s="111" t="s">
        <v>33</v>
      </c>
      <c r="F650" s="118"/>
      <c r="G650" s="116"/>
      <c r="H650" s="141">
        <v>1</v>
      </c>
      <c r="I650" s="142">
        <v>615.94000000000005</v>
      </c>
      <c r="J650" s="130">
        <f t="shared" ref="J650:J660" si="130">ROUND(+H650*I650,2)</f>
        <v>615.94000000000005</v>
      </c>
      <c r="K650" s="130">
        <f t="shared" ref="K650:K660" si="131">J650*1.2</f>
        <v>739.12800000000004</v>
      </c>
      <c r="L650" s="129">
        <v>739.12800000000004</v>
      </c>
      <c r="M650" s="152">
        <v>45432</v>
      </c>
      <c r="N650" s="130">
        <f>+Table6[[#This Row],[стойност с ДДС]]-Table6[[#This Row],[плащане]]</f>
        <v>0</v>
      </c>
      <c r="O650" s="208"/>
    </row>
    <row r="651" spans="1:15" ht="37.5" x14ac:dyDescent="0.3">
      <c r="A651" s="116" t="s">
        <v>50</v>
      </c>
      <c r="B651" s="394">
        <v>3000002814</v>
      </c>
      <c r="C651" s="117">
        <v>45433</v>
      </c>
      <c r="D651" s="116"/>
      <c r="E651" s="111" t="s">
        <v>53</v>
      </c>
      <c r="F651" s="118"/>
      <c r="G651" s="116"/>
      <c r="H651" s="141">
        <v>3742.489</v>
      </c>
      <c r="I651" s="142">
        <v>54.7</v>
      </c>
      <c r="J651" s="130">
        <f t="shared" si="130"/>
        <v>204714.15</v>
      </c>
      <c r="K651" s="130">
        <f t="shared" si="131"/>
        <v>245656.97999999998</v>
      </c>
      <c r="L651" s="129">
        <v>245656.97999999998</v>
      </c>
      <c r="M651" s="152">
        <v>45439</v>
      </c>
      <c r="N651" s="130">
        <f>+Table6[[#This Row],[стойност с ДДС]]-Table6[[#This Row],[плащане]]</f>
        <v>0</v>
      </c>
      <c r="O651" s="208"/>
    </row>
    <row r="652" spans="1:15" x14ac:dyDescent="0.3">
      <c r="A652" s="116" t="s">
        <v>50</v>
      </c>
      <c r="B652" s="394">
        <v>3000002814</v>
      </c>
      <c r="C652" s="117">
        <v>45433</v>
      </c>
      <c r="D652" s="116"/>
      <c r="E652" s="145" t="s">
        <v>76</v>
      </c>
      <c r="F652" s="118"/>
      <c r="G652" s="116"/>
      <c r="H652" s="141">
        <v>250</v>
      </c>
      <c r="I652" s="142">
        <v>63.7316</v>
      </c>
      <c r="J652" s="130">
        <f t="shared" si="130"/>
        <v>15932.9</v>
      </c>
      <c r="K652" s="130">
        <f t="shared" si="131"/>
        <v>19119.48</v>
      </c>
      <c r="L652" s="129">
        <v>19119.48</v>
      </c>
      <c r="M652" s="152">
        <v>45439</v>
      </c>
      <c r="N652" s="130">
        <f>+Table6[[#This Row],[стойност с ДДС]]-Table6[[#This Row],[плащане]]</f>
        <v>0</v>
      </c>
      <c r="O652" s="208"/>
    </row>
    <row r="653" spans="1:15" ht="37.5" x14ac:dyDescent="0.3">
      <c r="A653" s="116" t="s">
        <v>64</v>
      </c>
      <c r="B653" s="394">
        <v>3000002815</v>
      </c>
      <c r="C653" s="117">
        <v>45433</v>
      </c>
      <c r="D653" s="116"/>
      <c r="E653" s="111" t="s">
        <v>53</v>
      </c>
      <c r="F653" s="224" t="e" cm="1" vm="1">
        <f t="array" aca="1" ref="F653" ca="1">K651:K666</f>
        <v>#VALUE!</v>
      </c>
      <c r="G653" s="116"/>
      <c r="H653" s="141">
        <v>971.34199999999998</v>
      </c>
      <c r="I653" s="142">
        <v>54.7</v>
      </c>
      <c r="J653" s="130">
        <f t="shared" si="130"/>
        <v>53132.41</v>
      </c>
      <c r="K653" s="130">
        <f t="shared" si="131"/>
        <v>63758.892</v>
      </c>
      <c r="L653" s="129">
        <v>63758.892</v>
      </c>
      <c r="M653" s="152">
        <v>45439</v>
      </c>
      <c r="N653" s="130">
        <f>+Table6[[#This Row],[стойност с ДДС]]-Table6[[#This Row],[плащане]]</f>
        <v>0</v>
      </c>
      <c r="O653" s="208"/>
    </row>
    <row r="654" spans="1:15" ht="37.5" x14ac:dyDescent="0.3">
      <c r="A654" s="116" t="s">
        <v>64</v>
      </c>
      <c r="B654" s="394">
        <v>3000002815</v>
      </c>
      <c r="C654" s="117">
        <v>45433</v>
      </c>
      <c r="D654" s="116"/>
      <c r="E654" s="111" t="s">
        <v>53</v>
      </c>
      <c r="F654" s="118"/>
      <c r="G654" s="116"/>
      <c r="H654" s="141">
        <v>275.48899999999998</v>
      </c>
      <c r="I654" s="142">
        <v>54.7</v>
      </c>
      <c r="J654" s="130">
        <f t="shared" si="130"/>
        <v>15069.25</v>
      </c>
      <c r="K654" s="130">
        <f t="shared" si="131"/>
        <v>18083.099999999999</v>
      </c>
      <c r="L654" s="129">
        <v>18083.099999999999</v>
      </c>
      <c r="M654" s="152">
        <v>45439</v>
      </c>
      <c r="N654" s="130">
        <f>+Table6[[#This Row],[стойност с ДДС]]-Table6[[#This Row],[плащане]]</f>
        <v>0</v>
      </c>
      <c r="O654" s="208"/>
    </row>
    <row r="655" spans="1:15" x14ac:dyDescent="0.3">
      <c r="A655" s="116" t="s">
        <v>64</v>
      </c>
      <c r="B655" s="394">
        <v>3000002815</v>
      </c>
      <c r="C655" s="117">
        <v>45433</v>
      </c>
      <c r="D655" s="116"/>
      <c r="E655" s="145" t="s">
        <v>76</v>
      </c>
      <c r="F655" s="118"/>
      <c r="G655" s="116"/>
      <c r="H655" s="141">
        <v>100</v>
      </c>
      <c r="I655" s="142">
        <v>63.7316</v>
      </c>
      <c r="J655" s="130">
        <f t="shared" si="130"/>
        <v>6373.16</v>
      </c>
      <c r="K655" s="130">
        <f t="shared" si="131"/>
        <v>7647.7919999999995</v>
      </c>
      <c r="L655" s="129">
        <v>7647.7919999999995</v>
      </c>
      <c r="M655" s="152">
        <v>45439</v>
      </c>
      <c r="N655" s="130">
        <f>+Table6[[#This Row],[стойност с ДДС]]-Table6[[#This Row],[плащане]]</f>
        <v>0</v>
      </c>
      <c r="O655" s="208"/>
    </row>
    <row r="656" spans="1:15" x14ac:dyDescent="0.3">
      <c r="A656" s="116" t="s">
        <v>62</v>
      </c>
      <c r="B656" s="394">
        <v>3000002816</v>
      </c>
      <c r="C656" s="117">
        <v>45433</v>
      </c>
      <c r="D656" s="116"/>
      <c r="E656" s="116" t="s">
        <v>53</v>
      </c>
      <c r="F656" s="118"/>
      <c r="G656" s="116"/>
      <c r="H656" s="141">
        <v>5241.4989999999998</v>
      </c>
      <c r="I656" s="142">
        <v>54.7</v>
      </c>
      <c r="J656" s="130">
        <f t="shared" si="130"/>
        <v>286710</v>
      </c>
      <c r="K656" s="130">
        <f t="shared" si="131"/>
        <v>344052</v>
      </c>
      <c r="L656" s="129">
        <v>344052</v>
      </c>
      <c r="M656" s="152">
        <v>45439</v>
      </c>
      <c r="N656" s="130">
        <f>+Table6[[#This Row],[стойност с ДДС]]-Table6[[#This Row],[плащане]]</f>
        <v>0</v>
      </c>
      <c r="O656" s="208"/>
    </row>
    <row r="657" spans="1:15" x14ac:dyDescent="0.3">
      <c r="A657" s="116" t="s">
        <v>62</v>
      </c>
      <c r="B657" s="394">
        <v>3000002816</v>
      </c>
      <c r="C657" s="117">
        <v>45433</v>
      </c>
      <c r="D657" s="116"/>
      <c r="E657" s="116" t="s">
        <v>76</v>
      </c>
      <c r="F657" s="118"/>
      <c r="G657" s="116"/>
      <c r="H657" s="141">
        <v>750</v>
      </c>
      <c r="I657" s="142">
        <v>63.7316</v>
      </c>
      <c r="J657" s="130">
        <f t="shared" si="130"/>
        <v>47798.7</v>
      </c>
      <c r="K657" s="130">
        <f t="shared" si="131"/>
        <v>57358.439999999995</v>
      </c>
      <c r="L657" s="129">
        <v>57358.439999999995</v>
      </c>
      <c r="M657" s="152">
        <v>45439</v>
      </c>
      <c r="N657" s="130">
        <f>+Table6[[#This Row],[стойност с ДДС]]-Table6[[#This Row],[плащане]]</f>
        <v>0</v>
      </c>
      <c r="O657" s="208"/>
    </row>
    <row r="658" spans="1:15" x14ac:dyDescent="0.3">
      <c r="A658" s="116" t="s">
        <v>67</v>
      </c>
      <c r="B658" s="394">
        <v>3000002817</v>
      </c>
      <c r="C658" s="117">
        <v>45433</v>
      </c>
      <c r="D658" s="116"/>
      <c r="E658" s="116" t="s">
        <v>53</v>
      </c>
      <c r="F658" s="118"/>
      <c r="G658" s="116"/>
      <c r="H658" s="141">
        <v>12990.26</v>
      </c>
      <c r="I658" s="142">
        <v>54.7</v>
      </c>
      <c r="J658" s="130">
        <f t="shared" si="130"/>
        <v>710567.22</v>
      </c>
      <c r="K658" s="130">
        <f t="shared" si="131"/>
        <v>852680.66399999999</v>
      </c>
      <c r="L658" s="129">
        <v>852680.66399999999</v>
      </c>
      <c r="M658" s="152">
        <v>45440</v>
      </c>
      <c r="N658" s="130">
        <f>+Table6[[#This Row],[стойност с ДДС]]-Table6[[#This Row],[плащане]]</f>
        <v>0</v>
      </c>
      <c r="O658" s="208"/>
    </row>
    <row r="659" spans="1:15" x14ac:dyDescent="0.3">
      <c r="A659" s="116" t="s">
        <v>67</v>
      </c>
      <c r="B659" s="394">
        <v>3000002817</v>
      </c>
      <c r="C659" s="117">
        <v>45433</v>
      </c>
      <c r="D659" s="116"/>
      <c r="E659" s="116" t="s">
        <v>63</v>
      </c>
      <c r="F659" s="118"/>
      <c r="G659" s="116"/>
      <c r="H659" s="141">
        <v>340</v>
      </c>
      <c r="I659" s="142">
        <v>78.8977</v>
      </c>
      <c r="J659" s="130">
        <f t="shared" si="130"/>
        <v>26825.22</v>
      </c>
      <c r="K659" s="130">
        <f t="shared" si="131"/>
        <v>32190.263999999999</v>
      </c>
      <c r="L659" s="129">
        <v>32190.263999999999</v>
      </c>
      <c r="M659" s="152">
        <v>45440</v>
      </c>
      <c r="N659" s="130">
        <f>+Table6[[#This Row],[стойност с ДДС]]-Table6[[#This Row],[плащане]]</f>
        <v>0</v>
      </c>
      <c r="O659" s="208"/>
    </row>
    <row r="660" spans="1:15" x14ac:dyDescent="0.3">
      <c r="A660" s="116" t="s">
        <v>83</v>
      </c>
      <c r="B660" s="394">
        <v>3000002818</v>
      </c>
      <c r="C660" s="117">
        <v>45433</v>
      </c>
      <c r="D660" s="116"/>
      <c r="E660" s="116" t="s">
        <v>53</v>
      </c>
      <c r="F660" s="118"/>
      <c r="G660" s="116"/>
      <c r="H660" s="141">
        <v>900</v>
      </c>
      <c r="I660" s="142">
        <v>54.7</v>
      </c>
      <c r="J660" s="130">
        <f t="shared" si="130"/>
        <v>49230</v>
      </c>
      <c r="K660" s="130">
        <f t="shared" si="131"/>
        <v>59076</v>
      </c>
      <c r="L660" s="129">
        <v>59076</v>
      </c>
      <c r="M660" s="152">
        <v>45440</v>
      </c>
      <c r="N660" s="130">
        <f>+Table6[[#This Row],[стойност с ДДС]]-Table6[[#This Row],[плащане]]</f>
        <v>0</v>
      </c>
      <c r="O660" s="208"/>
    </row>
    <row r="661" spans="1:15" x14ac:dyDescent="0.3">
      <c r="A661" s="97" t="s">
        <v>83</v>
      </c>
      <c r="B661" s="393">
        <v>3000002818</v>
      </c>
      <c r="C661" s="117">
        <v>45433</v>
      </c>
      <c r="D661" s="97"/>
      <c r="E661" s="116" t="s">
        <v>76</v>
      </c>
      <c r="F661" s="101"/>
      <c r="G661" s="97"/>
      <c r="H661" s="113">
        <v>50</v>
      </c>
      <c r="I661" s="114">
        <v>63.7316</v>
      </c>
      <c r="J661" s="115">
        <f t="shared" ref="J661:J664" si="132">ROUND(+H661*I661,2)</f>
        <v>3186.58</v>
      </c>
      <c r="K661" s="115">
        <f t="shared" ref="K661:K663" si="133">J661*1.2</f>
        <v>3823.8959999999997</v>
      </c>
      <c r="L661" s="104">
        <v>3823.8959999999997</v>
      </c>
      <c r="M661" s="152">
        <v>45440</v>
      </c>
      <c r="N661" s="115">
        <f>+Table6[[#This Row],[стойност с ДДС]]-Table6[[#This Row],[плащане]]</f>
        <v>0</v>
      </c>
      <c r="O661" s="208"/>
    </row>
    <row r="662" spans="1:15" x14ac:dyDescent="0.3">
      <c r="A662" s="97" t="s">
        <v>77</v>
      </c>
      <c r="B662" s="393">
        <v>3000002819</v>
      </c>
      <c r="C662" s="117">
        <v>45433</v>
      </c>
      <c r="D662" s="97"/>
      <c r="E662" s="97" t="s">
        <v>53</v>
      </c>
      <c r="F662" s="101"/>
      <c r="G662" s="97"/>
      <c r="H662" s="113">
        <v>13503.588</v>
      </c>
      <c r="I662" s="114">
        <v>54.7</v>
      </c>
      <c r="J662" s="115">
        <f t="shared" si="132"/>
        <v>738646.26</v>
      </c>
      <c r="K662" s="115">
        <f t="shared" si="133"/>
        <v>886375.51199999999</v>
      </c>
      <c r="L662" s="104">
        <v>886375.51199999999</v>
      </c>
      <c r="M662" s="107">
        <v>45440</v>
      </c>
      <c r="N662" s="115">
        <f>+Table6[[#This Row],[стойност с ДДС]]-Table6[[#This Row],[плащане]]</f>
        <v>0</v>
      </c>
      <c r="O662" s="208"/>
    </row>
    <row r="663" spans="1:15" x14ac:dyDescent="0.3">
      <c r="A663" s="97" t="s">
        <v>77</v>
      </c>
      <c r="B663" s="393">
        <v>3000002819</v>
      </c>
      <c r="C663" s="117">
        <v>45433</v>
      </c>
      <c r="D663" s="97"/>
      <c r="E663" s="97" t="s">
        <v>63</v>
      </c>
      <c r="F663" s="101"/>
      <c r="G663" s="97"/>
      <c r="H663" s="113">
        <v>238</v>
      </c>
      <c r="I663" s="114">
        <v>78.8977</v>
      </c>
      <c r="J663" s="115">
        <f t="shared" si="132"/>
        <v>18777.650000000001</v>
      </c>
      <c r="K663" s="115">
        <f t="shared" si="133"/>
        <v>22533.18</v>
      </c>
      <c r="L663" s="104">
        <v>22533.18</v>
      </c>
      <c r="M663" s="107">
        <v>45440</v>
      </c>
      <c r="N663" s="115">
        <f>+Table6[[#This Row],[стойност с ДДС]]-Table6[[#This Row],[плащане]]</f>
        <v>0</v>
      </c>
      <c r="O663" s="208"/>
    </row>
    <row r="664" spans="1:15" x14ac:dyDescent="0.3">
      <c r="A664" s="290" t="s">
        <v>69</v>
      </c>
      <c r="B664" s="400">
        <v>3000002820</v>
      </c>
      <c r="C664" s="282">
        <v>45433</v>
      </c>
      <c r="D664" s="290"/>
      <c r="E664" s="283" t="s">
        <v>33</v>
      </c>
      <c r="F664" s="292"/>
      <c r="G664" s="290"/>
      <c r="H664" s="293">
        <v>1</v>
      </c>
      <c r="I664" s="294">
        <v>7766.2</v>
      </c>
      <c r="J664" s="295">
        <f t="shared" si="132"/>
        <v>7766.2</v>
      </c>
      <c r="K664" s="295"/>
      <c r="L664" s="296"/>
      <c r="M664" s="297">
        <v>45440</v>
      </c>
      <c r="N664" s="115">
        <f>+Table6[[#This Row],[стойност с ДДС]]-Table6[[#This Row],[плащане]]</f>
        <v>0</v>
      </c>
      <c r="O664" s="208"/>
    </row>
    <row r="665" spans="1:15" x14ac:dyDescent="0.3">
      <c r="A665" s="281" t="s">
        <v>72</v>
      </c>
      <c r="B665" s="399">
        <v>3000002821</v>
      </c>
      <c r="C665" s="282">
        <v>45433</v>
      </c>
      <c r="D665" s="281"/>
      <c r="E665" s="283" t="s">
        <v>33</v>
      </c>
      <c r="F665" s="284"/>
      <c r="G665" s="281"/>
      <c r="H665" s="285">
        <v>1</v>
      </c>
      <c r="I665" s="286">
        <v>10899.46</v>
      </c>
      <c r="J665" s="287">
        <f>ROUND(+H665*I665,2)</f>
        <v>10899.46</v>
      </c>
      <c r="K665" s="287"/>
      <c r="L665" s="288"/>
      <c r="M665" s="289">
        <v>45440</v>
      </c>
      <c r="N665" s="130">
        <f>+Table6[[#This Row],[стойност с ДДС]]-Table6[[#This Row],[плащане]]</f>
        <v>0</v>
      </c>
      <c r="O665" s="208"/>
    </row>
    <row r="666" spans="1:15" x14ac:dyDescent="0.3">
      <c r="A666" s="97" t="s">
        <v>82</v>
      </c>
      <c r="B666" s="393">
        <v>3000002822</v>
      </c>
      <c r="C666" s="117">
        <v>45433</v>
      </c>
      <c r="D666" s="97"/>
      <c r="E666" s="111" t="s">
        <v>33</v>
      </c>
      <c r="F666" s="101"/>
      <c r="G666" s="97"/>
      <c r="H666" s="113">
        <v>1</v>
      </c>
      <c r="I666" s="114">
        <v>6805.92</v>
      </c>
      <c r="J666" s="115">
        <f t="shared" ref="J666:J668" si="134">ROUND(+H666*I666,2)</f>
        <v>6805.92</v>
      </c>
      <c r="K666" s="115">
        <f t="shared" ref="K666:K668" si="135">J666*1.2</f>
        <v>8167.1039999999994</v>
      </c>
      <c r="L666" s="104">
        <v>8167.1039999999994</v>
      </c>
      <c r="M666" s="107">
        <v>45441</v>
      </c>
      <c r="N666" s="115">
        <f>+Table6[[#This Row],[стойност с ДДС]]-Table6[[#This Row],[плащане]]</f>
        <v>0</v>
      </c>
      <c r="O666" s="208"/>
    </row>
    <row r="667" spans="1:15" x14ac:dyDescent="0.3">
      <c r="A667" s="97" t="s">
        <v>82</v>
      </c>
      <c r="B667" s="393">
        <v>3000002822</v>
      </c>
      <c r="C667" s="117">
        <v>45433</v>
      </c>
      <c r="D667" s="97"/>
      <c r="E667" s="111" t="s">
        <v>33</v>
      </c>
      <c r="F667" s="101"/>
      <c r="G667" s="97"/>
      <c r="H667" s="113">
        <v>1</v>
      </c>
      <c r="I667" s="114">
        <v>66</v>
      </c>
      <c r="J667" s="115">
        <f t="shared" si="134"/>
        <v>66</v>
      </c>
      <c r="K667" s="115">
        <f t="shared" si="135"/>
        <v>79.2</v>
      </c>
      <c r="L667" s="104">
        <v>79.2</v>
      </c>
      <c r="M667" s="107">
        <v>45441</v>
      </c>
      <c r="N667" s="115">
        <f>+Table6[[#This Row],[стойност с ДДС]]-Table6[[#This Row],[плащане]]</f>
        <v>0</v>
      </c>
      <c r="O667" s="208"/>
    </row>
    <row r="668" spans="1:15" x14ac:dyDescent="0.3">
      <c r="A668" s="97" t="s">
        <v>82</v>
      </c>
      <c r="B668" s="393">
        <v>3000002822</v>
      </c>
      <c r="C668" s="117">
        <v>45433</v>
      </c>
      <c r="D668" s="97"/>
      <c r="E668" s="111" t="s">
        <v>33</v>
      </c>
      <c r="F668" s="101"/>
      <c r="G668" s="97"/>
      <c r="H668" s="113">
        <v>1</v>
      </c>
      <c r="I668" s="114">
        <v>69.02</v>
      </c>
      <c r="J668" s="115">
        <f t="shared" si="134"/>
        <v>69.02</v>
      </c>
      <c r="K668" s="115">
        <f t="shared" si="135"/>
        <v>82.823999999999998</v>
      </c>
      <c r="L668" s="104">
        <v>82.823999999999998</v>
      </c>
      <c r="M668" s="107">
        <v>45441</v>
      </c>
      <c r="N668" s="115">
        <f>+Table6[[#This Row],[стойност с ДДС]]-Table6[[#This Row],[плащане]]</f>
        <v>0</v>
      </c>
      <c r="O668" s="208"/>
    </row>
    <row r="669" spans="1:15" x14ac:dyDescent="0.3">
      <c r="A669" s="116" t="s">
        <v>49</v>
      </c>
      <c r="B669" s="394">
        <v>3000002823</v>
      </c>
      <c r="C669" s="117">
        <v>45433</v>
      </c>
      <c r="D669" s="116"/>
      <c r="E669" s="111" t="s">
        <v>33</v>
      </c>
      <c r="F669" s="118"/>
      <c r="G669" s="116"/>
      <c r="H669" s="141">
        <v>1</v>
      </c>
      <c r="I669" s="142">
        <v>1139.76</v>
      </c>
      <c r="J669" s="130">
        <f t="shared" ref="J669:J674" si="136">ROUND(+H669*I669,2)</f>
        <v>1139.76</v>
      </c>
      <c r="K669" s="130">
        <f>J669*1.2</f>
        <v>1367.712</v>
      </c>
      <c r="L669" s="129">
        <v>1367.712</v>
      </c>
      <c r="M669" s="152">
        <v>45441</v>
      </c>
      <c r="N669" s="130">
        <f>+Table6[[#This Row],[стойност с ДДС]]-Table6[[#This Row],[плащане]]</f>
        <v>0</v>
      </c>
      <c r="O669" s="208"/>
    </row>
    <row r="670" spans="1:15" x14ac:dyDescent="0.3">
      <c r="A670" s="116" t="s">
        <v>1085</v>
      </c>
      <c r="B670" s="394">
        <v>3000002824</v>
      </c>
      <c r="C670" s="117">
        <v>45433</v>
      </c>
      <c r="D670" s="116"/>
      <c r="E670" s="111" t="s">
        <v>33</v>
      </c>
      <c r="F670" s="118"/>
      <c r="G670" s="116"/>
      <c r="H670" s="141">
        <v>1</v>
      </c>
      <c r="I670" s="142">
        <v>615.94000000000005</v>
      </c>
      <c r="J670" s="130">
        <f t="shared" si="136"/>
        <v>615.94000000000005</v>
      </c>
      <c r="K670" s="130">
        <f>J670*1.2</f>
        <v>739.12800000000004</v>
      </c>
      <c r="L670" s="129">
        <v>739.12800000000004</v>
      </c>
      <c r="M670" s="152">
        <v>45441</v>
      </c>
      <c r="N670" s="130">
        <f>+Table6[[#This Row],[стойност с ДДС]]-Table6[[#This Row],[плащане]]</f>
        <v>0</v>
      </c>
      <c r="O670" s="208"/>
    </row>
    <row r="671" spans="1:15" x14ac:dyDescent="0.3">
      <c r="A671" s="116" t="s">
        <v>1118</v>
      </c>
      <c r="B671" s="394">
        <v>3100000505</v>
      </c>
      <c r="C671" s="117">
        <v>45439</v>
      </c>
      <c r="D671" s="116"/>
      <c r="E671" s="116" t="s">
        <v>36</v>
      </c>
      <c r="F671" s="118"/>
      <c r="G671" s="116"/>
      <c r="H671" s="141">
        <v>180</v>
      </c>
      <c r="I671" s="142">
        <v>53</v>
      </c>
      <c r="J671" s="130">
        <f t="shared" si="136"/>
        <v>9540</v>
      </c>
      <c r="K671" s="130">
        <f>+Table6[[#This Row],[стойност]]</f>
        <v>9540</v>
      </c>
      <c r="L671" s="129">
        <v>9540</v>
      </c>
      <c r="M671" s="152">
        <v>45444</v>
      </c>
      <c r="N671" s="130">
        <f>+Table6[[#This Row],[стойност с ДДС]]-Table6[[#This Row],[плащане]]</f>
        <v>0</v>
      </c>
      <c r="O671" s="208">
        <v>45444</v>
      </c>
    </row>
    <row r="672" spans="1:15" x14ac:dyDescent="0.3">
      <c r="A672" s="116" t="s">
        <v>1118</v>
      </c>
      <c r="B672" s="393">
        <v>3100000503</v>
      </c>
      <c r="C672" s="110">
        <v>45439</v>
      </c>
      <c r="D672" s="97"/>
      <c r="E672" s="116" t="s">
        <v>36</v>
      </c>
      <c r="F672" s="101"/>
      <c r="G672" s="97"/>
      <c r="H672" s="113">
        <v>20</v>
      </c>
      <c r="I672" s="114">
        <v>52.8</v>
      </c>
      <c r="J672" s="115">
        <f t="shared" si="136"/>
        <v>1056</v>
      </c>
      <c r="K672" s="115">
        <f>+Table6[[#This Row],[стойност]]</f>
        <v>1056</v>
      </c>
      <c r="L672" s="104">
        <v>1056</v>
      </c>
      <c r="M672" s="152">
        <v>45444</v>
      </c>
      <c r="N672" s="115">
        <f>+Table6[[#This Row],[стойност с ДДС]]-Table6[[#This Row],[плащане]]</f>
        <v>0</v>
      </c>
      <c r="O672" s="208">
        <v>45444</v>
      </c>
    </row>
    <row r="673" spans="1:15" x14ac:dyDescent="0.3">
      <c r="A673" s="116" t="s">
        <v>1119</v>
      </c>
      <c r="B673" s="394">
        <v>3100000504</v>
      </c>
      <c r="C673" s="117">
        <v>45439</v>
      </c>
      <c r="D673" s="116"/>
      <c r="E673" s="116" t="s">
        <v>36</v>
      </c>
      <c r="F673" s="118"/>
      <c r="G673" s="116"/>
      <c r="H673" s="141">
        <v>180</v>
      </c>
      <c r="I673" s="142">
        <v>53</v>
      </c>
      <c r="J673" s="130">
        <f t="shared" si="136"/>
        <v>9540</v>
      </c>
      <c r="K673" s="130">
        <f>+Table6[[#This Row],[стойност]]</f>
        <v>9540</v>
      </c>
      <c r="L673" s="129"/>
      <c r="M673" s="152"/>
      <c r="N673" s="130">
        <f>+Table6[[#This Row],[стойност с ДДС]]-Table6[[#This Row],[плащане]]</f>
        <v>9540</v>
      </c>
      <c r="O673" s="208"/>
    </row>
    <row r="674" spans="1:15" x14ac:dyDescent="0.3">
      <c r="A674" s="116" t="s">
        <v>105</v>
      </c>
      <c r="B674" s="394">
        <v>3100000506</v>
      </c>
      <c r="C674" s="117">
        <v>45443</v>
      </c>
      <c r="D674" s="116"/>
      <c r="E674" s="116" t="s">
        <v>36</v>
      </c>
      <c r="F674" s="118"/>
      <c r="G674" s="116"/>
      <c r="H674" s="141">
        <v>60</v>
      </c>
      <c r="I674" s="142">
        <v>51.1</v>
      </c>
      <c r="J674" s="130">
        <f t="shared" si="136"/>
        <v>3066</v>
      </c>
      <c r="K674" s="130">
        <f t="shared" ref="K674:K680" si="137">J674*1.2</f>
        <v>3679.2</v>
      </c>
      <c r="L674" s="129">
        <v>3679.2</v>
      </c>
      <c r="M674" s="152">
        <v>45447</v>
      </c>
      <c r="N674" s="130">
        <f>+Table6[[#This Row],[стойност с ДДС]]-Table6[[#This Row],[плащане]]</f>
        <v>0</v>
      </c>
      <c r="O674" s="208">
        <v>45448</v>
      </c>
    </row>
    <row r="675" spans="1:15" x14ac:dyDescent="0.3">
      <c r="A675" s="116" t="s">
        <v>99</v>
      </c>
      <c r="B675" s="394">
        <v>3000002825</v>
      </c>
      <c r="C675" s="117">
        <v>45443</v>
      </c>
      <c r="D675" s="116"/>
      <c r="E675" s="8" t="s">
        <v>119</v>
      </c>
      <c r="F675" s="118"/>
      <c r="G675" s="116"/>
      <c r="H675" s="141">
        <v>453.84500000000003</v>
      </c>
      <c r="I675" s="142">
        <v>46.877679999999998</v>
      </c>
      <c r="J675" s="130">
        <f t="shared" ref="J675:J680" si="138">ROUND(+H675*I675,2)</f>
        <v>21275.200000000001</v>
      </c>
      <c r="K675" s="130">
        <f t="shared" si="137"/>
        <v>25530.240000000002</v>
      </c>
      <c r="L675" s="129">
        <v>25530.240000000002</v>
      </c>
      <c r="M675" s="152">
        <v>45447</v>
      </c>
      <c r="N675" s="130">
        <f>+Table6[[#This Row],[стойност с ДДС]]-Table6[[#This Row],[плащане]]</f>
        <v>0</v>
      </c>
      <c r="O675" s="208">
        <v>45448</v>
      </c>
    </row>
    <row r="676" spans="1:15" x14ac:dyDescent="0.3">
      <c r="A676" s="116" t="s">
        <v>1182</v>
      </c>
      <c r="B676" s="394">
        <v>3100000507</v>
      </c>
      <c r="C676" s="117">
        <v>45443</v>
      </c>
      <c r="D676" s="116"/>
      <c r="E676" s="116" t="s">
        <v>36</v>
      </c>
      <c r="F676" s="118"/>
      <c r="G676" s="116"/>
      <c r="H676" s="141">
        <v>200</v>
      </c>
      <c r="I676" s="142">
        <f>26.587*1.9563</f>
        <v>52.012148099999997</v>
      </c>
      <c r="J676" s="130">
        <f t="shared" si="138"/>
        <v>10402.43</v>
      </c>
      <c r="K676" s="130">
        <f t="shared" si="137"/>
        <v>12482.915999999999</v>
      </c>
      <c r="L676" s="129">
        <v>12482.915999999999</v>
      </c>
      <c r="M676" s="152">
        <v>45447</v>
      </c>
      <c r="N676" s="130">
        <f>+Table6[[#This Row],[стойност с ДДС]]-Table6[[#This Row],[плащане]]</f>
        <v>0</v>
      </c>
      <c r="O676" s="208">
        <v>45448</v>
      </c>
    </row>
    <row r="677" spans="1:15" x14ac:dyDescent="0.3">
      <c r="A677" s="116" t="s">
        <v>1182</v>
      </c>
      <c r="B677" s="394">
        <v>3100000507</v>
      </c>
      <c r="C677" s="117">
        <v>45443</v>
      </c>
      <c r="D677" s="116"/>
      <c r="E677" s="116" t="s">
        <v>36</v>
      </c>
      <c r="F677" s="118"/>
      <c r="G677" s="116"/>
      <c r="H677" s="141">
        <v>377</v>
      </c>
      <c r="I677" s="142">
        <f>26.587*1.9563</f>
        <v>52.012148099999997</v>
      </c>
      <c r="J677" s="130">
        <f t="shared" si="138"/>
        <v>19608.580000000002</v>
      </c>
      <c r="K677" s="130">
        <f t="shared" si="137"/>
        <v>23530.296000000002</v>
      </c>
      <c r="L677" s="129">
        <v>23530.296000000002</v>
      </c>
      <c r="M677" s="152">
        <v>45447</v>
      </c>
      <c r="N677" s="130">
        <f>+Table6[[#This Row],[стойност с ДДС]]-Table6[[#This Row],[плащане]]</f>
        <v>0</v>
      </c>
      <c r="O677" s="208">
        <v>45448</v>
      </c>
    </row>
    <row r="678" spans="1:15" x14ac:dyDescent="0.3">
      <c r="A678" s="116" t="s">
        <v>72</v>
      </c>
      <c r="B678" s="394">
        <v>3000002834</v>
      </c>
      <c r="C678" s="117">
        <v>45443</v>
      </c>
      <c r="D678" s="116"/>
      <c r="E678" s="111" t="s">
        <v>33</v>
      </c>
      <c r="F678" s="118" t="s">
        <v>85</v>
      </c>
      <c r="G678" s="116"/>
      <c r="H678" s="141">
        <v>-1</v>
      </c>
      <c r="I678" s="142">
        <v>1379.64</v>
      </c>
      <c r="J678" s="130">
        <f t="shared" si="138"/>
        <v>-1379.64</v>
      </c>
      <c r="K678" s="130">
        <f t="shared" si="137"/>
        <v>-1655.568</v>
      </c>
      <c r="L678" s="129">
        <v>-1655.568</v>
      </c>
      <c r="M678" s="152">
        <v>45447</v>
      </c>
      <c r="N678" s="130">
        <f>+Table6[[#This Row],[стойност с ДДС]]-Table6[[#This Row],[плащане]]</f>
        <v>0</v>
      </c>
      <c r="O678" s="208">
        <v>45448</v>
      </c>
    </row>
    <row r="679" spans="1:15" x14ac:dyDescent="0.3">
      <c r="A679" s="116" t="s">
        <v>72</v>
      </c>
      <c r="B679" s="394">
        <v>3000002834</v>
      </c>
      <c r="C679" s="117">
        <v>45443</v>
      </c>
      <c r="D679" s="116"/>
      <c r="E679" s="111" t="s">
        <v>33</v>
      </c>
      <c r="F679" s="118"/>
      <c r="G679" s="116"/>
      <c r="H679" s="141">
        <v>-1</v>
      </c>
      <c r="I679" s="142">
        <v>20419.28</v>
      </c>
      <c r="J679" s="130">
        <f t="shared" si="138"/>
        <v>-20419.28</v>
      </c>
      <c r="K679" s="130">
        <f t="shared" si="137"/>
        <v>-24503.135999999999</v>
      </c>
      <c r="L679" s="129">
        <v>-24503.135999999999</v>
      </c>
      <c r="M679" s="152">
        <v>45447</v>
      </c>
      <c r="N679" s="130">
        <f>+Table6[[#This Row],[стойност с ДДС]]-Table6[[#This Row],[плащане]]</f>
        <v>0</v>
      </c>
      <c r="O679" s="208">
        <v>45448</v>
      </c>
    </row>
    <row r="680" spans="1:15" x14ac:dyDescent="0.3">
      <c r="A680" s="116" t="s">
        <v>72</v>
      </c>
      <c r="B680" s="394">
        <v>3000002834</v>
      </c>
      <c r="C680" s="117">
        <v>45443</v>
      </c>
      <c r="D680" s="97"/>
      <c r="E680" s="111" t="s">
        <v>33</v>
      </c>
      <c r="F680" s="101"/>
      <c r="G680" s="97"/>
      <c r="H680" s="113">
        <v>377.78500000000003</v>
      </c>
      <c r="I680" s="114">
        <v>54.05</v>
      </c>
      <c r="J680" s="115">
        <f t="shared" si="138"/>
        <v>20419.28</v>
      </c>
      <c r="K680" s="115">
        <f t="shared" si="137"/>
        <v>24503.135999999999</v>
      </c>
      <c r="L680" s="104">
        <v>24503.135999999999</v>
      </c>
      <c r="M680" s="107">
        <v>45447</v>
      </c>
      <c r="N680" s="115">
        <f>+Table6[[#This Row],[стойност с ДДС]]-Table6[[#This Row],[плащане]]</f>
        <v>0</v>
      </c>
      <c r="O680" s="208">
        <v>45448</v>
      </c>
    </row>
    <row r="681" spans="1:15" x14ac:dyDescent="0.3">
      <c r="A681" s="116" t="s">
        <v>72</v>
      </c>
      <c r="B681" s="394">
        <v>3000002834</v>
      </c>
      <c r="C681" s="117">
        <v>45443</v>
      </c>
      <c r="D681" s="97"/>
      <c r="E681" s="8" t="s">
        <v>56</v>
      </c>
      <c r="F681" s="101"/>
      <c r="G681" s="97"/>
      <c r="H681" s="113">
        <v>0.36</v>
      </c>
      <c r="I681" s="114">
        <v>3.3016999999999999</v>
      </c>
      <c r="J681" s="115">
        <f t="shared" ref="J681:J682" si="139">ROUND(+H681*I681,2)</f>
        <v>1.19</v>
      </c>
      <c r="K681" s="115">
        <f t="shared" ref="K681:K682" si="140">J681*1.2</f>
        <v>1.4279999999999999</v>
      </c>
      <c r="L681" s="104">
        <v>1.4279999999999999</v>
      </c>
      <c r="M681" s="107">
        <v>45447</v>
      </c>
      <c r="N681" s="115">
        <f>+Table6[[#This Row],[стойност с ДДС]]-Table6[[#This Row],[плащане]]</f>
        <v>0</v>
      </c>
      <c r="O681" s="208">
        <v>45448</v>
      </c>
    </row>
    <row r="682" spans="1:15" x14ac:dyDescent="0.3">
      <c r="A682" s="116" t="s">
        <v>72</v>
      </c>
      <c r="B682" s="394">
        <v>3000002834</v>
      </c>
      <c r="C682" s="117">
        <v>45443</v>
      </c>
      <c r="D682" s="97"/>
      <c r="E682" s="8" t="s">
        <v>854</v>
      </c>
      <c r="F682" s="101"/>
      <c r="G682" s="97"/>
      <c r="H682" s="113">
        <v>377.78500000000003</v>
      </c>
      <c r="I682" s="114">
        <v>0.52290000000000003</v>
      </c>
      <c r="J682" s="115">
        <f t="shared" si="139"/>
        <v>197.54</v>
      </c>
      <c r="K682" s="115">
        <f t="shared" si="140"/>
        <v>237.04799999999997</v>
      </c>
      <c r="L682" s="104">
        <v>237.04799999999997</v>
      </c>
      <c r="M682" s="107">
        <v>45447</v>
      </c>
      <c r="N682" s="115">
        <f>+Table6[[#This Row],[стойност с ДДС]]-Table6[[#This Row],[плащане]]</f>
        <v>0</v>
      </c>
      <c r="O682" s="208">
        <v>45448</v>
      </c>
    </row>
    <row r="683" spans="1:15" x14ac:dyDescent="0.3">
      <c r="A683" s="116" t="s">
        <v>72</v>
      </c>
      <c r="B683" s="394">
        <v>3000002834</v>
      </c>
      <c r="C683" s="117">
        <v>45443</v>
      </c>
      <c r="D683" s="116"/>
      <c r="E683" s="116" t="s">
        <v>59</v>
      </c>
      <c r="F683" s="118"/>
      <c r="G683" s="116"/>
      <c r="H683" s="141">
        <v>1360.0260000000001</v>
      </c>
      <c r="I683" s="142">
        <v>0.6</v>
      </c>
      <c r="J683" s="130">
        <f>ROUND(+H683*I683,2)</f>
        <v>816.02</v>
      </c>
      <c r="K683" s="130">
        <f>J683*1.2</f>
        <v>979.22399999999993</v>
      </c>
      <c r="L683" s="129">
        <v>979.22399999999993</v>
      </c>
      <c r="M683" s="152">
        <v>45447</v>
      </c>
      <c r="N683" s="130">
        <f>+Table6[[#This Row],[стойност с ДДС]]-Table6[[#This Row],[плащане]]</f>
        <v>0</v>
      </c>
      <c r="O683" s="208">
        <v>45448</v>
      </c>
    </row>
    <row r="684" spans="1:15" x14ac:dyDescent="0.3">
      <c r="A684" s="116" t="s">
        <v>1183</v>
      </c>
      <c r="B684" s="394">
        <v>3000002836</v>
      </c>
      <c r="C684" s="117">
        <v>45443</v>
      </c>
      <c r="D684" s="116"/>
      <c r="E684" s="111" t="s">
        <v>33</v>
      </c>
      <c r="F684" s="118"/>
      <c r="G684" s="116"/>
      <c r="H684" s="141">
        <v>3.2000000000000001E-2</v>
      </c>
      <c r="I684" s="142">
        <v>54.05</v>
      </c>
      <c r="J684" s="130">
        <f>ROUND(+H684*I684,2)</f>
        <v>1.73</v>
      </c>
      <c r="K684" s="130">
        <f>J684*1.2</f>
        <v>2.0760000000000001</v>
      </c>
      <c r="L684" s="129">
        <v>2.0760000000000001</v>
      </c>
      <c r="M684" s="152">
        <v>45447</v>
      </c>
      <c r="N684" s="130">
        <f>+Table6[[#This Row],[стойност с ДДС]]-Table6[[#This Row],[плащане]]</f>
        <v>0</v>
      </c>
      <c r="O684" s="208">
        <v>45448</v>
      </c>
    </row>
    <row r="685" spans="1:15" x14ac:dyDescent="0.3">
      <c r="A685" s="97" t="s">
        <v>1183</v>
      </c>
      <c r="B685" s="393">
        <v>3000002836</v>
      </c>
      <c r="C685" s="110">
        <v>45443</v>
      </c>
      <c r="D685" s="97"/>
      <c r="E685" s="8" t="s">
        <v>854</v>
      </c>
      <c r="F685" s="101"/>
      <c r="G685" s="97"/>
      <c r="H685" s="113">
        <v>3.2000000000000001E-2</v>
      </c>
      <c r="I685" s="114">
        <v>3.3016999999999999</v>
      </c>
      <c r="J685" s="115">
        <f t="shared" ref="J685:J687" si="141">ROUND(+H685*I685,2)</f>
        <v>0.11</v>
      </c>
      <c r="K685" s="115">
        <f t="shared" ref="K685:K687" si="142">J685*1.2</f>
        <v>0.13200000000000001</v>
      </c>
      <c r="L685" s="104">
        <v>0.13200000000000001</v>
      </c>
      <c r="M685" s="107">
        <v>45448</v>
      </c>
      <c r="N685" s="115">
        <f>+Table6[[#This Row],[стойност с ДДС]]-Table6[[#This Row],[плащане]]</f>
        <v>0</v>
      </c>
      <c r="O685" s="208">
        <v>45448</v>
      </c>
    </row>
    <row r="686" spans="1:15" x14ac:dyDescent="0.3">
      <c r="A686" s="97" t="s">
        <v>1183</v>
      </c>
      <c r="B686" s="393">
        <v>3000002836</v>
      </c>
      <c r="C686" s="110">
        <v>45443</v>
      </c>
      <c r="D686" s="97"/>
      <c r="E686" s="8" t="s">
        <v>56</v>
      </c>
      <c r="F686" s="101"/>
      <c r="G686" s="97"/>
      <c r="H686" s="113">
        <v>3.2000000000000001E-2</v>
      </c>
      <c r="I686" s="114">
        <v>0.52290000000000003</v>
      </c>
      <c r="J686" s="115">
        <f t="shared" si="141"/>
        <v>0.02</v>
      </c>
      <c r="K686" s="115">
        <f t="shared" si="142"/>
        <v>2.4E-2</v>
      </c>
      <c r="L686" s="104">
        <v>2.4E-2</v>
      </c>
      <c r="M686" s="107">
        <v>45448</v>
      </c>
      <c r="N686" s="115">
        <f>+Table6[[#This Row],[стойност с ДДС]]-Table6[[#This Row],[плащане]]</f>
        <v>0</v>
      </c>
      <c r="O686" s="208">
        <v>45448</v>
      </c>
    </row>
    <row r="687" spans="1:15" x14ac:dyDescent="0.3">
      <c r="A687" s="116" t="s">
        <v>1183</v>
      </c>
      <c r="B687" s="394">
        <v>3000002836</v>
      </c>
      <c r="C687" s="117">
        <v>45443</v>
      </c>
      <c r="D687" s="116"/>
      <c r="E687" s="116" t="s">
        <v>59</v>
      </c>
      <c r="F687" s="118"/>
      <c r="G687" s="116"/>
      <c r="H687" s="141">
        <v>0.115</v>
      </c>
      <c r="I687" s="142">
        <v>0.6</v>
      </c>
      <c r="J687" s="130">
        <f t="shared" si="141"/>
        <v>7.0000000000000007E-2</v>
      </c>
      <c r="K687" s="130">
        <f t="shared" si="142"/>
        <v>8.4000000000000005E-2</v>
      </c>
      <c r="L687" s="129">
        <v>8.4000000000000005E-2</v>
      </c>
      <c r="M687" s="152">
        <v>45448</v>
      </c>
      <c r="N687" s="130">
        <f>+Table6[[#This Row],[стойност с ДДС]]-Table6[[#This Row],[плащане]]</f>
        <v>0</v>
      </c>
      <c r="O687" s="208">
        <v>45448</v>
      </c>
    </row>
    <row r="688" spans="1:15" x14ac:dyDescent="0.3">
      <c r="A688" s="116" t="s">
        <v>82</v>
      </c>
      <c r="B688" s="394">
        <v>3000002837</v>
      </c>
      <c r="C688" s="117">
        <v>45443</v>
      </c>
      <c r="D688" s="116"/>
      <c r="E688" s="111" t="s">
        <v>33</v>
      </c>
      <c r="F688" s="118"/>
      <c r="G688" s="116"/>
      <c r="H688" s="141">
        <v>-1</v>
      </c>
      <c r="I688" s="142">
        <v>13611.88</v>
      </c>
      <c r="J688" s="130">
        <f>ROUND(+H688*I688,2)</f>
        <v>-13611.88</v>
      </c>
      <c r="K688" s="130">
        <f>J688*1.2</f>
        <v>-16334.255999999998</v>
      </c>
      <c r="L688" s="129">
        <v>-16334.255999999998</v>
      </c>
      <c r="M688" s="152">
        <v>45448</v>
      </c>
      <c r="N688" s="130">
        <f>+Table6[[#This Row],[стойност с ДДС]]-Table6[[#This Row],[плащане]]</f>
        <v>0</v>
      </c>
      <c r="O688" s="208">
        <v>45448</v>
      </c>
    </row>
    <row r="689" spans="1:15" x14ac:dyDescent="0.3">
      <c r="A689" s="116" t="s">
        <v>82</v>
      </c>
      <c r="B689" s="394">
        <v>3000002837</v>
      </c>
      <c r="C689" s="117">
        <v>45443</v>
      </c>
      <c r="D689" s="116"/>
      <c r="E689" s="111" t="s">
        <v>33</v>
      </c>
      <c r="F689" s="118"/>
      <c r="G689" s="116"/>
      <c r="H689" s="141">
        <v>-1</v>
      </c>
      <c r="I689" s="142">
        <v>132</v>
      </c>
      <c r="J689" s="130">
        <f>ROUND(+H689*I689,2)</f>
        <v>-132</v>
      </c>
      <c r="K689" s="130">
        <f>J689*1.2</f>
        <v>-158.4</v>
      </c>
      <c r="L689" s="129">
        <v>-158.4</v>
      </c>
      <c r="M689" s="152">
        <v>45448</v>
      </c>
      <c r="N689" s="130">
        <f>+Table6[[#This Row],[стойност с ДДС]]-Table6[[#This Row],[плащане]]</f>
        <v>0</v>
      </c>
      <c r="O689" s="208">
        <v>45448</v>
      </c>
    </row>
    <row r="690" spans="1:15" x14ac:dyDescent="0.3">
      <c r="A690" s="97" t="s">
        <v>82</v>
      </c>
      <c r="B690" s="393">
        <v>3000002837</v>
      </c>
      <c r="C690" s="110">
        <v>45443</v>
      </c>
      <c r="D690" s="97"/>
      <c r="E690" s="111" t="s">
        <v>33</v>
      </c>
      <c r="F690" s="101"/>
      <c r="G690" s="97"/>
      <c r="H690" s="113">
        <v>-1</v>
      </c>
      <c r="I690" s="114">
        <v>138</v>
      </c>
      <c r="J690" s="115">
        <f t="shared" ref="J690:J694" si="143">ROUND(+H690*I690,2)</f>
        <v>-138</v>
      </c>
      <c r="K690" s="115">
        <f t="shared" ref="K690:K694" si="144">J690*1.2</f>
        <v>-165.6</v>
      </c>
      <c r="L690" s="104">
        <v>-165.6</v>
      </c>
      <c r="M690" s="107">
        <v>45448</v>
      </c>
      <c r="N690" s="115">
        <f>+Table6[[#This Row],[стойност с ДДС]]-Table6[[#This Row],[плащане]]</f>
        <v>0</v>
      </c>
      <c r="O690" s="208">
        <v>45448</v>
      </c>
    </row>
    <row r="691" spans="1:15" x14ac:dyDescent="0.3">
      <c r="A691" s="97" t="s">
        <v>82</v>
      </c>
      <c r="B691" s="393">
        <v>3000002837</v>
      </c>
      <c r="C691" s="110">
        <v>45443</v>
      </c>
      <c r="D691" s="97"/>
      <c r="E691" s="111" t="s">
        <v>33</v>
      </c>
      <c r="F691" s="101"/>
      <c r="G691" s="97"/>
      <c r="H691" s="113">
        <v>285.57400000000001</v>
      </c>
      <c r="I691" s="114">
        <v>52.05</v>
      </c>
      <c r="J691" s="115">
        <f t="shared" si="143"/>
        <v>14864.13</v>
      </c>
      <c r="K691" s="115">
        <f t="shared" si="144"/>
        <v>17836.955999999998</v>
      </c>
      <c r="L691" s="104">
        <v>17836.955999999998</v>
      </c>
      <c r="M691" s="107">
        <v>45448</v>
      </c>
      <c r="N691" s="115">
        <f>+Table6[[#This Row],[стойност с ДДС]]-Table6[[#This Row],[плащане]]</f>
        <v>0</v>
      </c>
      <c r="O691" s="208">
        <v>45448</v>
      </c>
    </row>
    <row r="692" spans="1:15" x14ac:dyDescent="0.3">
      <c r="A692" s="97" t="s">
        <v>82</v>
      </c>
      <c r="B692" s="393">
        <v>3000002837</v>
      </c>
      <c r="C692" s="110">
        <v>45443</v>
      </c>
      <c r="D692" s="97"/>
      <c r="E692" s="8" t="s">
        <v>56</v>
      </c>
      <c r="F692" s="101"/>
      <c r="G692" s="97"/>
      <c r="H692" s="113">
        <v>31.465</v>
      </c>
      <c r="I692" s="114">
        <v>3.3016999999999999</v>
      </c>
      <c r="J692" s="115">
        <f t="shared" si="143"/>
        <v>103.89</v>
      </c>
      <c r="K692" s="115">
        <f t="shared" si="144"/>
        <v>124.66799999999999</v>
      </c>
      <c r="L692" s="104">
        <v>124.66799999999999</v>
      </c>
      <c r="M692" s="107">
        <v>45448</v>
      </c>
      <c r="N692" s="115">
        <f>+Table6[[#This Row],[стойност с ДДС]]-Table6[[#This Row],[плащане]]</f>
        <v>0</v>
      </c>
      <c r="O692" s="208">
        <v>45448</v>
      </c>
    </row>
    <row r="693" spans="1:15" x14ac:dyDescent="0.3">
      <c r="A693" s="97" t="s">
        <v>82</v>
      </c>
      <c r="B693" s="393">
        <v>3000002837</v>
      </c>
      <c r="C693" s="110">
        <v>45443</v>
      </c>
      <c r="D693" s="97"/>
      <c r="E693" s="8" t="s">
        <v>854</v>
      </c>
      <c r="F693" s="101"/>
      <c r="G693" s="97"/>
      <c r="H693" s="113">
        <v>285.57400000000001</v>
      </c>
      <c r="I693" s="114">
        <v>0.52290000000000003</v>
      </c>
      <c r="J693" s="115">
        <f t="shared" si="143"/>
        <v>149.33000000000001</v>
      </c>
      <c r="K693" s="115">
        <f t="shared" si="144"/>
        <v>179.196</v>
      </c>
      <c r="L693" s="104">
        <v>179.196</v>
      </c>
      <c r="M693" s="107">
        <v>45448</v>
      </c>
      <c r="N693" s="115">
        <f>+Table6[[#This Row],[стойност с ДДС]]-Table6[[#This Row],[плащане]]</f>
        <v>0</v>
      </c>
      <c r="O693" s="208">
        <v>45448</v>
      </c>
    </row>
    <row r="694" spans="1:15" x14ac:dyDescent="0.3">
      <c r="A694" s="116" t="s">
        <v>82</v>
      </c>
      <c r="B694" s="394">
        <v>3000002837</v>
      </c>
      <c r="C694" s="117">
        <v>45443</v>
      </c>
      <c r="D694" s="116"/>
      <c r="E694" s="111" t="s">
        <v>33</v>
      </c>
      <c r="F694" s="118"/>
      <c r="G694" s="116"/>
      <c r="H694" s="141">
        <v>285.57400000000001</v>
      </c>
      <c r="I694" s="142">
        <v>0.5</v>
      </c>
      <c r="J694" s="130">
        <f t="shared" si="143"/>
        <v>142.79</v>
      </c>
      <c r="K694" s="130">
        <f t="shared" si="144"/>
        <v>171.34799999999998</v>
      </c>
      <c r="L694" s="129">
        <v>171.34799999999998</v>
      </c>
      <c r="M694" s="152">
        <v>45448</v>
      </c>
      <c r="N694" s="130">
        <f>+Table6[[#This Row],[стойност с ДДС]]-Table6[[#This Row],[плащане]]</f>
        <v>0</v>
      </c>
      <c r="O694" s="208">
        <v>45448</v>
      </c>
    </row>
    <row r="695" spans="1:15" x14ac:dyDescent="0.3">
      <c r="A695" s="116" t="s">
        <v>82</v>
      </c>
      <c r="B695" s="394">
        <v>3000002837</v>
      </c>
      <c r="C695" s="117">
        <v>45443</v>
      </c>
      <c r="D695" s="116"/>
      <c r="E695" s="116" t="s">
        <v>59</v>
      </c>
      <c r="F695" s="118"/>
      <c r="G695" s="116"/>
      <c r="H695" s="141">
        <v>1028.066</v>
      </c>
      <c r="I695" s="142">
        <v>0.6</v>
      </c>
      <c r="J695" s="130">
        <f>ROUND(+H695*I695,2)</f>
        <v>616.84</v>
      </c>
      <c r="K695" s="130">
        <f>J695*1.2</f>
        <v>740.20799999999997</v>
      </c>
      <c r="L695" s="129">
        <v>740.20799999999997</v>
      </c>
      <c r="M695" s="152">
        <v>45448</v>
      </c>
      <c r="N695" s="130">
        <f>+Table6[[#This Row],[стойност с ДДС]]-Table6[[#This Row],[плащане]]</f>
        <v>0</v>
      </c>
      <c r="O695" s="208">
        <v>45448</v>
      </c>
    </row>
    <row r="696" spans="1:15" ht="37.5" x14ac:dyDescent="0.3">
      <c r="A696" s="116" t="s">
        <v>50</v>
      </c>
      <c r="B696" s="394">
        <v>3000002826</v>
      </c>
      <c r="C696" s="117">
        <v>45443</v>
      </c>
      <c r="D696" s="116"/>
      <c r="E696" s="111" t="s">
        <v>53</v>
      </c>
      <c r="F696" s="118"/>
      <c r="G696" s="116"/>
      <c r="H696" s="141">
        <v>1</v>
      </c>
      <c r="I696" s="142">
        <v>23809.95</v>
      </c>
      <c r="J696" s="130">
        <f>ROUND(+H696*I696,2)</f>
        <v>23809.95</v>
      </c>
      <c r="K696" s="130">
        <f>J696*1.2</f>
        <v>28571.94</v>
      </c>
      <c r="L696" s="129"/>
      <c r="M696" s="152"/>
      <c r="N696" s="130">
        <f>+Table6[[#This Row],[стойност с ДДС]]-Table6[[#This Row],[плащане]]</f>
        <v>28571.94</v>
      </c>
      <c r="O696" s="208">
        <v>45448</v>
      </c>
    </row>
    <row r="697" spans="1:15" ht="37.5" x14ac:dyDescent="0.3">
      <c r="A697" s="97" t="s">
        <v>50</v>
      </c>
      <c r="B697" s="393">
        <v>3000002826</v>
      </c>
      <c r="C697" s="110">
        <v>45443</v>
      </c>
      <c r="D697" s="97"/>
      <c r="E697" s="111" t="s">
        <v>53</v>
      </c>
      <c r="F697" s="101"/>
      <c r="G697" s="97"/>
      <c r="H697" s="113">
        <v>1833.047</v>
      </c>
      <c r="I697" s="114">
        <v>54.7</v>
      </c>
      <c r="J697" s="115">
        <f t="shared" ref="J697:J699" si="145">ROUND(+H697*I697,2)</f>
        <v>100267.67</v>
      </c>
      <c r="K697" s="115">
        <f t="shared" ref="K697:K699" si="146">J697*1.2</f>
        <v>120321.204</v>
      </c>
      <c r="L697" s="104"/>
      <c r="M697" s="107"/>
      <c r="N697" s="115">
        <f>+Table6[[#This Row],[стойност с ДДС]]-Table6[[#This Row],[плащане]]</f>
        <v>120321.204</v>
      </c>
      <c r="O697" s="208">
        <v>45448</v>
      </c>
    </row>
    <row r="698" spans="1:15" x14ac:dyDescent="0.3">
      <c r="A698" s="97" t="s">
        <v>50</v>
      </c>
      <c r="B698" s="393">
        <v>3000002826</v>
      </c>
      <c r="C698" s="110">
        <v>45443</v>
      </c>
      <c r="D698" s="97"/>
      <c r="E698" s="8" t="s">
        <v>58</v>
      </c>
      <c r="F698" s="101"/>
      <c r="G698" s="97"/>
      <c r="H698" s="113">
        <v>5575.5360000000001</v>
      </c>
      <c r="I698" s="114">
        <v>1.0194000000000001</v>
      </c>
      <c r="J698" s="115">
        <f t="shared" si="145"/>
        <v>5683.7</v>
      </c>
      <c r="K698" s="115">
        <f t="shared" si="146"/>
        <v>6820.44</v>
      </c>
      <c r="L698" s="104"/>
      <c r="M698" s="107"/>
      <c r="N698" s="115">
        <f>+Table6[[#This Row],[стойност с ДДС]]-Table6[[#This Row],[плащане]]</f>
        <v>6820.44</v>
      </c>
      <c r="O698" s="208">
        <v>45448</v>
      </c>
    </row>
    <row r="699" spans="1:15" x14ac:dyDescent="0.3">
      <c r="A699" s="116" t="s">
        <v>50</v>
      </c>
      <c r="B699" s="394">
        <v>3000002826</v>
      </c>
      <c r="C699" s="117">
        <v>45443</v>
      </c>
      <c r="D699" s="116"/>
      <c r="E699" s="116" t="s">
        <v>59</v>
      </c>
      <c r="F699" s="118"/>
      <c r="G699" s="116"/>
      <c r="H699" s="141">
        <v>20071.93</v>
      </c>
      <c r="I699" s="142">
        <v>0</v>
      </c>
      <c r="J699" s="130">
        <f t="shared" si="145"/>
        <v>0</v>
      </c>
      <c r="K699" s="130">
        <f t="shared" si="146"/>
        <v>0</v>
      </c>
      <c r="L699" s="129"/>
      <c r="M699" s="152"/>
      <c r="N699" s="130">
        <f>+Table6[[#This Row],[стойност с ДДС]]-Table6[[#This Row],[плащане]]</f>
        <v>0</v>
      </c>
      <c r="O699" s="208">
        <v>45448</v>
      </c>
    </row>
    <row r="700" spans="1:15" ht="37.5" x14ac:dyDescent="0.3">
      <c r="A700" s="116" t="s">
        <v>64</v>
      </c>
      <c r="B700" s="394">
        <v>3000002827</v>
      </c>
      <c r="C700" s="110">
        <v>45443</v>
      </c>
      <c r="D700" s="116"/>
      <c r="E700" s="111" t="s">
        <v>53</v>
      </c>
      <c r="F700" s="118"/>
      <c r="G700" s="116"/>
      <c r="H700" s="141">
        <v>1</v>
      </c>
      <c r="I700" s="142">
        <v>15873.3</v>
      </c>
      <c r="J700" s="130">
        <f>ROUND(+H700*I700,2)</f>
        <v>15873.3</v>
      </c>
      <c r="K700" s="130">
        <f>J700*1.2</f>
        <v>19047.96</v>
      </c>
      <c r="L700" s="129"/>
      <c r="M700" s="152"/>
      <c r="N700" s="130">
        <f>+Table6[[#This Row],[стойност с ДДС]]-Table6[[#This Row],[плащане]]</f>
        <v>19047.96</v>
      </c>
      <c r="O700" s="208">
        <v>45448</v>
      </c>
    </row>
    <row r="701" spans="1:15" ht="37.5" x14ac:dyDescent="0.3">
      <c r="A701" s="97" t="s">
        <v>64</v>
      </c>
      <c r="B701" s="393">
        <v>3000002827</v>
      </c>
      <c r="C701" s="110">
        <v>45443</v>
      </c>
      <c r="D701" s="97"/>
      <c r="E701" s="111" t="s">
        <v>53</v>
      </c>
      <c r="F701" s="101"/>
      <c r="G701" s="97"/>
      <c r="H701" s="113">
        <v>284.71600000000001</v>
      </c>
      <c r="I701" s="114">
        <v>54.7</v>
      </c>
      <c r="J701" s="115">
        <f t="shared" ref="J701:J706" si="147">ROUND(+H701*I701,2)</f>
        <v>15573.97</v>
      </c>
      <c r="K701" s="115">
        <f t="shared" ref="K701:K706" si="148">J701*1.2</f>
        <v>18688.763999999999</v>
      </c>
      <c r="L701" s="104"/>
      <c r="M701" s="107"/>
      <c r="N701" s="115">
        <f>+Table6[[#This Row],[стойност с ДДС]]-Table6[[#This Row],[плащане]]</f>
        <v>18688.763999999999</v>
      </c>
      <c r="O701" s="208">
        <v>45448</v>
      </c>
    </row>
    <row r="702" spans="1:15" ht="37.5" x14ac:dyDescent="0.3">
      <c r="A702" s="97" t="s">
        <v>64</v>
      </c>
      <c r="B702" s="393">
        <v>3000002827</v>
      </c>
      <c r="C702" s="110">
        <v>45443</v>
      </c>
      <c r="D702" s="97"/>
      <c r="E702" s="111" t="s">
        <v>53</v>
      </c>
      <c r="F702" s="101"/>
      <c r="G702" s="97"/>
      <c r="H702" s="113">
        <v>131.19</v>
      </c>
      <c r="I702" s="114">
        <v>54.7</v>
      </c>
      <c r="J702" s="115">
        <f t="shared" si="147"/>
        <v>7176.09</v>
      </c>
      <c r="K702" s="115">
        <f t="shared" si="148"/>
        <v>8611.3079999999991</v>
      </c>
      <c r="L702" s="104"/>
      <c r="M702" s="107"/>
      <c r="N702" s="115">
        <f>+Table6[[#This Row],[стойност с ДДС]]-Table6[[#This Row],[плащане]]</f>
        <v>8611.3079999999991</v>
      </c>
      <c r="O702" s="208">
        <v>45448</v>
      </c>
    </row>
    <row r="703" spans="1:15" x14ac:dyDescent="0.3">
      <c r="A703" s="97" t="s">
        <v>64</v>
      </c>
      <c r="B703" s="393">
        <v>3000002827</v>
      </c>
      <c r="C703" s="110">
        <v>45443</v>
      </c>
      <c r="D703" s="97"/>
      <c r="E703" s="8" t="s">
        <v>120</v>
      </c>
      <c r="F703" s="101"/>
      <c r="G703" s="97"/>
      <c r="H703" s="113">
        <v>38</v>
      </c>
      <c r="I703" s="114">
        <v>4.5448000000000004</v>
      </c>
      <c r="J703" s="115">
        <f t="shared" si="147"/>
        <v>172.7</v>
      </c>
      <c r="K703" s="115">
        <f t="shared" si="148"/>
        <v>207.23999999999998</v>
      </c>
      <c r="L703" s="104"/>
      <c r="M703" s="107"/>
      <c r="N703" s="115">
        <f>+Table6[[#This Row],[стойност с ДДС]]-Table6[[#This Row],[плащане]]</f>
        <v>207.23999999999998</v>
      </c>
      <c r="O703" s="208">
        <v>45448</v>
      </c>
    </row>
    <row r="704" spans="1:15" x14ac:dyDescent="0.3">
      <c r="A704" s="97" t="s">
        <v>64</v>
      </c>
      <c r="B704" s="393">
        <v>3000002827</v>
      </c>
      <c r="C704" s="110">
        <v>45443</v>
      </c>
      <c r="D704" s="97"/>
      <c r="E704" s="8" t="s">
        <v>56</v>
      </c>
      <c r="F704" s="101"/>
      <c r="G704" s="97"/>
      <c r="H704" s="113">
        <v>0.65600000000000003</v>
      </c>
      <c r="I704" s="114">
        <v>8.3582999999999998</v>
      </c>
      <c r="J704" s="115">
        <f t="shared" si="147"/>
        <v>5.48</v>
      </c>
      <c r="K704" s="115">
        <f t="shared" si="148"/>
        <v>6.5760000000000005</v>
      </c>
      <c r="L704" s="104"/>
      <c r="M704" s="107"/>
      <c r="N704" s="115">
        <f>+Table6[[#This Row],[стойност с ДДС]]-Table6[[#This Row],[плащане]]</f>
        <v>6.5760000000000005</v>
      </c>
      <c r="O704" s="208">
        <v>45448</v>
      </c>
    </row>
    <row r="705" spans="1:15" x14ac:dyDescent="0.3">
      <c r="A705" s="97" t="s">
        <v>64</v>
      </c>
      <c r="B705" s="393">
        <v>3000002827</v>
      </c>
      <c r="C705" s="110">
        <v>45443</v>
      </c>
      <c r="D705" s="97"/>
      <c r="E705" s="8" t="s">
        <v>58</v>
      </c>
      <c r="F705" s="101"/>
      <c r="G705" s="97"/>
      <c r="H705" s="113">
        <v>1662.7370000000001</v>
      </c>
      <c r="I705" s="114">
        <v>1.0194000000000001</v>
      </c>
      <c r="J705" s="115">
        <f t="shared" si="147"/>
        <v>1694.99</v>
      </c>
      <c r="K705" s="115">
        <f t="shared" si="148"/>
        <v>2033.9879999999998</v>
      </c>
      <c r="L705" s="104"/>
      <c r="M705" s="107"/>
      <c r="N705" s="115">
        <f>+Table6[[#This Row],[стойност с ДДС]]-Table6[[#This Row],[плащане]]</f>
        <v>2033.9879999999998</v>
      </c>
      <c r="O705" s="208">
        <v>45448</v>
      </c>
    </row>
    <row r="706" spans="1:15" x14ac:dyDescent="0.3">
      <c r="A706" s="116" t="s">
        <v>64</v>
      </c>
      <c r="B706" s="394">
        <v>3000002827</v>
      </c>
      <c r="C706" s="117">
        <v>45443</v>
      </c>
      <c r="D706" s="116"/>
      <c r="E706" s="116" t="s">
        <v>59</v>
      </c>
      <c r="F706" s="118"/>
      <c r="G706" s="116"/>
      <c r="H706" s="141">
        <v>5985.8530000000001</v>
      </c>
      <c r="I706" s="142">
        <v>0</v>
      </c>
      <c r="J706" s="130">
        <f t="shared" si="147"/>
        <v>0</v>
      </c>
      <c r="K706" s="130">
        <f t="shared" si="148"/>
        <v>0</v>
      </c>
      <c r="L706" s="129"/>
      <c r="M706" s="152"/>
      <c r="N706" s="130">
        <f>+Table6[[#This Row],[стойност с ДДС]]-Table6[[#This Row],[плащане]]</f>
        <v>0</v>
      </c>
      <c r="O706" s="208">
        <v>45448</v>
      </c>
    </row>
    <row r="707" spans="1:15" ht="37.5" x14ac:dyDescent="0.3">
      <c r="A707" s="116" t="s">
        <v>62</v>
      </c>
      <c r="B707" s="394">
        <v>3000002828</v>
      </c>
      <c r="C707" s="110">
        <v>45443</v>
      </c>
      <c r="D707" s="116"/>
      <c r="E707" s="111" t="s">
        <v>53</v>
      </c>
      <c r="F707" s="118"/>
      <c r="G707" s="116"/>
      <c r="H707" s="141">
        <v>1</v>
      </c>
      <c r="I707" s="142">
        <v>63493.2</v>
      </c>
      <c r="J707" s="130">
        <f>ROUND(+H707*I707,2)</f>
        <v>63493.2</v>
      </c>
      <c r="K707" s="130">
        <f>J707*1.2</f>
        <v>76191.839999999997</v>
      </c>
      <c r="L707" s="129"/>
      <c r="M707" s="152"/>
      <c r="N707" s="130">
        <f>+Table6[[#This Row],[стойност с ДДС]]-Table6[[#This Row],[плащане]]</f>
        <v>76191.839999999997</v>
      </c>
      <c r="O707" s="208">
        <v>45448</v>
      </c>
    </row>
    <row r="708" spans="1:15" ht="37.5" x14ac:dyDescent="0.3">
      <c r="A708" s="97" t="s">
        <v>62</v>
      </c>
      <c r="B708" s="393">
        <v>3000002828</v>
      </c>
      <c r="C708" s="110">
        <v>45443</v>
      </c>
      <c r="D708" s="97"/>
      <c r="E708" s="111" t="s">
        <v>53</v>
      </c>
      <c r="F708" s="101"/>
      <c r="G708" s="97"/>
      <c r="H708" s="113">
        <v>5709.0150000000003</v>
      </c>
      <c r="I708" s="114">
        <v>54.7</v>
      </c>
      <c r="J708" s="115">
        <f t="shared" ref="J708:J713" si="149">ROUND(+H708*I708,2)</f>
        <v>312283.12</v>
      </c>
      <c r="K708" s="115">
        <f t="shared" ref="K708:K713" si="150">J708*1.2</f>
        <v>374739.74400000001</v>
      </c>
      <c r="L708" s="104"/>
      <c r="M708" s="107"/>
      <c r="N708" s="115">
        <f>+Table6[[#This Row],[стойност с ДДС]]-Table6[[#This Row],[плащане]]</f>
        <v>374739.74400000001</v>
      </c>
      <c r="O708" s="208">
        <v>45448</v>
      </c>
    </row>
    <row r="709" spans="1:15" x14ac:dyDescent="0.3">
      <c r="A709" s="97" t="s">
        <v>62</v>
      </c>
      <c r="B709" s="393">
        <v>3000002828</v>
      </c>
      <c r="C709" s="110">
        <v>45443</v>
      </c>
      <c r="D709" s="97"/>
      <c r="E709" s="8" t="s">
        <v>120</v>
      </c>
      <c r="F709" s="101"/>
      <c r="G709" s="97"/>
      <c r="H709" s="113">
        <v>575</v>
      </c>
      <c r="I709" s="114">
        <v>4.5448000000000004</v>
      </c>
      <c r="J709" s="115">
        <f t="shared" si="149"/>
        <v>2613.2600000000002</v>
      </c>
      <c r="K709" s="115">
        <f t="shared" si="150"/>
        <v>3135.9120000000003</v>
      </c>
      <c r="L709" s="104"/>
      <c r="M709" s="107"/>
      <c r="N709" s="115">
        <f>+Table6[[#This Row],[стойност с ДДС]]-Table6[[#This Row],[плащане]]</f>
        <v>3135.9120000000003</v>
      </c>
      <c r="O709" s="208">
        <v>45448</v>
      </c>
    </row>
    <row r="710" spans="1:15" x14ac:dyDescent="0.3">
      <c r="A710" s="97" t="s">
        <v>62</v>
      </c>
      <c r="B710" s="393">
        <v>3000002828</v>
      </c>
      <c r="C710" s="110">
        <v>45443</v>
      </c>
      <c r="D710" s="97"/>
      <c r="E710" s="8" t="s">
        <v>57</v>
      </c>
      <c r="F710" s="101"/>
      <c r="G710" s="97"/>
      <c r="H710" s="113">
        <v>840</v>
      </c>
      <c r="I710" s="114">
        <v>3.6358000000000001</v>
      </c>
      <c r="J710" s="115">
        <f t="shared" si="149"/>
        <v>3054.07</v>
      </c>
      <c r="K710" s="115">
        <f t="shared" si="150"/>
        <v>3664.884</v>
      </c>
      <c r="L710" s="104"/>
      <c r="M710" s="107"/>
      <c r="N710" s="115">
        <f>+Table6[[#This Row],[стойност с ДДС]]-Table6[[#This Row],[плащане]]</f>
        <v>3664.884</v>
      </c>
      <c r="O710" s="208">
        <v>45448</v>
      </c>
    </row>
    <row r="711" spans="1:15" x14ac:dyDescent="0.3">
      <c r="A711" s="97" t="s">
        <v>62</v>
      </c>
      <c r="B711" s="393">
        <v>3000002828</v>
      </c>
      <c r="C711" s="110">
        <v>45443</v>
      </c>
      <c r="D711" s="97"/>
      <c r="E711" s="8" t="s">
        <v>56</v>
      </c>
      <c r="F711" s="101"/>
      <c r="G711" s="97"/>
      <c r="H711" s="113">
        <v>36.534999999999997</v>
      </c>
      <c r="I711" s="114">
        <v>8.3582999999999998</v>
      </c>
      <c r="J711" s="115">
        <f t="shared" si="149"/>
        <v>305.37</v>
      </c>
      <c r="K711" s="115">
        <f t="shared" si="150"/>
        <v>366.44400000000002</v>
      </c>
      <c r="L711" s="104"/>
      <c r="M711" s="107"/>
      <c r="N711" s="115">
        <f>+Table6[[#This Row],[стойност с ДДС]]-Table6[[#This Row],[плащане]]</f>
        <v>366.44400000000002</v>
      </c>
      <c r="O711" s="208">
        <v>45448</v>
      </c>
    </row>
    <row r="712" spans="1:15" x14ac:dyDescent="0.3">
      <c r="A712" s="97" t="s">
        <v>62</v>
      </c>
      <c r="B712" s="393">
        <v>3000002828</v>
      </c>
      <c r="C712" s="110">
        <v>45443</v>
      </c>
      <c r="D712" s="97"/>
      <c r="E712" s="8" t="s">
        <v>58</v>
      </c>
      <c r="F712" s="101"/>
      <c r="G712" s="97"/>
      <c r="H712" s="113">
        <v>10950.513999999999</v>
      </c>
      <c r="I712" s="114">
        <v>1.0194000000000001</v>
      </c>
      <c r="J712" s="115">
        <f t="shared" si="149"/>
        <v>11162.95</v>
      </c>
      <c r="K712" s="115">
        <f t="shared" si="150"/>
        <v>13395.54</v>
      </c>
      <c r="L712" s="104"/>
      <c r="M712" s="107"/>
      <c r="N712" s="115">
        <f>+Table6[[#This Row],[стойност с ДДС]]-Table6[[#This Row],[плащане]]</f>
        <v>13395.54</v>
      </c>
      <c r="O712" s="208">
        <v>45448</v>
      </c>
    </row>
    <row r="713" spans="1:15" x14ac:dyDescent="0.3">
      <c r="A713" s="116" t="s">
        <v>62</v>
      </c>
      <c r="B713" s="394">
        <v>3000002828</v>
      </c>
      <c r="C713" s="117">
        <v>45443</v>
      </c>
      <c r="D713" s="116"/>
      <c r="E713" s="116" t="s">
        <v>59</v>
      </c>
      <c r="F713" s="118"/>
      <c r="G713" s="116"/>
      <c r="H713" s="141">
        <v>39421.85</v>
      </c>
      <c r="I713" s="142">
        <v>0</v>
      </c>
      <c r="J713" s="130">
        <f t="shared" si="149"/>
        <v>0</v>
      </c>
      <c r="K713" s="130">
        <f t="shared" si="150"/>
        <v>0</v>
      </c>
      <c r="L713" s="129"/>
      <c r="M713" s="152"/>
      <c r="N713" s="130">
        <f>+Table6[[#This Row],[стойност с ДДС]]-Table6[[#This Row],[плащане]]</f>
        <v>0</v>
      </c>
      <c r="O713" s="208">
        <v>45448</v>
      </c>
    </row>
    <row r="714" spans="1:15" ht="37.5" x14ac:dyDescent="0.3">
      <c r="A714" s="116" t="s">
        <v>67</v>
      </c>
      <c r="B714" s="394">
        <v>3000002829</v>
      </c>
      <c r="C714" s="110">
        <v>45443</v>
      </c>
      <c r="D714" s="116"/>
      <c r="E714" s="111" t="s">
        <v>53</v>
      </c>
      <c r="F714" s="118"/>
      <c r="G714" s="116"/>
      <c r="H714" s="141">
        <v>9341.7829999999994</v>
      </c>
      <c r="I714" s="142">
        <v>54.7</v>
      </c>
      <c r="J714" s="130">
        <f>ROUND(+H714*I714,2)</f>
        <v>510995.53</v>
      </c>
      <c r="K714" s="130">
        <f>J714*1.2</f>
        <v>613194.63600000006</v>
      </c>
      <c r="L714" s="129"/>
      <c r="M714" s="152"/>
      <c r="N714" s="130">
        <f>+Table6[[#This Row],[стойност с ДДС]]-Table6[[#This Row],[плащане]]</f>
        <v>613194.63600000006</v>
      </c>
      <c r="O714" s="208">
        <v>45448</v>
      </c>
    </row>
    <row r="715" spans="1:15" x14ac:dyDescent="0.3">
      <c r="A715" s="97" t="s">
        <v>67</v>
      </c>
      <c r="B715" s="393">
        <v>3000002829</v>
      </c>
      <c r="C715" s="110">
        <v>45443</v>
      </c>
      <c r="D715" s="97"/>
      <c r="E715" s="8" t="s">
        <v>120</v>
      </c>
      <c r="F715" s="101"/>
      <c r="G715" s="97"/>
      <c r="H715" s="113">
        <v>145</v>
      </c>
      <c r="I715" s="114">
        <v>4.5448000000000004</v>
      </c>
      <c r="J715" s="115">
        <f t="shared" ref="J715:J719" si="151">ROUND(+H715*I715,2)</f>
        <v>659</v>
      </c>
      <c r="K715" s="115">
        <f t="shared" ref="K715:K719" si="152">J715*1.2</f>
        <v>790.8</v>
      </c>
      <c r="L715" s="104"/>
      <c r="M715" s="107"/>
      <c r="N715" s="115">
        <f>+Table6[[#This Row],[стойност с ДДС]]-Table6[[#This Row],[плащане]]</f>
        <v>790.8</v>
      </c>
      <c r="O715" s="208">
        <v>45448</v>
      </c>
    </row>
    <row r="716" spans="1:15" x14ac:dyDescent="0.3">
      <c r="A716" s="97" t="s">
        <v>67</v>
      </c>
      <c r="B716" s="393">
        <v>3000002829</v>
      </c>
      <c r="C716" s="110">
        <v>45443</v>
      </c>
      <c r="D716" s="97"/>
      <c r="E716" s="8" t="s">
        <v>57</v>
      </c>
      <c r="F716" s="101"/>
      <c r="G716" s="97"/>
      <c r="H716" s="113">
        <v>13254</v>
      </c>
      <c r="I716" s="114">
        <v>3.6358000000000001</v>
      </c>
      <c r="J716" s="115">
        <f t="shared" si="151"/>
        <v>48188.89</v>
      </c>
      <c r="K716" s="115">
        <f t="shared" si="152"/>
        <v>57826.667999999998</v>
      </c>
      <c r="L716" s="104"/>
      <c r="M716" s="107"/>
      <c r="N716" s="115">
        <f>+Table6[[#This Row],[стойност с ДДС]]-Table6[[#This Row],[плащане]]</f>
        <v>57826.667999999998</v>
      </c>
      <c r="O716" s="208">
        <v>45448</v>
      </c>
    </row>
    <row r="717" spans="1:15" x14ac:dyDescent="0.3">
      <c r="A717" s="97" t="s">
        <v>67</v>
      </c>
      <c r="B717" s="393">
        <v>3000002829</v>
      </c>
      <c r="C717" s="110">
        <v>45443</v>
      </c>
      <c r="D717" s="97"/>
      <c r="E717" s="8" t="s">
        <v>56</v>
      </c>
      <c r="F717" s="101"/>
      <c r="G717" s="97"/>
      <c r="H717" s="113">
        <v>10.57</v>
      </c>
      <c r="I717" s="114">
        <v>8.3582999999999998</v>
      </c>
      <c r="J717" s="115">
        <f t="shared" si="151"/>
        <v>88.35</v>
      </c>
      <c r="K717" s="115">
        <f t="shared" si="152"/>
        <v>106.02</v>
      </c>
      <c r="L717" s="104"/>
      <c r="M717" s="107"/>
      <c r="N717" s="115">
        <f>+Table6[[#This Row],[стойност с ДДС]]-Table6[[#This Row],[плащане]]</f>
        <v>106.02</v>
      </c>
      <c r="O717" s="208">
        <v>45448</v>
      </c>
    </row>
    <row r="718" spans="1:15" x14ac:dyDescent="0.3">
      <c r="A718" s="97" t="s">
        <v>67</v>
      </c>
      <c r="B718" s="393">
        <v>3000002829</v>
      </c>
      <c r="C718" s="110">
        <v>45443</v>
      </c>
      <c r="D718" s="97"/>
      <c r="E718" s="8" t="s">
        <v>58</v>
      </c>
      <c r="F718" s="101"/>
      <c r="G718" s="97"/>
      <c r="H718" s="113">
        <v>22332.043000000001</v>
      </c>
      <c r="I718" s="114">
        <v>1.0194000000000001</v>
      </c>
      <c r="J718" s="115">
        <f t="shared" si="151"/>
        <v>22765.279999999999</v>
      </c>
      <c r="K718" s="115">
        <f t="shared" si="152"/>
        <v>27318.335999999999</v>
      </c>
      <c r="L718" s="104"/>
      <c r="M718" s="107"/>
      <c r="N718" s="115">
        <f>+Table6[[#This Row],[стойност с ДДС]]-Table6[[#This Row],[плащане]]</f>
        <v>27318.335999999999</v>
      </c>
      <c r="O718" s="208">
        <v>45448</v>
      </c>
    </row>
    <row r="719" spans="1:15" x14ac:dyDescent="0.3">
      <c r="A719" s="116" t="s">
        <v>67</v>
      </c>
      <c r="B719" s="394">
        <v>3000002829</v>
      </c>
      <c r="C719" s="117">
        <v>45443</v>
      </c>
      <c r="D719" s="116"/>
      <c r="E719" s="116" t="s">
        <v>59</v>
      </c>
      <c r="F719" s="118"/>
      <c r="G719" s="116"/>
      <c r="H719" s="141">
        <v>80395.354999999996</v>
      </c>
      <c r="I719" s="142">
        <v>0</v>
      </c>
      <c r="J719" s="130">
        <f t="shared" si="151"/>
        <v>0</v>
      </c>
      <c r="K719" s="130">
        <f t="shared" si="152"/>
        <v>0</v>
      </c>
      <c r="L719" s="129"/>
      <c r="M719" s="152"/>
      <c r="N719" s="130">
        <f>+Table6[[#This Row],[стойност с ДДС]]-Table6[[#This Row],[плащане]]</f>
        <v>0</v>
      </c>
      <c r="O719" s="208">
        <v>45448</v>
      </c>
    </row>
    <row r="720" spans="1:15" ht="37.5" x14ac:dyDescent="0.3">
      <c r="A720" s="116" t="s">
        <v>83</v>
      </c>
      <c r="B720" s="394">
        <v>3000002830</v>
      </c>
      <c r="C720" s="117">
        <v>45443</v>
      </c>
      <c r="D720" s="116"/>
      <c r="E720" s="111" t="s">
        <v>53</v>
      </c>
      <c r="F720" s="118"/>
      <c r="G720" s="116"/>
      <c r="H720" s="141">
        <v>1</v>
      </c>
      <c r="I720" s="142">
        <v>4761.99</v>
      </c>
      <c r="J720" s="130">
        <f>ROUND(+H720*I720,2)</f>
        <v>4761.99</v>
      </c>
      <c r="K720" s="130">
        <f>J720*1.2</f>
        <v>5714.3879999999999</v>
      </c>
      <c r="L720" s="129"/>
      <c r="M720" s="152"/>
      <c r="N720" s="130">
        <f>+Table6[[#This Row],[стойност с ДДС]]-Table6[[#This Row],[плащане]]</f>
        <v>5714.3879999999999</v>
      </c>
      <c r="O720" s="208">
        <v>45448</v>
      </c>
    </row>
    <row r="721" spans="1:15" ht="37.5" x14ac:dyDescent="0.3">
      <c r="A721" s="97" t="s">
        <v>83</v>
      </c>
      <c r="B721" s="393">
        <v>3000002830</v>
      </c>
      <c r="C721" s="110">
        <v>45443</v>
      </c>
      <c r="D721" s="97"/>
      <c r="E721" s="111" t="s">
        <v>53</v>
      </c>
      <c r="F721" s="101"/>
      <c r="G721" s="97"/>
      <c r="H721" s="113">
        <v>418.798</v>
      </c>
      <c r="I721" s="114">
        <v>54.7</v>
      </c>
      <c r="J721" s="115">
        <f t="shared" ref="J721:J723" si="153">ROUND(+H721*I721,2)</f>
        <v>22908.25</v>
      </c>
      <c r="K721" s="115">
        <f t="shared" ref="K721:K723" si="154">J721*1.2</f>
        <v>27489.899999999998</v>
      </c>
      <c r="L721" s="104"/>
      <c r="M721" s="107"/>
      <c r="N721" s="115">
        <f>+Table6[[#This Row],[стойност с ДДС]]-Table6[[#This Row],[плащане]]</f>
        <v>27489.899999999998</v>
      </c>
      <c r="O721" s="208">
        <v>45448</v>
      </c>
    </row>
    <row r="722" spans="1:15" x14ac:dyDescent="0.3">
      <c r="A722" s="97" t="s">
        <v>83</v>
      </c>
      <c r="B722" s="393">
        <v>3000002830</v>
      </c>
      <c r="C722" s="110">
        <v>45443</v>
      </c>
      <c r="D722" s="97"/>
      <c r="E722" s="8" t="s">
        <v>58</v>
      </c>
      <c r="F722" s="101"/>
      <c r="G722" s="97"/>
      <c r="H722" s="113">
        <v>1319.5070000000001</v>
      </c>
      <c r="I722" s="114">
        <v>1.0194000000000001</v>
      </c>
      <c r="J722" s="115">
        <f t="shared" si="153"/>
        <v>1345.11</v>
      </c>
      <c r="K722" s="115">
        <f t="shared" si="154"/>
        <v>1614.1319999999998</v>
      </c>
      <c r="L722" s="104"/>
      <c r="M722" s="107"/>
      <c r="N722" s="115">
        <f>+Table6[[#This Row],[стойност с ДДС]]-Table6[[#This Row],[плащане]]</f>
        <v>1614.1319999999998</v>
      </c>
      <c r="O722" s="208">
        <v>45448</v>
      </c>
    </row>
    <row r="723" spans="1:15" x14ac:dyDescent="0.3">
      <c r="A723" s="116" t="s">
        <v>83</v>
      </c>
      <c r="B723" s="394">
        <v>3000002830</v>
      </c>
      <c r="C723" s="117">
        <v>45443</v>
      </c>
      <c r="D723" s="116"/>
      <c r="E723" s="116" t="s">
        <v>59</v>
      </c>
      <c r="F723" s="118"/>
      <c r="G723" s="116"/>
      <c r="H723" s="141">
        <v>4750.2250000000004</v>
      </c>
      <c r="I723" s="142">
        <v>0</v>
      </c>
      <c r="J723" s="130">
        <f t="shared" si="153"/>
        <v>0</v>
      </c>
      <c r="K723" s="130">
        <f t="shared" si="154"/>
        <v>0</v>
      </c>
      <c r="L723" s="129"/>
      <c r="M723" s="152"/>
      <c r="N723" s="130">
        <f>+Table6[[#This Row],[стойност с ДДС]]-Table6[[#This Row],[плащане]]</f>
        <v>0</v>
      </c>
      <c r="O723" s="208">
        <v>45448</v>
      </c>
    </row>
    <row r="724" spans="1:15" ht="37.5" x14ac:dyDescent="0.3">
      <c r="A724" s="116" t="s">
        <v>77</v>
      </c>
      <c r="B724" s="394">
        <v>3000002831</v>
      </c>
      <c r="C724" s="117">
        <v>45443</v>
      </c>
      <c r="D724" s="116"/>
      <c r="E724" s="111" t="s">
        <v>53</v>
      </c>
      <c r="F724" s="118"/>
      <c r="G724" s="116"/>
      <c r="H724" s="141">
        <v>6147.2370000000001</v>
      </c>
      <c r="I724" s="142">
        <v>54.7</v>
      </c>
      <c r="J724" s="130">
        <f>ROUND(+H724*I724,2)</f>
        <v>336253.86</v>
      </c>
      <c r="K724" s="130">
        <f>J724*1.2</f>
        <v>403504.63199999998</v>
      </c>
      <c r="L724" s="129"/>
      <c r="M724" s="152"/>
      <c r="N724" s="130">
        <f>+Table6[[#This Row],[стойност с ДДС]]-Table6[[#This Row],[плащане]]</f>
        <v>403504.63199999998</v>
      </c>
      <c r="O724" s="208">
        <v>45448</v>
      </c>
    </row>
    <row r="725" spans="1:15" x14ac:dyDescent="0.3">
      <c r="A725" s="97" t="s">
        <v>77</v>
      </c>
      <c r="B725" s="393">
        <v>3000002831</v>
      </c>
      <c r="C725" s="117">
        <v>45443</v>
      </c>
      <c r="D725" s="97"/>
      <c r="E725" s="8" t="s">
        <v>120</v>
      </c>
      <c r="F725" s="101"/>
      <c r="G725" s="97"/>
      <c r="H725" s="113">
        <v>204.00800000000001</v>
      </c>
      <c r="I725" s="114">
        <v>4.5448000000000004</v>
      </c>
      <c r="J725" s="115">
        <f t="shared" ref="J725:J729" si="155">ROUND(+H725*I725,2)</f>
        <v>927.18</v>
      </c>
      <c r="K725" s="115">
        <f t="shared" ref="K725:K729" si="156">J725*1.2</f>
        <v>1112.616</v>
      </c>
      <c r="L725" s="104"/>
      <c r="M725" s="107"/>
      <c r="N725" s="115">
        <f>+Table6[[#This Row],[стойност с ДДС]]-Table6[[#This Row],[плащане]]</f>
        <v>1112.616</v>
      </c>
      <c r="O725" s="208">
        <v>45448</v>
      </c>
    </row>
    <row r="726" spans="1:15" x14ac:dyDescent="0.3">
      <c r="A726" s="97" t="s">
        <v>77</v>
      </c>
      <c r="B726" s="393">
        <v>3000002831</v>
      </c>
      <c r="C726" s="110">
        <v>45443</v>
      </c>
      <c r="D726" s="97"/>
      <c r="E726" s="8" t="s">
        <v>57</v>
      </c>
      <c r="F726" s="101"/>
      <c r="G726" s="97"/>
      <c r="H726" s="113">
        <v>12397</v>
      </c>
      <c r="I726" s="114">
        <v>3.6358000000000001</v>
      </c>
      <c r="J726" s="115">
        <f t="shared" si="155"/>
        <v>45073.01</v>
      </c>
      <c r="K726" s="115">
        <f t="shared" si="156"/>
        <v>54087.612000000001</v>
      </c>
      <c r="L726" s="104"/>
      <c r="M726" s="107"/>
      <c r="N726" s="115">
        <f>+Table6[[#This Row],[стойност с ДДС]]-Table6[[#This Row],[плащане]]</f>
        <v>54087.612000000001</v>
      </c>
      <c r="O726" s="208">
        <v>45448</v>
      </c>
    </row>
    <row r="727" spans="1:15" x14ac:dyDescent="0.3">
      <c r="A727" s="97" t="s">
        <v>77</v>
      </c>
      <c r="B727" s="393">
        <v>3000002831</v>
      </c>
      <c r="C727" s="110">
        <v>45443</v>
      </c>
      <c r="D727" s="97"/>
      <c r="E727" s="8" t="s">
        <v>56</v>
      </c>
      <c r="F727" s="101"/>
      <c r="G727" s="97"/>
      <c r="H727" s="113">
        <v>18.722000000000001</v>
      </c>
      <c r="I727" s="114">
        <v>8.3582999999999998</v>
      </c>
      <c r="J727" s="115">
        <f t="shared" si="155"/>
        <v>156.47999999999999</v>
      </c>
      <c r="K727" s="115">
        <f t="shared" si="156"/>
        <v>187.77599999999998</v>
      </c>
      <c r="L727" s="104"/>
      <c r="M727" s="107"/>
      <c r="N727" s="115">
        <f>+Table6[[#This Row],[стойност с ДДС]]-Table6[[#This Row],[плащане]]</f>
        <v>187.77599999999998</v>
      </c>
      <c r="O727" s="208">
        <v>45448</v>
      </c>
    </row>
    <row r="728" spans="1:15" x14ac:dyDescent="0.3">
      <c r="A728" s="97" t="s">
        <v>77</v>
      </c>
      <c r="B728" s="393">
        <v>3000002831</v>
      </c>
      <c r="C728" s="117">
        <v>45443</v>
      </c>
      <c r="D728" s="97"/>
      <c r="E728" s="8" t="s">
        <v>58</v>
      </c>
      <c r="F728" s="101"/>
      <c r="G728" s="97"/>
      <c r="H728" s="113">
        <v>19650.825000000001</v>
      </c>
      <c r="I728" s="114">
        <v>1.0194000000000001</v>
      </c>
      <c r="J728" s="115">
        <f t="shared" si="155"/>
        <v>20032.05</v>
      </c>
      <c r="K728" s="115">
        <f t="shared" si="156"/>
        <v>24038.46</v>
      </c>
      <c r="L728" s="104"/>
      <c r="M728" s="107"/>
      <c r="N728" s="115">
        <f>+Table6[[#This Row],[стойност с ДДС]]-Table6[[#This Row],[плащане]]</f>
        <v>24038.46</v>
      </c>
      <c r="O728" s="208">
        <v>45448</v>
      </c>
    </row>
    <row r="729" spans="1:15" x14ac:dyDescent="0.3">
      <c r="A729" s="116" t="s">
        <v>77</v>
      </c>
      <c r="B729" s="394">
        <v>3000002831</v>
      </c>
      <c r="C729" s="117">
        <v>45443</v>
      </c>
      <c r="D729" s="116"/>
      <c r="E729" s="116" t="s">
        <v>59</v>
      </c>
      <c r="F729" s="118"/>
      <c r="G729" s="116"/>
      <c r="H729" s="141">
        <v>70742.97</v>
      </c>
      <c r="I729" s="142">
        <v>0</v>
      </c>
      <c r="J729" s="130">
        <f t="shared" si="155"/>
        <v>0</v>
      </c>
      <c r="K729" s="130">
        <f t="shared" si="156"/>
        <v>0</v>
      </c>
      <c r="L729" s="129"/>
      <c r="M729" s="152"/>
      <c r="N729" s="130">
        <f>+Table6[[#This Row],[стойност с ДДС]]-Table6[[#This Row],[плащане]]</f>
        <v>0</v>
      </c>
      <c r="O729" s="208">
        <v>45448</v>
      </c>
    </row>
    <row r="730" spans="1:15" x14ac:dyDescent="0.3">
      <c r="A730" s="116" t="s">
        <v>1184</v>
      </c>
      <c r="B730" s="394">
        <v>3000002832</v>
      </c>
      <c r="C730" s="117">
        <v>45443</v>
      </c>
      <c r="D730" s="116"/>
      <c r="E730" s="111" t="s">
        <v>33</v>
      </c>
      <c r="F730" s="118" t="s">
        <v>85</v>
      </c>
      <c r="G730" s="116"/>
      <c r="H730" s="141">
        <v>1</v>
      </c>
      <c r="I730" s="142">
        <v>3302.83</v>
      </c>
      <c r="J730" s="130">
        <f>ROUND(+H730*I730,2)</f>
        <v>3302.83</v>
      </c>
      <c r="K730" s="130">
        <f>J730*1.2</f>
        <v>3963.3959999999997</v>
      </c>
      <c r="L730" s="129">
        <v>3963.3959999999997</v>
      </c>
      <c r="M730" s="152">
        <v>45449</v>
      </c>
      <c r="N730" s="130">
        <f>+Table6[[#This Row],[стойност с ДДС]]-Table6[[#This Row],[плащане]]</f>
        <v>0</v>
      </c>
      <c r="O730" s="208">
        <v>45448</v>
      </c>
    </row>
    <row r="731" spans="1:15" x14ac:dyDescent="0.3">
      <c r="A731" s="116" t="s">
        <v>1184</v>
      </c>
      <c r="B731" s="394">
        <v>3000002833</v>
      </c>
      <c r="C731" s="117">
        <v>45443</v>
      </c>
      <c r="D731" s="116"/>
      <c r="E731" s="111" t="s">
        <v>33</v>
      </c>
      <c r="F731" s="118"/>
      <c r="G731" s="116"/>
      <c r="H731" s="141">
        <v>-1</v>
      </c>
      <c r="I731" s="142">
        <v>12229.57</v>
      </c>
      <c r="J731" s="130">
        <f>ROUND(+H731*I731,2)</f>
        <v>-12229.57</v>
      </c>
      <c r="K731" s="130">
        <f>J731*1.2</f>
        <v>-14675.483999999999</v>
      </c>
      <c r="L731" s="129">
        <v>-14675.483999999999</v>
      </c>
      <c r="M731" s="152">
        <v>45449</v>
      </c>
      <c r="N731" s="130">
        <f>+Table6[[#This Row],[стойност с ДДС]]-Table6[[#This Row],[плащане]]</f>
        <v>0</v>
      </c>
      <c r="O731" s="208">
        <v>45448</v>
      </c>
    </row>
    <row r="732" spans="1:15" x14ac:dyDescent="0.3">
      <c r="A732" s="97" t="s">
        <v>1184</v>
      </c>
      <c r="B732" s="393">
        <v>3000002833</v>
      </c>
      <c r="C732" s="110">
        <v>45443</v>
      </c>
      <c r="D732" s="97"/>
      <c r="E732" s="111" t="s">
        <v>33</v>
      </c>
      <c r="F732" s="101"/>
      <c r="G732" s="97"/>
      <c r="H732" s="113">
        <v>226.26400000000001</v>
      </c>
      <c r="I732" s="114">
        <v>54.05</v>
      </c>
      <c r="J732" s="115">
        <f t="shared" ref="J732:J735" si="157">ROUND(+H732*I732,2)</f>
        <v>12229.57</v>
      </c>
      <c r="K732" s="115">
        <f t="shared" ref="K732:K735" si="158">J732*1.2</f>
        <v>14675.483999999999</v>
      </c>
      <c r="L732" s="104">
        <v>14675.483999999999</v>
      </c>
      <c r="M732" s="107">
        <v>45449</v>
      </c>
      <c r="N732" s="115">
        <f>+Table6[[#This Row],[стойност с ДДС]]-Table6[[#This Row],[плащане]]</f>
        <v>0</v>
      </c>
      <c r="O732" s="208">
        <v>45448</v>
      </c>
    </row>
    <row r="733" spans="1:15" x14ac:dyDescent="0.3">
      <c r="A733" s="97" t="s">
        <v>1184</v>
      </c>
      <c r="B733" s="393">
        <v>3000002833</v>
      </c>
      <c r="C733" s="110">
        <v>45443</v>
      </c>
      <c r="D733" s="97"/>
      <c r="E733" s="8" t="s">
        <v>56</v>
      </c>
      <c r="F733" s="101"/>
      <c r="G733" s="97"/>
      <c r="H733" s="113">
        <v>55.744</v>
      </c>
      <c r="I733" s="114">
        <v>3.3016999999999999</v>
      </c>
      <c r="J733" s="115">
        <f t="shared" si="157"/>
        <v>184.05</v>
      </c>
      <c r="K733" s="115">
        <f t="shared" si="158"/>
        <v>220.86</v>
      </c>
      <c r="L733" s="104">
        <v>220.86</v>
      </c>
      <c r="M733" s="107">
        <v>45449</v>
      </c>
      <c r="N733" s="115">
        <f>+Table6[[#This Row],[стойност с ДДС]]-Table6[[#This Row],[плащане]]</f>
        <v>0</v>
      </c>
      <c r="O733" s="208">
        <v>45448</v>
      </c>
    </row>
    <row r="734" spans="1:15" x14ac:dyDescent="0.3">
      <c r="A734" s="97" t="s">
        <v>1184</v>
      </c>
      <c r="B734" s="393">
        <v>3000002833</v>
      </c>
      <c r="C734" s="110">
        <v>45443</v>
      </c>
      <c r="D734" s="97"/>
      <c r="E734" s="8" t="s">
        <v>58</v>
      </c>
      <c r="F734" s="101"/>
      <c r="G734" s="97"/>
      <c r="H734" s="113">
        <v>226.26400000000001</v>
      </c>
      <c r="I734" s="114">
        <v>0.52290000000000003</v>
      </c>
      <c r="J734" s="115">
        <f t="shared" si="157"/>
        <v>118.31</v>
      </c>
      <c r="K734" s="115">
        <f t="shared" si="158"/>
        <v>141.97200000000001</v>
      </c>
      <c r="L734" s="104">
        <v>141.97200000000001</v>
      </c>
      <c r="M734" s="107">
        <v>45449</v>
      </c>
      <c r="N734" s="115">
        <f>+Table6[[#This Row],[стойност с ДДС]]-Table6[[#This Row],[плащане]]</f>
        <v>0</v>
      </c>
      <c r="O734" s="208">
        <v>45448</v>
      </c>
    </row>
    <row r="735" spans="1:15" x14ac:dyDescent="0.3">
      <c r="A735" s="116" t="s">
        <v>1184</v>
      </c>
      <c r="B735" s="394">
        <v>3000002833</v>
      </c>
      <c r="C735" s="117">
        <v>45443</v>
      </c>
      <c r="D735" s="116"/>
      <c r="E735" s="116" t="s">
        <v>59</v>
      </c>
      <c r="F735" s="118"/>
      <c r="G735" s="116"/>
      <c r="H735" s="141">
        <v>814.55</v>
      </c>
      <c r="I735" s="142">
        <v>0.6</v>
      </c>
      <c r="J735" s="130">
        <f t="shared" si="157"/>
        <v>488.73</v>
      </c>
      <c r="K735" s="130">
        <f t="shared" si="158"/>
        <v>586.476</v>
      </c>
      <c r="L735" s="129">
        <v>586.476</v>
      </c>
      <c r="M735" s="152">
        <v>45449</v>
      </c>
      <c r="N735" s="130">
        <f>+Table6[[#This Row],[стойност с ДДС]]-Table6[[#This Row],[плащане]]</f>
        <v>0</v>
      </c>
      <c r="O735" s="208">
        <v>45448</v>
      </c>
    </row>
    <row r="736" spans="1:15" x14ac:dyDescent="0.3">
      <c r="A736" s="116" t="s">
        <v>49</v>
      </c>
      <c r="B736" s="394">
        <v>3000002838</v>
      </c>
      <c r="C736" s="117">
        <v>45443</v>
      </c>
      <c r="D736" s="116"/>
      <c r="E736" s="111" t="s">
        <v>33</v>
      </c>
      <c r="F736" s="118" t="s">
        <v>85</v>
      </c>
      <c r="G736" s="116"/>
      <c r="H736" s="141">
        <v>1</v>
      </c>
      <c r="I736" s="142">
        <v>358.2</v>
      </c>
      <c r="J736" s="130">
        <f>ROUND(+H736*I736,2)</f>
        <v>358.2</v>
      </c>
      <c r="K736" s="130">
        <f>J736*1.2</f>
        <v>429.84</v>
      </c>
      <c r="L736" s="129">
        <v>429.84</v>
      </c>
      <c r="M736" s="152">
        <v>45449</v>
      </c>
      <c r="N736" s="130">
        <f>+Table6[[#This Row],[стойност с ДДС]]-Table6[[#This Row],[плащане]]</f>
        <v>0</v>
      </c>
      <c r="O736" s="208">
        <v>45448</v>
      </c>
    </row>
    <row r="737" spans="1:15" x14ac:dyDescent="0.3">
      <c r="A737" s="116" t="s">
        <v>49</v>
      </c>
      <c r="B737" s="394">
        <v>3000002839</v>
      </c>
      <c r="C737" s="117">
        <v>45443</v>
      </c>
      <c r="D737" s="116"/>
      <c r="E737" s="111" t="s">
        <v>33</v>
      </c>
      <c r="F737" s="118"/>
      <c r="G737" s="116"/>
      <c r="H737" s="141">
        <v>-1</v>
      </c>
      <c r="I737" s="142">
        <v>1921.32</v>
      </c>
      <c r="J737" s="130">
        <f>ROUND(+H737*I737,2)</f>
        <v>-1921.32</v>
      </c>
      <c r="K737" s="130">
        <f>J737*1.2</f>
        <v>-2305.5839999999998</v>
      </c>
      <c r="L737" s="129">
        <v>-2305.5839999999998</v>
      </c>
      <c r="M737" s="152">
        <v>45449</v>
      </c>
      <c r="N737" s="130">
        <f>+Table6[[#This Row],[стойност с ДДС]]-Table6[[#This Row],[плащане]]</f>
        <v>0</v>
      </c>
      <c r="O737" s="208">
        <v>45448</v>
      </c>
    </row>
    <row r="738" spans="1:15" x14ac:dyDescent="0.3">
      <c r="A738" s="97" t="s">
        <v>49</v>
      </c>
      <c r="B738" s="393">
        <v>3000002839</v>
      </c>
      <c r="C738" s="110">
        <v>45443</v>
      </c>
      <c r="D738" s="97"/>
      <c r="E738" s="111" t="s">
        <v>33</v>
      </c>
      <c r="F738" s="101"/>
      <c r="G738" s="97"/>
      <c r="H738" s="113">
        <v>35.546999999999997</v>
      </c>
      <c r="I738" s="114">
        <v>54.05</v>
      </c>
      <c r="J738" s="115">
        <f t="shared" ref="J738:J741" si="159">ROUND(+H738*I738,2)</f>
        <v>1921.32</v>
      </c>
      <c r="K738" s="115">
        <f t="shared" ref="K738:K741" si="160">J738*1.2</f>
        <v>2305.5839999999998</v>
      </c>
      <c r="L738" s="104">
        <v>2305.5839999999998</v>
      </c>
      <c r="M738" s="107">
        <v>45449</v>
      </c>
      <c r="N738" s="115">
        <f>+Table6[[#This Row],[стойност с ДДС]]-Table6[[#This Row],[плащане]]</f>
        <v>0</v>
      </c>
      <c r="O738" s="208">
        <v>45448</v>
      </c>
    </row>
    <row r="739" spans="1:15" x14ac:dyDescent="0.3">
      <c r="A739" s="97" t="s">
        <v>49</v>
      </c>
      <c r="B739" s="393">
        <v>3000002839</v>
      </c>
      <c r="C739" s="110">
        <v>45443</v>
      </c>
      <c r="D739" s="97"/>
      <c r="E739" s="8" t="s">
        <v>56</v>
      </c>
      <c r="F739" s="101"/>
      <c r="G739" s="97"/>
      <c r="H739" s="113">
        <v>6.7910000000000004</v>
      </c>
      <c r="I739" s="114">
        <v>3.3016999999999999</v>
      </c>
      <c r="J739" s="115">
        <f t="shared" si="159"/>
        <v>22.42</v>
      </c>
      <c r="K739" s="115">
        <f t="shared" si="160"/>
        <v>26.904</v>
      </c>
      <c r="L739" s="104">
        <v>26.904</v>
      </c>
      <c r="M739" s="107">
        <v>45449</v>
      </c>
      <c r="N739" s="115">
        <f>+Table6[[#This Row],[стойност с ДДС]]-Table6[[#This Row],[плащане]]</f>
        <v>0</v>
      </c>
      <c r="O739" s="208">
        <v>45448</v>
      </c>
    </row>
    <row r="740" spans="1:15" x14ac:dyDescent="0.3">
      <c r="A740" s="97" t="s">
        <v>49</v>
      </c>
      <c r="B740" s="393">
        <v>3000002839</v>
      </c>
      <c r="C740" s="110">
        <v>45443</v>
      </c>
      <c r="D740" s="97"/>
      <c r="E740" s="8" t="s">
        <v>58</v>
      </c>
      <c r="F740" s="101"/>
      <c r="G740" s="97"/>
      <c r="H740" s="113">
        <v>35.546999999999997</v>
      </c>
      <c r="I740" s="114">
        <v>0.52290000000000003</v>
      </c>
      <c r="J740" s="115">
        <f t="shared" si="159"/>
        <v>18.59</v>
      </c>
      <c r="K740" s="115">
        <f t="shared" si="160"/>
        <v>22.308</v>
      </c>
      <c r="L740" s="104">
        <v>22.308</v>
      </c>
      <c r="M740" s="107">
        <v>45449</v>
      </c>
      <c r="N740" s="115">
        <f>+Table6[[#This Row],[стойност с ДДС]]-Table6[[#This Row],[плащане]]</f>
        <v>0</v>
      </c>
      <c r="O740" s="208">
        <v>45448</v>
      </c>
    </row>
    <row r="741" spans="1:15" x14ac:dyDescent="0.3">
      <c r="A741" s="116" t="s">
        <v>49</v>
      </c>
      <c r="B741" s="394">
        <v>3000002839</v>
      </c>
      <c r="C741" s="117">
        <v>45443</v>
      </c>
      <c r="D741" s="116"/>
      <c r="E741" s="116" t="s">
        <v>59</v>
      </c>
      <c r="F741" s="118"/>
      <c r="G741" s="116"/>
      <c r="H741" s="141">
        <v>127.96899999999999</v>
      </c>
      <c r="I741" s="142">
        <v>0.6</v>
      </c>
      <c r="J741" s="130">
        <f t="shared" si="159"/>
        <v>76.78</v>
      </c>
      <c r="K741" s="130">
        <f t="shared" si="160"/>
        <v>92.135999999999996</v>
      </c>
      <c r="L741" s="129">
        <v>92.135999999999996</v>
      </c>
      <c r="M741" s="152">
        <v>45449</v>
      </c>
      <c r="N741" s="130">
        <f>+Table6[[#This Row],[стойност с ДДС]]-Table6[[#This Row],[плащане]]</f>
        <v>0</v>
      </c>
      <c r="O741" s="208">
        <v>45448</v>
      </c>
    </row>
    <row r="742" spans="1:15" x14ac:dyDescent="0.3">
      <c r="A742" s="116" t="s">
        <v>92</v>
      </c>
      <c r="B742" s="394">
        <v>3000002840</v>
      </c>
      <c r="C742" s="117">
        <v>45443</v>
      </c>
      <c r="D742" s="116"/>
      <c r="E742" s="111" t="s">
        <v>33</v>
      </c>
      <c r="F742" s="118" t="s">
        <v>85</v>
      </c>
      <c r="G742" s="116"/>
      <c r="H742" s="141">
        <v>1</v>
      </c>
      <c r="I742" s="142">
        <v>529.77</v>
      </c>
      <c r="J742" s="130">
        <f>ROUND(+H742*I742,2)</f>
        <v>529.77</v>
      </c>
      <c r="K742" s="130">
        <f>J742*1.2</f>
        <v>635.72399999999993</v>
      </c>
      <c r="L742" s="129">
        <v>635.72399999999993</v>
      </c>
      <c r="M742" s="152">
        <v>45449</v>
      </c>
      <c r="N742" s="130">
        <f>+Table6[[#This Row],[стойност с ДДС]]-Table6[[#This Row],[плащане]]</f>
        <v>0</v>
      </c>
      <c r="O742" s="208">
        <v>45448</v>
      </c>
    </row>
    <row r="743" spans="1:15" x14ac:dyDescent="0.3">
      <c r="A743" s="116" t="s">
        <v>92</v>
      </c>
      <c r="B743" s="394">
        <v>3000002841</v>
      </c>
      <c r="C743" s="110">
        <v>45443</v>
      </c>
      <c r="D743" s="97"/>
      <c r="E743" s="111" t="s">
        <v>33</v>
      </c>
      <c r="F743" s="101"/>
      <c r="G743" s="97"/>
      <c r="H743" s="113">
        <v>-1</v>
      </c>
      <c r="I743" s="114">
        <v>702.11</v>
      </c>
      <c r="J743" s="115">
        <f>ROUND(+H743*I743,2)</f>
        <v>-702.11</v>
      </c>
      <c r="K743" s="115">
        <f>J743*1.2</f>
        <v>-842.53200000000004</v>
      </c>
      <c r="L743" s="104">
        <v>-842.53200000000004</v>
      </c>
      <c r="M743" s="107">
        <v>45449</v>
      </c>
      <c r="N743" s="115">
        <f>+Table6[[#This Row],[стойност с ДДС]]-Table6[[#This Row],[плащане]]</f>
        <v>0</v>
      </c>
      <c r="O743" s="208">
        <v>45448</v>
      </c>
    </row>
    <row r="744" spans="1:15" x14ac:dyDescent="0.3">
      <c r="A744" s="116" t="s">
        <v>92</v>
      </c>
      <c r="B744" s="394">
        <v>3000002841</v>
      </c>
      <c r="C744" s="110">
        <v>45443</v>
      </c>
      <c r="D744" s="97"/>
      <c r="E744" s="111" t="s">
        <v>33</v>
      </c>
      <c r="F744" s="101"/>
      <c r="G744" s="97"/>
      <c r="H744" s="113">
        <v>12.99</v>
      </c>
      <c r="I744" s="114">
        <v>12.99</v>
      </c>
      <c r="J744" s="115">
        <f>ROUND(+H744*I744,2)</f>
        <v>168.74</v>
      </c>
      <c r="K744" s="115">
        <f>J744*1.2</f>
        <v>202.488</v>
      </c>
      <c r="L744" s="104">
        <v>202.488</v>
      </c>
      <c r="M744" s="107">
        <v>45449</v>
      </c>
      <c r="N744" s="115">
        <f>+Table6[[#This Row],[стойност с ДДС]]-Table6[[#This Row],[плащане]]</f>
        <v>0</v>
      </c>
      <c r="O744" s="208">
        <v>45448</v>
      </c>
    </row>
    <row r="745" spans="1:15" x14ac:dyDescent="0.3">
      <c r="A745" s="116" t="s">
        <v>92</v>
      </c>
      <c r="B745" s="394">
        <v>3000002841</v>
      </c>
      <c r="C745" s="110">
        <v>45443</v>
      </c>
      <c r="D745" s="97"/>
      <c r="E745" s="111" t="s">
        <v>58</v>
      </c>
      <c r="F745" s="101"/>
      <c r="G745" s="97"/>
      <c r="H745" s="113">
        <v>12.99</v>
      </c>
      <c r="I745" s="114">
        <v>12.99</v>
      </c>
      <c r="J745" s="115">
        <f t="shared" ref="J745:J746" si="161">ROUND(+H745*I745,2)</f>
        <v>168.74</v>
      </c>
      <c r="K745" s="115">
        <f t="shared" ref="K745:K746" si="162">J745*1.2</f>
        <v>202.488</v>
      </c>
      <c r="L745" s="104">
        <v>202.488</v>
      </c>
      <c r="M745" s="107">
        <v>45449</v>
      </c>
      <c r="N745" s="115">
        <f>+Table6[[#This Row],[стойност с ДДС]]-Table6[[#This Row],[плащане]]</f>
        <v>0</v>
      </c>
      <c r="O745" s="208">
        <v>45448</v>
      </c>
    </row>
    <row r="746" spans="1:15" x14ac:dyDescent="0.3">
      <c r="A746" s="116" t="s">
        <v>92</v>
      </c>
      <c r="B746" s="394">
        <v>3000002841</v>
      </c>
      <c r="C746" s="110">
        <v>45443</v>
      </c>
      <c r="D746" s="97"/>
      <c r="E746" s="116" t="s">
        <v>59</v>
      </c>
      <c r="F746" s="101"/>
      <c r="G746" s="97"/>
      <c r="H746" s="113">
        <v>46.764000000000003</v>
      </c>
      <c r="I746" s="114">
        <v>46.764000000000003</v>
      </c>
      <c r="J746" s="115">
        <f t="shared" si="161"/>
        <v>2186.87</v>
      </c>
      <c r="K746" s="115">
        <f t="shared" si="162"/>
        <v>2624.2439999999997</v>
      </c>
      <c r="L746" s="104">
        <v>2624.2439999999997</v>
      </c>
      <c r="M746" s="107">
        <v>45449</v>
      </c>
      <c r="N746" s="115">
        <f>+Table6[[#This Row],[стойност с ДДС]]-Table6[[#This Row],[плащане]]</f>
        <v>0</v>
      </c>
      <c r="O746" s="208">
        <v>45448</v>
      </c>
    </row>
    <row r="747" spans="1:15" x14ac:dyDescent="0.3">
      <c r="A747" s="116" t="s">
        <v>50</v>
      </c>
      <c r="B747" s="394">
        <v>3000002842</v>
      </c>
      <c r="C747" s="117">
        <v>45454</v>
      </c>
      <c r="D747" s="116"/>
      <c r="E747" s="111" t="s">
        <v>76</v>
      </c>
      <c r="F747" s="118"/>
      <c r="G747" s="116"/>
      <c r="H747" s="141">
        <v>180</v>
      </c>
      <c r="I747" s="142">
        <v>63.7316</v>
      </c>
      <c r="J747" s="130">
        <f t="shared" ref="J747:J757" si="163">ROUND(+H747*I747,2)</f>
        <v>11471.69</v>
      </c>
      <c r="K747" s="130">
        <f t="shared" ref="K747:K757" si="164">J747*1.2</f>
        <v>13766.028</v>
      </c>
      <c r="L747" s="129"/>
      <c r="M747" s="152"/>
      <c r="N747" s="130">
        <f>+Table6[[#This Row],[стойност с ДДС]]-Table6[[#This Row],[плащане]]</f>
        <v>13766.028</v>
      </c>
      <c r="O747" s="208">
        <v>45454</v>
      </c>
    </row>
    <row r="748" spans="1:15" x14ac:dyDescent="0.3">
      <c r="A748" s="116" t="s">
        <v>64</v>
      </c>
      <c r="B748" s="394">
        <v>3000002843</v>
      </c>
      <c r="C748" s="117">
        <v>45454</v>
      </c>
      <c r="D748" s="116"/>
      <c r="E748" s="111" t="s">
        <v>76</v>
      </c>
      <c r="F748" s="118"/>
      <c r="G748" s="116"/>
      <c r="H748" s="141">
        <v>110</v>
      </c>
      <c r="I748" s="142">
        <v>63.7316</v>
      </c>
      <c r="J748" s="130">
        <f t="shared" si="163"/>
        <v>7010.48</v>
      </c>
      <c r="K748" s="130">
        <f t="shared" si="164"/>
        <v>8412.5759999999991</v>
      </c>
      <c r="L748" s="129"/>
      <c r="M748" s="152"/>
      <c r="N748" s="130">
        <f>+Table6[[#This Row],[стойност с ДДС]]-Table6[[#This Row],[плащане]]</f>
        <v>8412.5759999999991</v>
      </c>
      <c r="O748" s="208">
        <v>45454</v>
      </c>
    </row>
    <row r="749" spans="1:15" x14ac:dyDescent="0.3">
      <c r="A749" s="116" t="s">
        <v>1205</v>
      </c>
      <c r="B749" s="394">
        <v>3000002844</v>
      </c>
      <c r="C749" s="117">
        <v>45454</v>
      </c>
      <c r="D749" s="116"/>
      <c r="E749" s="111" t="s">
        <v>76</v>
      </c>
      <c r="F749" s="118"/>
      <c r="G749" s="116"/>
      <c r="H749" s="141">
        <v>790</v>
      </c>
      <c r="I749" s="142">
        <v>63.7316</v>
      </c>
      <c r="J749" s="130">
        <f t="shared" si="163"/>
        <v>50347.96</v>
      </c>
      <c r="K749" s="130">
        <f t="shared" si="164"/>
        <v>60417.551999999996</v>
      </c>
      <c r="L749" s="129"/>
      <c r="M749" s="152"/>
      <c r="N749" s="130">
        <f>+Table6[[#This Row],[стойност с ДДС]]-Table6[[#This Row],[плащане]]</f>
        <v>60417.551999999996</v>
      </c>
      <c r="O749" s="208">
        <v>45454</v>
      </c>
    </row>
    <row r="750" spans="1:15" x14ac:dyDescent="0.3">
      <c r="A750" s="116" t="s">
        <v>67</v>
      </c>
      <c r="B750" s="394">
        <v>3000002845</v>
      </c>
      <c r="C750" s="117">
        <v>45454</v>
      </c>
      <c r="D750" s="116"/>
      <c r="E750" s="111" t="s">
        <v>76</v>
      </c>
      <c r="F750" s="118"/>
      <c r="G750" s="116"/>
      <c r="H750" s="141">
        <v>330</v>
      </c>
      <c r="I750" s="142">
        <v>54.412199999999999</v>
      </c>
      <c r="J750" s="130">
        <f t="shared" si="163"/>
        <v>17956.03</v>
      </c>
      <c r="K750" s="130">
        <f t="shared" si="164"/>
        <v>21547.235999999997</v>
      </c>
      <c r="L750" s="129"/>
      <c r="M750" s="152"/>
      <c r="N750" s="130">
        <f>+Table6[[#This Row],[стойност с ДДС]]-Table6[[#This Row],[плащане]]</f>
        <v>21547.235999999997</v>
      </c>
      <c r="O750" s="208">
        <v>45454</v>
      </c>
    </row>
    <row r="751" spans="1:15" x14ac:dyDescent="0.3">
      <c r="A751" s="116" t="s">
        <v>83</v>
      </c>
      <c r="B751" s="394">
        <v>3000002846</v>
      </c>
      <c r="C751" s="117">
        <v>45454</v>
      </c>
      <c r="D751" s="116"/>
      <c r="E751" s="111" t="s">
        <v>76</v>
      </c>
      <c r="F751" s="118"/>
      <c r="G751" s="116"/>
      <c r="H751" s="141">
        <v>30</v>
      </c>
      <c r="I751" s="142">
        <v>63.7316</v>
      </c>
      <c r="J751" s="130">
        <f t="shared" si="163"/>
        <v>1911.95</v>
      </c>
      <c r="K751" s="130">
        <f t="shared" si="164"/>
        <v>2294.34</v>
      </c>
      <c r="L751" s="129"/>
      <c r="M751" s="152"/>
      <c r="N751" s="130">
        <f>+Table6[[#This Row],[стойност с ДДС]]-Table6[[#This Row],[плащане]]</f>
        <v>2294.34</v>
      </c>
      <c r="O751" s="208">
        <v>45454</v>
      </c>
    </row>
    <row r="752" spans="1:15" x14ac:dyDescent="0.3">
      <c r="A752" s="116" t="s">
        <v>77</v>
      </c>
      <c r="B752" s="394">
        <v>3000002847</v>
      </c>
      <c r="C752" s="117">
        <v>45454</v>
      </c>
      <c r="D752" s="116"/>
      <c r="E752" s="111" t="s">
        <v>76</v>
      </c>
      <c r="F752" s="118"/>
      <c r="G752" s="116"/>
      <c r="H752" s="141">
        <v>233</v>
      </c>
      <c r="I752" s="142">
        <v>54.412199999999999</v>
      </c>
      <c r="J752" s="130">
        <f t="shared" si="163"/>
        <v>12678.04</v>
      </c>
      <c r="K752" s="130">
        <f t="shared" si="164"/>
        <v>15213.648000000001</v>
      </c>
      <c r="L752" s="129"/>
      <c r="M752" s="152"/>
      <c r="N752" s="130">
        <f>+Table6[[#This Row],[стойност с ДДС]]-Table6[[#This Row],[плащане]]</f>
        <v>15213.648000000001</v>
      </c>
      <c r="O752" s="208">
        <v>45454</v>
      </c>
    </row>
    <row r="753" spans="1:15" x14ac:dyDescent="0.3">
      <c r="A753" s="116" t="s">
        <v>69</v>
      </c>
      <c r="B753" s="394">
        <v>3000002848</v>
      </c>
      <c r="C753" s="117">
        <v>45454</v>
      </c>
      <c r="D753" s="116"/>
      <c r="E753" s="111" t="s">
        <v>33</v>
      </c>
      <c r="F753" s="118"/>
      <c r="G753" s="116"/>
      <c r="H753" s="141">
        <v>1</v>
      </c>
      <c r="I753" s="142">
        <v>8908.7999999999993</v>
      </c>
      <c r="J753" s="130">
        <f t="shared" si="163"/>
        <v>8908.7999999999993</v>
      </c>
      <c r="K753" s="130">
        <f t="shared" si="164"/>
        <v>10690.56</v>
      </c>
      <c r="L753" s="129">
        <v>10690.56</v>
      </c>
      <c r="M753" s="152">
        <v>45483</v>
      </c>
      <c r="N753" s="130">
        <f>+Table6[[#This Row],[стойност с ДДС]]-Table6[[#This Row],[плащане]]</f>
        <v>0</v>
      </c>
      <c r="O753" s="208">
        <v>45454</v>
      </c>
    </row>
    <row r="754" spans="1:15" x14ac:dyDescent="0.3">
      <c r="A754" s="116" t="s">
        <v>69</v>
      </c>
      <c r="B754" s="394">
        <v>3000002848</v>
      </c>
      <c r="C754" s="117">
        <v>45454</v>
      </c>
      <c r="D754" s="116"/>
      <c r="E754" s="111" t="s">
        <v>76</v>
      </c>
      <c r="F754" s="118"/>
      <c r="G754" s="116"/>
      <c r="H754" s="141">
        <v>20</v>
      </c>
      <c r="I754" s="142">
        <v>25.1753</v>
      </c>
      <c r="J754" s="130">
        <f t="shared" si="163"/>
        <v>503.51</v>
      </c>
      <c r="K754" s="130">
        <f t="shared" si="164"/>
        <v>604.21199999999999</v>
      </c>
      <c r="L754" s="129">
        <v>604.21199999999999</v>
      </c>
      <c r="M754" s="152">
        <v>45483</v>
      </c>
      <c r="N754" s="130">
        <f>+Table6[[#This Row],[стойност с ДДС]]-Table6[[#This Row],[плащане]]</f>
        <v>0</v>
      </c>
      <c r="O754" s="208">
        <v>45454</v>
      </c>
    </row>
    <row r="755" spans="1:15" x14ac:dyDescent="0.3">
      <c r="A755" s="116" t="s">
        <v>49</v>
      </c>
      <c r="B755" s="394">
        <v>3000002849</v>
      </c>
      <c r="C755" s="117">
        <v>45454</v>
      </c>
      <c r="D755" s="116"/>
      <c r="E755" s="111" t="s">
        <v>33</v>
      </c>
      <c r="F755" s="118"/>
      <c r="G755" s="116"/>
      <c r="H755" s="141">
        <v>1</v>
      </c>
      <c r="I755" s="142">
        <v>1628.16</v>
      </c>
      <c r="J755" s="130">
        <f t="shared" si="163"/>
        <v>1628.16</v>
      </c>
      <c r="K755" s="130">
        <f t="shared" si="164"/>
        <v>1953.7919999999999</v>
      </c>
      <c r="L755" s="129">
        <v>1953.7919999999999</v>
      </c>
      <c r="M755" s="152">
        <v>45483</v>
      </c>
      <c r="N755" s="130">
        <f>+Table6[[#This Row],[стойност с ДДС]]-Table6[[#This Row],[плащане]]</f>
        <v>0</v>
      </c>
      <c r="O755" s="208">
        <v>45454</v>
      </c>
    </row>
    <row r="756" spans="1:15" x14ac:dyDescent="0.3">
      <c r="A756" s="116" t="s">
        <v>49</v>
      </c>
      <c r="B756" s="394">
        <v>3000002849</v>
      </c>
      <c r="C756" s="117">
        <v>45454</v>
      </c>
      <c r="D756" s="97"/>
      <c r="E756" s="111" t="s">
        <v>76</v>
      </c>
      <c r="F756" s="101"/>
      <c r="G756" s="97"/>
      <c r="H756" s="113">
        <v>1.77</v>
      </c>
      <c r="I756" s="114">
        <v>21.4939</v>
      </c>
      <c r="J756" s="115">
        <f t="shared" si="163"/>
        <v>38.04</v>
      </c>
      <c r="K756" s="115">
        <f t="shared" si="164"/>
        <v>45.647999999999996</v>
      </c>
      <c r="L756" s="104">
        <v>45.647999999999996</v>
      </c>
      <c r="M756" s="152">
        <v>45483</v>
      </c>
      <c r="N756" s="115">
        <f>+Table6[[#This Row],[стойност с ДДС]]-Table6[[#This Row],[плащане]]</f>
        <v>0</v>
      </c>
      <c r="O756" s="208">
        <v>45454</v>
      </c>
    </row>
    <row r="757" spans="1:15" x14ac:dyDescent="0.3">
      <c r="A757" s="116" t="s">
        <v>72</v>
      </c>
      <c r="B757" s="394">
        <v>3000002850</v>
      </c>
      <c r="C757" s="117">
        <v>45454</v>
      </c>
      <c r="D757" s="116"/>
      <c r="E757" s="111" t="s">
        <v>33</v>
      </c>
      <c r="F757" s="118"/>
      <c r="G757" s="116"/>
      <c r="H757" s="141">
        <v>1</v>
      </c>
      <c r="I757" s="142">
        <v>12595.2</v>
      </c>
      <c r="J757" s="130">
        <f t="shared" si="163"/>
        <v>12595.2</v>
      </c>
      <c r="K757" s="130">
        <f t="shared" si="164"/>
        <v>15114.24</v>
      </c>
      <c r="L757" s="129">
        <v>15114.24</v>
      </c>
      <c r="M757" s="152">
        <v>45483</v>
      </c>
      <c r="N757" s="130">
        <f>+Table6[[#This Row],[стойност с ДДС]]-Table6[[#This Row],[плащане]]</f>
        <v>0</v>
      </c>
      <c r="O757" s="208">
        <v>45454</v>
      </c>
    </row>
    <row r="758" spans="1:15" x14ac:dyDescent="0.3">
      <c r="A758" s="97" t="s">
        <v>72</v>
      </c>
      <c r="B758" s="393">
        <v>3000002850</v>
      </c>
      <c r="C758" s="110">
        <v>45454</v>
      </c>
      <c r="D758" s="97"/>
      <c r="E758" s="111" t="s">
        <v>76</v>
      </c>
      <c r="F758" s="101"/>
      <c r="G758" s="97"/>
      <c r="H758" s="113">
        <v>18</v>
      </c>
      <c r="I758" s="114">
        <v>25.1753</v>
      </c>
      <c r="J758" s="115">
        <f t="shared" ref="J758:J759" si="165">ROUND(+H758*I758,2)</f>
        <v>453.16</v>
      </c>
      <c r="K758" s="115">
        <f t="shared" ref="K758:K759" si="166">J758*1.2</f>
        <v>543.79200000000003</v>
      </c>
      <c r="L758" s="104">
        <v>543.79200000000003</v>
      </c>
      <c r="M758" s="152">
        <v>45483</v>
      </c>
      <c r="N758" s="115">
        <f>+Table6[[#This Row],[стойност с ДДС]]-Table6[[#This Row],[плащане]]</f>
        <v>0</v>
      </c>
      <c r="O758" s="208">
        <v>45454</v>
      </c>
    </row>
    <row r="759" spans="1:15" x14ac:dyDescent="0.3">
      <c r="A759" s="116" t="s">
        <v>72</v>
      </c>
      <c r="B759" s="394">
        <v>3000002850</v>
      </c>
      <c r="C759" s="117">
        <v>45454</v>
      </c>
      <c r="D759" s="116"/>
      <c r="E759" s="111" t="s">
        <v>63</v>
      </c>
      <c r="F759" s="118"/>
      <c r="G759" s="116"/>
      <c r="H759" s="141">
        <v>1</v>
      </c>
      <c r="I759" s="142">
        <v>21.4939</v>
      </c>
      <c r="J759" s="130">
        <f t="shared" si="165"/>
        <v>21.49</v>
      </c>
      <c r="K759" s="130">
        <f t="shared" si="166"/>
        <v>25.787999999999997</v>
      </c>
      <c r="L759" s="129">
        <v>25.787999999999997</v>
      </c>
      <c r="M759" s="152">
        <v>45483</v>
      </c>
      <c r="N759" s="130">
        <f>+Table6[[#This Row],[стойност с ДДС]]-Table6[[#This Row],[плащане]]</f>
        <v>0</v>
      </c>
      <c r="O759" s="208">
        <v>45454</v>
      </c>
    </row>
    <row r="760" spans="1:15" x14ac:dyDescent="0.3">
      <c r="A760" s="116" t="s">
        <v>82</v>
      </c>
      <c r="B760" s="394">
        <v>3000002851</v>
      </c>
      <c r="C760" s="117">
        <v>45454</v>
      </c>
      <c r="D760" s="116"/>
      <c r="E760" s="111" t="s">
        <v>33</v>
      </c>
      <c r="F760" s="118"/>
      <c r="G760" s="116"/>
      <c r="H760" s="141">
        <v>1</v>
      </c>
      <c r="I760" s="142">
        <v>2523.23</v>
      </c>
      <c r="J760" s="130">
        <f>ROUND(+H760*I760,2)</f>
        <v>2523.23</v>
      </c>
      <c r="K760" s="130">
        <f>J760*1.2</f>
        <v>3027.8759999999997</v>
      </c>
      <c r="L760" s="129">
        <v>3027.8759999999997</v>
      </c>
      <c r="M760" s="152">
        <v>45484</v>
      </c>
      <c r="N760" s="130">
        <f>+Table6[[#This Row],[стойност с ДДС]]-Table6[[#This Row],[плащане]]</f>
        <v>0</v>
      </c>
      <c r="O760" s="208">
        <v>45454</v>
      </c>
    </row>
    <row r="761" spans="1:15" x14ac:dyDescent="0.3">
      <c r="A761" s="116" t="s">
        <v>82</v>
      </c>
      <c r="B761" s="394">
        <v>3000002851</v>
      </c>
      <c r="C761" s="117">
        <v>45454</v>
      </c>
      <c r="D761" s="97"/>
      <c r="E761" s="111" t="s">
        <v>33</v>
      </c>
      <c r="F761" s="101"/>
      <c r="G761" s="97"/>
      <c r="H761" s="113">
        <v>1</v>
      </c>
      <c r="I761" s="114">
        <v>21.23</v>
      </c>
      <c r="J761" s="115">
        <f t="shared" ref="J761:J762" si="167">ROUND(+H761*I761,2)</f>
        <v>21.23</v>
      </c>
      <c r="K761" s="115">
        <f t="shared" ref="K761:K762" si="168">J761*1.2</f>
        <v>25.475999999999999</v>
      </c>
      <c r="L761" s="104">
        <v>25.475999999999999</v>
      </c>
      <c r="M761" s="152">
        <v>45484</v>
      </c>
      <c r="N761" s="115">
        <f>+Table6[[#This Row],[стойност с ДДС]]-Table6[[#This Row],[плащане]]</f>
        <v>0</v>
      </c>
      <c r="O761" s="208">
        <v>45454</v>
      </c>
    </row>
    <row r="762" spans="1:15" x14ac:dyDescent="0.3">
      <c r="A762" s="116" t="s">
        <v>82</v>
      </c>
      <c r="B762" s="394">
        <v>3000002851</v>
      </c>
      <c r="C762" s="117">
        <v>45454</v>
      </c>
      <c r="D762" s="97"/>
      <c r="E762" s="111" t="s">
        <v>33</v>
      </c>
      <c r="F762" s="101"/>
      <c r="G762" s="97"/>
      <c r="H762" s="113">
        <v>1</v>
      </c>
      <c r="I762" s="114">
        <v>22.2</v>
      </c>
      <c r="J762" s="115">
        <f t="shared" si="167"/>
        <v>22.2</v>
      </c>
      <c r="K762" s="115">
        <f t="shared" si="168"/>
        <v>26.639999999999997</v>
      </c>
      <c r="L762" s="104">
        <v>26.639999999999997</v>
      </c>
      <c r="M762" s="152">
        <v>45484</v>
      </c>
      <c r="N762" s="115">
        <f>+Table6[[#This Row],[стойност с ДДС]]-Table6[[#This Row],[плащане]]</f>
        <v>0</v>
      </c>
      <c r="O762" s="208">
        <v>45454</v>
      </c>
    </row>
    <row r="763" spans="1:15" x14ac:dyDescent="0.3">
      <c r="A763" s="116" t="s">
        <v>82</v>
      </c>
      <c r="B763" s="394">
        <v>3000002851</v>
      </c>
      <c r="C763" s="117">
        <v>45454</v>
      </c>
      <c r="D763" s="116"/>
      <c r="E763" s="145" t="s">
        <v>63</v>
      </c>
      <c r="F763" s="118"/>
      <c r="G763" s="116"/>
      <c r="H763" s="141">
        <v>90</v>
      </c>
      <c r="I763" s="142">
        <v>0.82769999999999999</v>
      </c>
      <c r="J763" s="130">
        <f t="shared" ref="J763:J772" si="169">ROUND(+H763*I763,2)</f>
        <v>74.489999999999995</v>
      </c>
      <c r="K763" s="130">
        <f t="shared" ref="K763:K772" si="170">J763*1.2</f>
        <v>89.387999999999991</v>
      </c>
      <c r="L763" s="129">
        <v>89.387999999999991</v>
      </c>
      <c r="M763" s="152">
        <v>45484</v>
      </c>
      <c r="N763" s="130">
        <f>+Table6[[#This Row],[стойност с ДДС]]-Table6[[#This Row],[плащане]]</f>
        <v>0</v>
      </c>
      <c r="O763" s="208">
        <v>45454</v>
      </c>
    </row>
    <row r="764" spans="1:15" x14ac:dyDescent="0.3">
      <c r="A764" s="116" t="s">
        <v>92</v>
      </c>
      <c r="B764" s="394">
        <v>3000002852</v>
      </c>
      <c r="C764" s="117">
        <v>45454</v>
      </c>
      <c r="D764" s="116"/>
      <c r="E764" s="111" t="s">
        <v>33</v>
      </c>
      <c r="F764" s="118"/>
      <c r="G764" s="116"/>
      <c r="H764" s="141">
        <v>1</v>
      </c>
      <c r="I764" s="142">
        <v>798.72</v>
      </c>
      <c r="J764" s="130">
        <f t="shared" si="169"/>
        <v>798.72</v>
      </c>
      <c r="K764" s="130">
        <f t="shared" si="170"/>
        <v>958.46399999999994</v>
      </c>
      <c r="L764" s="129">
        <v>958.46399999999994</v>
      </c>
      <c r="M764" s="152">
        <v>45484</v>
      </c>
      <c r="N764" s="130">
        <f>+Table6[[#This Row],[стойност с ДДС]]-Table6[[#This Row],[плащане]]</f>
        <v>0</v>
      </c>
      <c r="O764" s="208">
        <v>45454</v>
      </c>
    </row>
    <row r="765" spans="1:15" x14ac:dyDescent="0.3">
      <c r="A765" s="116" t="s">
        <v>114</v>
      </c>
      <c r="B765" s="394">
        <v>3100000508</v>
      </c>
      <c r="C765" s="117">
        <v>45362</v>
      </c>
      <c r="D765" s="116"/>
      <c r="E765" s="116" t="s">
        <v>36</v>
      </c>
      <c r="F765" s="118"/>
      <c r="G765" s="116"/>
      <c r="H765" s="141">
        <v>65</v>
      </c>
      <c r="I765" s="142">
        <f>31.7*1.9563</f>
        <v>62.014709999999994</v>
      </c>
      <c r="J765" s="130">
        <f t="shared" si="169"/>
        <v>4030.96</v>
      </c>
      <c r="K765" s="130">
        <f t="shared" si="170"/>
        <v>4837.152</v>
      </c>
      <c r="L765" s="129">
        <v>4837.152</v>
      </c>
      <c r="M765" s="152">
        <v>45484</v>
      </c>
      <c r="N765" s="130">
        <f>+Table6[[#This Row],[стойност с ДДС]]-Table6[[#This Row],[плащане]]</f>
        <v>0</v>
      </c>
      <c r="O765" s="208">
        <v>45454</v>
      </c>
    </row>
    <row r="766" spans="1:15" x14ac:dyDescent="0.3">
      <c r="A766" s="116" t="s">
        <v>1206</v>
      </c>
      <c r="B766" s="394">
        <v>3100000509</v>
      </c>
      <c r="C766" s="117">
        <v>45454</v>
      </c>
      <c r="D766" s="116"/>
      <c r="E766" s="116" t="s">
        <v>36</v>
      </c>
      <c r="F766" s="118"/>
      <c r="G766" s="116"/>
      <c r="H766" s="141">
        <v>17</v>
      </c>
      <c r="I766" s="142">
        <v>62</v>
      </c>
      <c r="J766" s="130">
        <f t="shared" si="169"/>
        <v>1054</v>
      </c>
      <c r="K766" s="130">
        <f t="shared" si="170"/>
        <v>1264.8</v>
      </c>
      <c r="L766" s="129">
        <v>1264.8</v>
      </c>
      <c r="M766" s="152">
        <v>45484</v>
      </c>
      <c r="N766" s="130">
        <f>+Table6[[#This Row],[стойност с ДДС]]-Table6[[#This Row],[плащане]]</f>
        <v>0</v>
      </c>
      <c r="O766" s="208">
        <v>45454</v>
      </c>
    </row>
    <row r="767" spans="1:15" x14ac:dyDescent="0.3">
      <c r="A767" s="116" t="s">
        <v>105</v>
      </c>
      <c r="B767" s="394">
        <v>3100000510</v>
      </c>
      <c r="C767" s="117">
        <v>45454</v>
      </c>
      <c r="D767" s="116"/>
      <c r="E767" s="116" t="s">
        <v>36</v>
      </c>
      <c r="F767" s="118"/>
      <c r="G767" s="116"/>
      <c r="H767" s="141">
        <v>33</v>
      </c>
      <c r="I767" s="142">
        <v>62</v>
      </c>
      <c r="J767" s="130">
        <f t="shared" si="169"/>
        <v>2046</v>
      </c>
      <c r="K767" s="130">
        <f t="shared" si="170"/>
        <v>2455.1999999999998</v>
      </c>
      <c r="L767" s="129">
        <v>2455.1999999999998</v>
      </c>
      <c r="M767" s="152">
        <v>45484</v>
      </c>
      <c r="N767" s="130">
        <f>+Table6[[#This Row],[стойност с ДДС]]-Table6[[#This Row],[плащане]]</f>
        <v>0</v>
      </c>
      <c r="O767" s="208">
        <v>45454</v>
      </c>
    </row>
    <row r="768" spans="1:15" x14ac:dyDescent="0.3">
      <c r="A768" s="116" t="s">
        <v>82</v>
      </c>
      <c r="B768" s="394">
        <v>3000002862</v>
      </c>
      <c r="C768" s="117">
        <v>45463</v>
      </c>
      <c r="D768" s="116"/>
      <c r="E768" s="111" t="s">
        <v>33</v>
      </c>
      <c r="F768" s="118"/>
      <c r="G768" s="116"/>
      <c r="H768" s="141">
        <v>1</v>
      </c>
      <c r="I768" s="142">
        <v>2566.66</v>
      </c>
      <c r="J768" s="130">
        <f t="shared" si="169"/>
        <v>2566.66</v>
      </c>
      <c r="K768" s="130">
        <f t="shared" si="170"/>
        <v>3079.9919999999997</v>
      </c>
      <c r="L768" s="129">
        <v>3079.9919999999997</v>
      </c>
      <c r="M768" s="152">
        <v>45485</v>
      </c>
      <c r="N768" s="130">
        <f>+Table6[[#This Row],[стойност с ДДС]]-Table6[[#This Row],[плащане]]</f>
        <v>0</v>
      </c>
      <c r="O768" s="208">
        <v>45468</v>
      </c>
    </row>
    <row r="769" spans="1:15" x14ac:dyDescent="0.3">
      <c r="A769" s="116" t="s">
        <v>92</v>
      </c>
      <c r="B769" s="394">
        <v>3000002863</v>
      </c>
      <c r="C769" s="117">
        <v>45463</v>
      </c>
      <c r="D769" s="116"/>
      <c r="E769" s="111" t="s">
        <v>33</v>
      </c>
      <c r="F769" s="118"/>
      <c r="G769" s="116"/>
      <c r="H769" s="141">
        <v>1</v>
      </c>
      <c r="I769" s="142">
        <v>798.72</v>
      </c>
      <c r="J769" s="130">
        <f t="shared" si="169"/>
        <v>798.72</v>
      </c>
      <c r="K769" s="130">
        <f t="shared" si="170"/>
        <v>958.46399999999994</v>
      </c>
      <c r="L769" s="129">
        <v>958.46399999999994</v>
      </c>
      <c r="M769" s="152">
        <v>45485</v>
      </c>
      <c r="N769" s="130">
        <f>+Table6[[#This Row],[стойност с ДДС]]-Table6[[#This Row],[плащане]]</f>
        <v>0</v>
      </c>
      <c r="O769" s="208">
        <v>45468</v>
      </c>
    </row>
    <row r="770" spans="1:15" x14ac:dyDescent="0.3">
      <c r="A770" s="116" t="s">
        <v>72</v>
      </c>
      <c r="B770" s="394">
        <v>3000002861</v>
      </c>
      <c r="C770" s="117">
        <v>45463</v>
      </c>
      <c r="D770" s="116"/>
      <c r="E770" s="111" t="s">
        <v>33</v>
      </c>
      <c r="F770" s="118"/>
      <c r="G770" s="116"/>
      <c r="H770" s="141">
        <v>1</v>
      </c>
      <c r="I770" s="142">
        <v>12595.2</v>
      </c>
      <c r="J770" s="130">
        <f t="shared" si="169"/>
        <v>12595.2</v>
      </c>
      <c r="K770" s="130">
        <f t="shared" si="170"/>
        <v>15114.24</v>
      </c>
      <c r="L770" s="129">
        <v>15114.24</v>
      </c>
      <c r="M770" s="152">
        <v>45485</v>
      </c>
      <c r="N770" s="130">
        <f>+Table6[[#This Row],[стойност с ДДС]]-Table6[[#This Row],[плащане]]</f>
        <v>0</v>
      </c>
      <c r="O770" s="208">
        <v>45468</v>
      </c>
    </row>
    <row r="771" spans="1:15" x14ac:dyDescent="0.3">
      <c r="A771" s="116" t="s">
        <v>49</v>
      </c>
      <c r="B771" s="394">
        <v>3000002860</v>
      </c>
      <c r="C771" s="117">
        <v>45463</v>
      </c>
      <c r="D771" s="116"/>
      <c r="E771" s="111" t="s">
        <v>33</v>
      </c>
      <c r="F771" s="118"/>
      <c r="G771" s="116"/>
      <c r="H771" s="141">
        <v>1</v>
      </c>
      <c r="I771" s="142">
        <v>1628.16</v>
      </c>
      <c r="J771" s="130">
        <f t="shared" si="169"/>
        <v>1628.16</v>
      </c>
      <c r="K771" s="130">
        <f t="shared" si="170"/>
        <v>1953.7919999999999</v>
      </c>
      <c r="L771" s="129">
        <v>1953.7919999999999</v>
      </c>
      <c r="M771" s="152">
        <v>45485</v>
      </c>
      <c r="N771" s="130">
        <f>+Table6[[#This Row],[стойност с ДДС]]-Table6[[#This Row],[плащане]]</f>
        <v>0</v>
      </c>
      <c r="O771" s="208">
        <v>45468</v>
      </c>
    </row>
    <row r="772" spans="1:15" s="307" customFormat="1" x14ac:dyDescent="0.3">
      <c r="A772" s="299" t="s">
        <v>69</v>
      </c>
      <c r="B772" s="401">
        <v>3000002859</v>
      </c>
      <c r="C772" s="300">
        <v>45463</v>
      </c>
      <c r="D772" s="299"/>
      <c r="E772" s="111" t="s">
        <v>33</v>
      </c>
      <c r="F772" s="301"/>
      <c r="G772" s="299"/>
      <c r="H772" s="302">
        <v>1</v>
      </c>
      <c r="I772" s="303">
        <v>8908.7999999999993</v>
      </c>
      <c r="J772" s="304">
        <f t="shared" si="169"/>
        <v>8908.7999999999993</v>
      </c>
      <c r="K772" s="304">
        <f t="shared" si="170"/>
        <v>10690.56</v>
      </c>
      <c r="L772" s="305">
        <v>10690.56</v>
      </c>
      <c r="M772" s="306">
        <v>45485</v>
      </c>
      <c r="N772" s="304">
        <f>+Table6[[#This Row],[стойност с ДДС]]-Table6[[#This Row],[плащане]]</f>
        <v>0</v>
      </c>
      <c r="O772" s="208">
        <v>45468</v>
      </c>
    </row>
    <row r="773" spans="1:15" ht="37.5" x14ac:dyDescent="0.3">
      <c r="A773" s="97" t="s">
        <v>50</v>
      </c>
      <c r="B773" s="393">
        <v>3000002853</v>
      </c>
      <c r="C773" s="117">
        <v>45463</v>
      </c>
      <c r="D773" s="116"/>
      <c r="E773" s="111" t="s">
        <v>53</v>
      </c>
      <c r="F773" s="101"/>
      <c r="G773" s="97"/>
      <c r="H773" s="113">
        <v>2157.5309999999999</v>
      </c>
      <c r="I773" s="114">
        <v>59.55</v>
      </c>
      <c r="J773" s="115">
        <f t="shared" ref="J773:J777" si="171">ROUND(+H773*I773,2)</f>
        <v>128480.97</v>
      </c>
      <c r="K773" s="115">
        <f t="shared" ref="K773:K777" si="172">J773*1.2</f>
        <v>154177.16399999999</v>
      </c>
      <c r="L773" s="104"/>
      <c r="M773" s="107"/>
      <c r="N773" s="115">
        <f>+Table6[[#This Row],[стойност с ДДС]]-Table6[[#This Row],[плащане]]</f>
        <v>154177.16399999999</v>
      </c>
      <c r="O773" s="208">
        <v>45468</v>
      </c>
    </row>
    <row r="774" spans="1:15" ht="37.5" x14ac:dyDescent="0.3">
      <c r="A774" s="97" t="s">
        <v>83</v>
      </c>
      <c r="B774" s="393">
        <v>3000002857</v>
      </c>
      <c r="C774" s="117">
        <v>45463</v>
      </c>
      <c r="D774" s="116"/>
      <c r="E774" s="111" t="s">
        <v>53</v>
      </c>
      <c r="F774" s="101"/>
      <c r="G774" s="97"/>
      <c r="H774" s="113">
        <v>90.703999999999994</v>
      </c>
      <c r="I774" s="114">
        <v>59.55</v>
      </c>
      <c r="J774" s="115">
        <f t="shared" si="171"/>
        <v>5401.42</v>
      </c>
      <c r="K774" s="115">
        <f t="shared" si="172"/>
        <v>6481.7039999999997</v>
      </c>
      <c r="L774" s="104"/>
      <c r="M774" s="107"/>
      <c r="N774" s="115">
        <f>+Table6[[#This Row],[стойност с ДДС]]-Table6[[#This Row],[плащане]]</f>
        <v>6481.7039999999997</v>
      </c>
      <c r="O774" s="208">
        <v>45468</v>
      </c>
    </row>
    <row r="775" spans="1:15" ht="37.5" x14ac:dyDescent="0.3">
      <c r="A775" s="97" t="s">
        <v>77</v>
      </c>
      <c r="B775" s="393">
        <v>3000002858</v>
      </c>
      <c r="C775" s="117">
        <v>45463</v>
      </c>
      <c r="D775" s="116"/>
      <c r="E775" s="111" t="s">
        <v>53</v>
      </c>
      <c r="F775" s="101"/>
      <c r="G775" s="97"/>
      <c r="H775" s="113">
        <v>2586.5419999999999</v>
      </c>
      <c r="I775" s="114">
        <v>59.55</v>
      </c>
      <c r="J775" s="115">
        <f t="shared" si="171"/>
        <v>154028.57999999999</v>
      </c>
      <c r="K775" s="115">
        <f t="shared" si="172"/>
        <v>184834.29599999997</v>
      </c>
      <c r="L775" s="104"/>
      <c r="M775" s="107"/>
      <c r="N775" s="115">
        <f>+Table6[[#This Row],[стойност с ДДС]]-Table6[[#This Row],[плащане]]</f>
        <v>184834.29599999997</v>
      </c>
      <c r="O775" s="208">
        <v>45468</v>
      </c>
    </row>
    <row r="776" spans="1:15" ht="37.5" x14ac:dyDescent="0.3">
      <c r="A776" s="97" t="s">
        <v>67</v>
      </c>
      <c r="B776" s="393">
        <v>3000002856</v>
      </c>
      <c r="C776" s="117">
        <v>45463</v>
      </c>
      <c r="D776" s="116"/>
      <c r="E776" s="111" t="s">
        <v>53</v>
      </c>
      <c r="F776" s="101"/>
      <c r="G776" s="97"/>
      <c r="H776" s="113">
        <v>4350.5910000000003</v>
      </c>
      <c r="I776" s="114">
        <v>59.55</v>
      </c>
      <c r="J776" s="115">
        <f t="shared" si="171"/>
        <v>259077.69</v>
      </c>
      <c r="K776" s="115">
        <f t="shared" si="172"/>
        <v>310893.228</v>
      </c>
      <c r="L776" s="104"/>
      <c r="M776" s="107"/>
      <c r="N776" s="115">
        <f>+Table6[[#This Row],[стойност с ДДС]]-Table6[[#This Row],[плащане]]</f>
        <v>310893.228</v>
      </c>
      <c r="O776" s="208">
        <v>45468</v>
      </c>
    </row>
    <row r="777" spans="1:15" ht="37.5" x14ac:dyDescent="0.3">
      <c r="A777" s="97" t="s">
        <v>64</v>
      </c>
      <c r="B777" s="393">
        <v>3000002854</v>
      </c>
      <c r="C777" s="117">
        <v>45463</v>
      </c>
      <c r="D777" s="116"/>
      <c r="E777" s="111" t="s">
        <v>53</v>
      </c>
      <c r="F777" s="101"/>
      <c r="G777" s="97"/>
      <c r="H777" s="113">
        <v>51.46</v>
      </c>
      <c r="I777" s="114">
        <v>59.55</v>
      </c>
      <c r="J777" s="115">
        <f t="shared" si="171"/>
        <v>3064.44</v>
      </c>
      <c r="K777" s="115">
        <f t="shared" si="172"/>
        <v>3677.328</v>
      </c>
      <c r="L777" s="104"/>
      <c r="M777" s="107"/>
      <c r="N777" s="115">
        <f>+Table6[[#This Row],[стойност с ДДС]]-Table6[[#This Row],[плащане]]</f>
        <v>3677.328</v>
      </c>
      <c r="O777" s="208">
        <v>45468</v>
      </c>
    </row>
    <row r="778" spans="1:15" ht="37.5" x14ac:dyDescent="0.3">
      <c r="A778" s="116" t="s">
        <v>64</v>
      </c>
      <c r="B778" s="394">
        <v>3000002854</v>
      </c>
      <c r="C778" s="117">
        <v>45463</v>
      </c>
      <c r="D778" s="116"/>
      <c r="E778" s="111" t="s">
        <v>53</v>
      </c>
      <c r="F778" s="118"/>
      <c r="G778" s="116"/>
      <c r="H778" s="141">
        <v>61.618000000000002</v>
      </c>
      <c r="I778" s="142">
        <v>59.55</v>
      </c>
      <c r="J778" s="130">
        <f t="shared" ref="J778:J783" si="173">ROUND(+H778*I778,2)</f>
        <v>3669.35</v>
      </c>
      <c r="K778" s="130">
        <f>J778*1.2</f>
        <v>4403.2199999999993</v>
      </c>
      <c r="L778" s="129"/>
      <c r="M778" s="152"/>
      <c r="N778" s="130">
        <f>+Table6[[#This Row],[стойност с ДДС]]-Table6[[#This Row],[плащане]]</f>
        <v>4403.2199999999993</v>
      </c>
      <c r="O778" s="208">
        <v>45468</v>
      </c>
    </row>
    <row r="779" spans="1:15" ht="37.5" x14ac:dyDescent="0.3">
      <c r="A779" s="116" t="s">
        <v>62</v>
      </c>
      <c r="B779" s="394">
        <v>3000002855</v>
      </c>
      <c r="C779" s="117">
        <v>45463</v>
      </c>
      <c r="D779" s="116"/>
      <c r="E779" s="111" t="s">
        <v>53</v>
      </c>
      <c r="F779" s="118"/>
      <c r="G779" s="116"/>
      <c r="H779" s="141">
        <v>4115.8599999999997</v>
      </c>
      <c r="I779" s="142">
        <v>59.55</v>
      </c>
      <c r="J779" s="130">
        <f t="shared" si="173"/>
        <v>245099.46</v>
      </c>
      <c r="K779" s="130">
        <f>J779*1.2</f>
        <v>294119.35199999996</v>
      </c>
      <c r="L779" s="129"/>
      <c r="M779" s="152"/>
      <c r="N779" s="130">
        <f>+Table6[[#This Row],[стойност с ДДС]]-Table6[[#This Row],[плащане]]</f>
        <v>294119.35199999996</v>
      </c>
      <c r="O779" s="208">
        <v>45468</v>
      </c>
    </row>
    <row r="780" spans="1:15" x14ac:dyDescent="0.3">
      <c r="A780" s="116" t="s">
        <v>99</v>
      </c>
      <c r="B780" s="394">
        <v>3000002864</v>
      </c>
      <c r="C780" s="117">
        <v>45473</v>
      </c>
      <c r="D780" s="116"/>
      <c r="E780" s="116" t="s">
        <v>119</v>
      </c>
      <c r="F780" s="118"/>
      <c r="G780" s="116"/>
      <c r="H780" s="141">
        <v>479.61599999999999</v>
      </c>
      <c r="I780" s="142">
        <v>50.266359999999999</v>
      </c>
      <c r="J780" s="130">
        <f t="shared" si="173"/>
        <v>24108.55</v>
      </c>
      <c r="K780" s="130">
        <f>J780*1.2</f>
        <v>28930.26</v>
      </c>
      <c r="L780" s="129">
        <v>28930.26</v>
      </c>
      <c r="M780" s="152">
        <v>46577</v>
      </c>
      <c r="N780" s="130">
        <f>+Table6[[#This Row],[стойност с ДДС]]-Table6[[#This Row],[плащане]]</f>
        <v>0</v>
      </c>
      <c r="O780" s="208">
        <v>45478</v>
      </c>
    </row>
    <row r="781" spans="1:15" x14ac:dyDescent="0.3">
      <c r="A781" s="116" t="s">
        <v>117</v>
      </c>
      <c r="B781" s="394">
        <v>3000002865</v>
      </c>
      <c r="C781" s="117">
        <v>45473</v>
      </c>
      <c r="D781" s="116"/>
      <c r="E781" s="116" t="s">
        <v>36</v>
      </c>
      <c r="F781" s="118"/>
      <c r="G781" s="116"/>
      <c r="H781" s="141">
        <v>35</v>
      </c>
      <c r="I781" s="142">
        <v>150</v>
      </c>
      <c r="J781" s="130">
        <f t="shared" si="173"/>
        <v>5250</v>
      </c>
      <c r="K781" s="130">
        <v>5250</v>
      </c>
      <c r="L781" s="129">
        <v>5250</v>
      </c>
      <c r="M781" s="152">
        <v>46577</v>
      </c>
      <c r="N781" s="130">
        <f>+Table6[[#This Row],[стойност с ДДС]]-Table6[[#This Row],[плащане]]</f>
        <v>0</v>
      </c>
      <c r="O781" s="208">
        <v>45478</v>
      </c>
    </row>
    <row r="782" spans="1:15" ht="37.5" x14ac:dyDescent="0.3">
      <c r="A782" s="116" t="s">
        <v>50</v>
      </c>
      <c r="B782" s="394">
        <v>3000002866</v>
      </c>
      <c r="C782" s="117">
        <v>45473</v>
      </c>
      <c r="D782" s="116"/>
      <c r="E782" s="111" t="s">
        <v>53</v>
      </c>
      <c r="F782" s="118"/>
      <c r="G782" s="116"/>
      <c r="H782" s="141">
        <v>1</v>
      </c>
      <c r="I782" s="142">
        <v>23809.95</v>
      </c>
      <c r="J782" s="130">
        <f t="shared" si="173"/>
        <v>23809.95</v>
      </c>
      <c r="K782" s="130">
        <f>J782*1.2</f>
        <v>28571.94</v>
      </c>
      <c r="L782" s="129"/>
      <c r="M782" s="152"/>
      <c r="N782" s="130">
        <f>+Table6[[#This Row],[стойност с ДДС]]-Table6[[#This Row],[плащане]]</f>
        <v>28571.94</v>
      </c>
      <c r="O782" s="208">
        <v>45478</v>
      </c>
    </row>
    <row r="783" spans="1:15" ht="37.5" x14ac:dyDescent="0.3">
      <c r="A783" s="116" t="s">
        <v>50</v>
      </c>
      <c r="B783" s="394">
        <v>3000002866</v>
      </c>
      <c r="C783" s="117">
        <v>45473</v>
      </c>
      <c r="D783" s="116"/>
      <c r="E783" s="145" t="s">
        <v>53</v>
      </c>
      <c r="F783" s="118"/>
      <c r="G783" s="116"/>
      <c r="H783" s="141">
        <v>1847.1320000000001</v>
      </c>
      <c r="I783" s="142">
        <v>59.55</v>
      </c>
      <c r="J783" s="130">
        <f t="shared" si="173"/>
        <v>109996.71</v>
      </c>
      <c r="K783" s="130">
        <f>J783*1.2</f>
        <v>131996.052</v>
      </c>
      <c r="L783" s="129"/>
      <c r="M783" s="152"/>
      <c r="N783" s="130">
        <f>+Table6[[#This Row],[стойност с ДДС]]-Table6[[#This Row],[плащане]]</f>
        <v>131996.052</v>
      </c>
      <c r="O783" s="208">
        <v>45478</v>
      </c>
    </row>
    <row r="784" spans="1:15" x14ac:dyDescent="0.3">
      <c r="A784" s="97" t="s">
        <v>50</v>
      </c>
      <c r="B784" s="393">
        <v>3000002866</v>
      </c>
      <c r="C784" s="110">
        <v>45473</v>
      </c>
      <c r="D784" s="97"/>
      <c r="E784" s="139" t="s">
        <v>120</v>
      </c>
      <c r="F784" s="101"/>
      <c r="G784" s="97"/>
      <c r="H784" s="113">
        <v>32</v>
      </c>
      <c r="I784" s="114">
        <v>3.2387999999999999</v>
      </c>
      <c r="J784" s="115">
        <f t="shared" ref="J784:J788" si="174">ROUND(+H784*I784,2)</f>
        <v>103.64</v>
      </c>
      <c r="K784" s="115">
        <f t="shared" ref="K784:K788" si="175">J784*1.2</f>
        <v>124.36799999999999</v>
      </c>
      <c r="L784" s="104"/>
      <c r="M784" s="107"/>
      <c r="N784" s="115">
        <f>+Table6[[#This Row],[стойност с ДДС]]-Table6[[#This Row],[плащане]]</f>
        <v>124.36799999999999</v>
      </c>
      <c r="O784" s="208">
        <v>45478</v>
      </c>
    </row>
    <row r="785" spans="1:15" x14ac:dyDescent="0.3">
      <c r="A785" s="97" t="s">
        <v>50</v>
      </c>
      <c r="B785" s="393">
        <v>3000002866</v>
      </c>
      <c r="C785" s="110">
        <v>45473</v>
      </c>
      <c r="D785" s="97"/>
      <c r="E785" s="139" t="s">
        <v>57</v>
      </c>
      <c r="F785" s="101"/>
      <c r="G785" s="97"/>
      <c r="H785" s="113">
        <v>122</v>
      </c>
      <c r="I785" s="114">
        <v>2.5910000000000002</v>
      </c>
      <c r="J785" s="115">
        <f t="shared" si="174"/>
        <v>316.10000000000002</v>
      </c>
      <c r="K785" s="115">
        <f t="shared" si="175"/>
        <v>379.32</v>
      </c>
      <c r="L785" s="104"/>
      <c r="M785" s="107"/>
      <c r="N785" s="115">
        <f>+Table6[[#This Row],[стойност с ДДС]]-Table6[[#This Row],[плащане]]</f>
        <v>379.32</v>
      </c>
      <c r="O785" s="208">
        <v>45478</v>
      </c>
    </row>
    <row r="786" spans="1:15" x14ac:dyDescent="0.3">
      <c r="A786" s="97" t="s">
        <v>50</v>
      </c>
      <c r="B786" s="393">
        <v>3000002866</v>
      </c>
      <c r="C786" s="110">
        <v>45473</v>
      </c>
      <c r="D786" s="97"/>
      <c r="E786" s="139" t="s">
        <v>56</v>
      </c>
      <c r="F786" s="101"/>
      <c r="G786" s="97"/>
      <c r="H786" s="113">
        <v>30.116</v>
      </c>
      <c r="I786" s="114">
        <v>8.3582999999999998</v>
      </c>
      <c r="J786" s="115">
        <f t="shared" si="174"/>
        <v>251.72</v>
      </c>
      <c r="K786" s="115">
        <f t="shared" si="175"/>
        <v>302.06399999999996</v>
      </c>
      <c r="L786" s="104"/>
      <c r="M786" s="107"/>
      <c r="N786" s="115">
        <f>+Table6[[#This Row],[стойност с ДДС]]-Table6[[#This Row],[плащане]]</f>
        <v>302.06399999999996</v>
      </c>
      <c r="O786" s="208">
        <v>45478</v>
      </c>
    </row>
    <row r="787" spans="1:15" x14ac:dyDescent="0.3">
      <c r="A787" s="97" t="s">
        <v>50</v>
      </c>
      <c r="B787" s="393">
        <v>3000002866</v>
      </c>
      <c r="C787" s="110">
        <v>45473</v>
      </c>
      <c r="D787" s="97"/>
      <c r="E787" s="139" t="s">
        <v>58</v>
      </c>
      <c r="F787" s="101"/>
      <c r="G787" s="97"/>
      <c r="H787" s="113">
        <v>1004.663</v>
      </c>
      <c r="I787" s="114">
        <v>1.0194000000000001</v>
      </c>
      <c r="J787" s="115">
        <f t="shared" si="174"/>
        <v>1024.1500000000001</v>
      </c>
      <c r="K787" s="115">
        <f t="shared" si="175"/>
        <v>1228.98</v>
      </c>
      <c r="L787" s="104"/>
      <c r="M787" s="107"/>
      <c r="N787" s="115">
        <f>+Table6[[#This Row],[стойност с ДДС]]-Table6[[#This Row],[плащане]]</f>
        <v>1228.98</v>
      </c>
      <c r="O787" s="208">
        <v>45478</v>
      </c>
    </row>
    <row r="788" spans="1:15" x14ac:dyDescent="0.3">
      <c r="A788" s="97" t="s">
        <v>50</v>
      </c>
      <c r="B788" s="393">
        <v>3000002866</v>
      </c>
      <c r="C788" s="110">
        <v>45473</v>
      </c>
      <c r="D788" s="97"/>
      <c r="E788" s="139" t="s">
        <v>59</v>
      </c>
      <c r="F788" s="101"/>
      <c r="G788" s="97"/>
      <c r="H788" s="113">
        <v>14416.787</v>
      </c>
      <c r="I788" s="114">
        <v>0</v>
      </c>
      <c r="J788" s="115">
        <f t="shared" si="174"/>
        <v>0</v>
      </c>
      <c r="K788" s="115">
        <f t="shared" si="175"/>
        <v>0</v>
      </c>
      <c r="L788" s="104"/>
      <c r="M788" s="107"/>
      <c r="N788" s="115">
        <f>+Table6[[#This Row],[стойност с ДДС]]-Table6[[#This Row],[плащане]]</f>
        <v>0</v>
      </c>
      <c r="O788" s="208">
        <v>45478</v>
      </c>
    </row>
    <row r="789" spans="1:15" x14ac:dyDescent="0.3">
      <c r="A789" s="116" t="s">
        <v>64</v>
      </c>
      <c r="B789" s="394">
        <v>3000002867</v>
      </c>
      <c r="C789" s="110">
        <v>45473</v>
      </c>
      <c r="D789" s="116"/>
      <c r="E789" s="116" t="s">
        <v>53</v>
      </c>
      <c r="F789" s="118"/>
      <c r="G789" s="116"/>
      <c r="H789" s="141">
        <v>1</v>
      </c>
      <c r="I789" s="142">
        <v>15873.3</v>
      </c>
      <c r="J789" s="130">
        <f>ROUND(+H789*I789,2)</f>
        <v>15873.3</v>
      </c>
      <c r="K789" s="130">
        <f>J789*1.2</f>
        <v>19047.96</v>
      </c>
      <c r="L789" s="129"/>
      <c r="M789" s="152"/>
      <c r="N789" s="130">
        <f>+Table6[[#This Row],[стойност с ДДС]]-Table6[[#This Row],[плащане]]</f>
        <v>19047.96</v>
      </c>
      <c r="O789" s="208">
        <v>45478</v>
      </c>
    </row>
    <row r="790" spans="1:15" x14ac:dyDescent="0.3">
      <c r="A790" s="97" t="s">
        <v>64</v>
      </c>
      <c r="B790" s="393">
        <v>3000002867</v>
      </c>
      <c r="C790" s="110">
        <v>45473</v>
      </c>
      <c r="D790" s="97"/>
      <c r="E790" s="97" t="s">
        <v>57</v>
      </c>
      <c r="F790" s="101"/>
      <c r="G790" s="97"/>
      <c r="H790" s="113">
        <v>10</v>
      </c>
      <c r="I790" s="114">
        <v>2.5910000000000002</v>
      </c>
      <c r="J790" s="115">
        <f t="shared" ref="J790:J794" si="176">ROUND(+H790*I790,2)</f>
        <v>25.91</v>
      </c>
      <c r="K790" s="115">
        <f t="shared" ref="K790:K794" si="177">J790*1.2</f>
        <v>31.091999999999999</v>
      </c>
      <c r="L790" s="104"/>
      <c r="M790" s="107"/>
      <c r="N790" s="115">
        <f>+Table6[[#This Row],[стойност с ДДС]]-Table6[[#This Row],[плащане]]</f>
        <v>31.091999999999999</v>
      </c>
      <c r="O790" s="208">
        <v>45478</v>
      </c>
    </row>
    <row r="791" spans="1:15" x14ac:dyDescent="0.3">
      <c r="A791" s="97" t="s">
        <v>64</v>
      </c>
      <c r="B791" s="393">
        <v>3000002867</v>
      </c>
      <c r="C791" s="110">
        <v>45473</v>
      </c>
      <c r="D791" s="97"/>
      <c r="E791" s="97" t="s">
        <v>56</v>
      </c>
      <c r="F791" s="101"/>
      <c r="G791" s="97"/>
      <c r="H791" s="113">
        <v>0.80900000000000005</v>
      </c>
      <c r="I791" s="114">
        <v>8.3582999999999998</v>
      </c>
      <c r="J791" s="115">
        <f t="shared" si="176"/>
        <v>6.76</v>
      </c>
      <c r="K791" s="115">
        <f t="shared" si="177"/>
        <v>8.1120000000000001</v>
      </c>
      <c r="L791" s="104"/>
      <c r="M791" s="107"/>
      <c r="N791" s="115">
        <f>+Table6[[#This Row],[стойност с ДДС]]-Table6[[#This Row],[плащане]]</f>
        <v>8.1120000000000001</v>
      </c>
      <c r="O791" s="208">
        <v>45478</v>
      </c>
    </row>
    <row r="792" spans="1:15" x14ac:dyDescent="0.3">
      <c r="A792" s="97" t="s">
        <v>64</v>
      </c>
      <c r="B792" s="393">
        <v>3000002867</v>
      </c>
      <c r="C792" s="110">
        <v>45473</v>
      </c>
      <c r="D792" s="97"/>
      <c r="E792" s="97" t="s">
        <v>58</v>
      </c>
      <c r="F792" s="101"/>
      <c r="G792" s="97"/>
      <c r="H792" s="113">
        <v>113.078</v>
      </c>
      <c r="I792" s="114">
        <v>1.0194000000000001</v>
      </c>
      <c r="J792" s="115">
        <f t="shared" si="176"/>
        <v>115.27</v>
      </c>
      <c r="K792" s="115">
        <f t="shared" si="177"/>
        <v>138.32399999999998</v>
      </c>
      <c r="L792" s="104"/>
      <c r="M792" s="107"/>
      <c r="N792" s="115">
        <f>+Table6[[#This Row],[стойност с ДДС]]-Table6[[#This Row],[плащане]]</f>
        <v>138.32399999999998</v>
      </c>
      <c r="O792" s="208">
        <v>45478</v>
      </c>
    </row>
    <row r="793" spans="1:15" x14ac:dyDescent="0.3">
      <c r="A793" s="97" t="s">
        <v>64</v>
      </c>
      <c r="B793" s="393">
        <v>3000002867</v>
      </c>
      <c r="C793" s="110">
        <v>45473</v>
      </c>
      <c r="D793" s="97"/>
      <c r="E793" s="97" t="s">
        <v>59</v>
      </c>
      <c r="F793" s="101"/>
      <c r="G793" s="97"/>
      <c r="H793" s="113">
        <v>3.9239999999999999</v>
      </c>
      <c r="I793" s="114">
        <v>0.6</v>
      </c>
      <c r="J793" s="115">
        <f t="shared" si="176"/>
        <v>2.35</v>
      </c>
      <c r="K793" s="115">
        <f t="shared" si="177"/>
        <v>2.82</v>
      </c>
      <c r="L793" s="104"/>
      <c r="M793" s="107"/>
      <c r="N793" s="115">
        <f>+Table6[[#This Row],[стойност с ДДС]]-Table6[[#This Row],[плащане]]</f>
        <v>2.82</v>
      </c>
      <c r="O793" s="208">
        <v>45478</v>
      </c>
    </row>
    <row r="794" spans="1:15" x14ac:dyDescent="0.3">
      <c r="A794" s="116" t="s">
        <v>64</v>
      </c>
      <c r="B794" s="394">
        <v>3000002867</v>
      </c>
      <c r="C794" s="117">
        <v>45473</v>
      </c>
      <c r="D794" s="116"/>
      <c r="E794" s="139" t="s">
        <v>59</v>
      </c>
      <c r="F794" s="118"/>
      <c r="G794" s="116"/>
      <c r="H794" s="141">
        <v>403.15699999999998</v>
      </c>
      <c r="I794" s="142">
        <v>0</v>
      </c>
      <c r="J794" s="130">
        <f t="shared" si="176"/>
        <v>0</v>
      </c>
      <c r="K794" s="130">
        <f t="shared" si="177"/>
        <v>0</v>
      </c>
      <c r="L794" s="129"/>
      <c r="M794" s="152"/>
      <c r="N794" s="130">
        <f>+Table6[[#This Row],[стойност с ДДС]]-Table6[[#This Row],[плащане]]</f>
        <v>0</v>
      </c>
      <c r="O794" s="208">
        <v>45478</v>
      </c>
    </row>
    <row r="795" spans="1:15" x14ac:dyDescent="0.3">
      <c r="A795" s="116" t="s">
        <v>62</v>
      </c>
      <c r="B795" s="394">
        <v>3000002868</v>
      </c>
      <c r="C795" s="117">
        <v>45473</v>
      </c>
      <c r="D795" s="116"/>
      <c r="E795" s="116" t="s">
        <v>53</v>
      </c>
      <c r="F795" s="118"/>
      <c r="G795" s="116"/>
      <c r="H795" s="141">
        <v>1</v>
      </c>
      <c r="I795" s="142">
        <v>63493.2</v>
      </c>
      <c r="J795" s="130">
        <f>ROUND(+H795*I795,2)</f>
        <v>63493.2</v>
      </c>
      <c r="K795" s="130">
        <f>J795*1.2</f>
        <v>76191.839999999997</v>
      </c>
      <c r="L795" s="129"/>
      <c r="M795" s="152"/>
      <c r="N795" s="130">
        <f>+Table6[[#This Row],[стойност с ДДС]]-Table6[[#This Row],[плащане]]</f>
        <v>76191.839999999997</v>
      </c>
      <c r="O795" s="208">
        <v>45478</v>
      </c>
    </row>
    <row r="796" spans="1:15" x14ac:dyDescent="0.3">
      <c r="A796" s="97" t="s">
        <v>62</v>
      </c>
      <c r="B796" s="393">
        <v>3000002868</v>
      </c>
      <c r="C796" s="110">
        <v>45473</v>
      </c>
      <c r="D796" s="97"/>
      <c r="E796" s="97" t="s">
        <v>53</v>
      </c>
      <c r="F796" s="101"/>
      <c r="G796" s="97"/>
      <c r="H796" s="113">
        <v>3363.203</v>
      </c>
      <c r="I796" s="114">
        <v>59.55</v>
      </c>
      <c r="J796" s="115">
        <f t="shared" ref="J796:J800" si="178">ROUND(+H796*I796,2)</f>
        <v>200278.74</v>
      </c>
      <c r="K796" s="115">
        <f t="shared" ref="K796:K800" si="179">J796*1.2</f>
        <v>240334.48799999998</v>
      </c>
      <c r="L796" s="104"/>
      <c r="M796" s="107"/>
      <c r="N796" s="115">
        <f>+Table6[[#This Row],[стойност с ДДС]]-Table6[[#This Row],[плащане]]</f>
        <v>240334.48799999998</v>
      </c>
      <c r="O796" s="208">
        <v>45478</v>
      </c>
    </row>
    <row r="797" spans="1:15" x14ac:dyDescent="0.3">
      <c r="A797" s="97" t="s">
        <v>62</v>
      </c>
      <c r="B797" s="393">
        <v>3000002868</v>
      </c>
      <c r="C797" s="110">
        <v>45473</v>
      </c>
      <c r="D797" s="97"/>
      <c r="E797" s="97" t="s">
        <v>120</v>
      </c>
      <c r="F797" s="101"/>
      <c r="G797" s="97"/>
      <c r="H797" s="113">
        <v>384</v>
      </c>
      <c r="I797" s="114">
        <v>3.2387999999999999</v>
      </c>
      <c r="J797" s="115">
        <f t="shared" si="178"/>
        <v>1243.7</v>
      </c>
      <c r="K797" s="115">
        <f t="shared" si="179"/>
        <v>1492.44</v>
      </c>
      <c r="L797" s="104"/>
      <c r="M797" s="107"/>
      <c r="N797" s="115">
        <f>+Table6[[#This Row],[стойност с ДДС]]-Table6[[#This Row],[плащане]]</f>
        <v>1492.44</v>
      </c>
      <c r="O797" s="208">
        <v>45478</v>
      </c>
    </row>
    <row r="798" spans="1:15" x14ac:dyDescent="0.3">
      <c r="A798" s="97" t="s">
        <v>62</v>
      </c>
      <c r="B798" s="393">
        <v>3000002868</v>
      </c>
      <c r="C798" s="110">
        <v>45473</v>
      </c>
      <c r="D798" s="97"/>
      <c r="E798" s="97" t="s">
        <v>56</v>
      </c>
      <c r="F798" s="101"/>
      <c r="G798" s="97"/>
      <c r="H798" s="113">
        <v>135.13999999999999</v>
      </c>
      <c r="I798" s="114">
        <v>8.3582999999999998</v>
      </c>
      <c r="J798" s="115">
        <f t="shared" si="178"/>
        <v>1129.54</v>
      </c>
      <c r="K798" s="115">
        <f t="shared" si="179"/>
        <v>1355.4479999999999</v>
      </c>
      <c r="L798" s="104"/>
      <c r="M798" s="107"/>
      <c r="N798" s="115">
        <f>+Table6[[#This Row],[стойност с ДДС]]-Table6[[#This Row],[плащане]]</f>
        <v>1355.4479999999999</v>
      </c>
      <c r="O798" s="208">
        <v>45478</v>
      </c>
    </row>
    <row r="799" spans="1:15" x14ac:dyDescent="0.3">
      <c r="A799" s="97" t="s">
        <v>62</v>
      </c>
      <c r="B799" s="393">
        <v>3000002868</v>
      </c>
      <c r="C799" s="110">
        <v>45473</v>
      </c>
      <c r="D799" s="97"/>
      <c r="E799" s="97" t="s">
        <v>58</v>
      </c>
      <c r="F799" s="101"/>
      <c r="G799" s="97"/>
      <c r="H799" s="113">
        <v>7479.0630000000001</v>
      </c>
      <c r="I799" s="114">
        <v>1.0194000000000001</v>
      </c>
      <c r="J799" s="115">
        <f t="shared" si="178"/>
        <v>7624.16</v>
      </c>
      <c r="K799" s="115">
        <f t="shared" si="179"/>
        <v>9148.9920000000002</v>
      </c>
      <c r="L799" s="104"/>
      <c r="M799" s="107"/>
      <c r="N799" s="115">
        <f>+Table6[[#This Row],[стойност с ДДС]]-Table6[[#This Row],[плащане]]</f>
        <v>9148.9920000000002</v>
      </c>
      <c r="O799" s="208">
        <v>45478</v>
      </c>
    </row>
    <row r="800" spans="1:15" x14ac:dyDescent="0.3">
      <c r="A800" s="116" t="s">
        <v>62</v>
      </c>
      <c r="B800" s="394">
        <v>3000002868</v>
      </c>
      <c r="C800" s="117">
        <v>45473</v>
      </c>
      <c r="D800" s="116"/>
      <c r="E800" s="116" t="s">
        <v>59</v>
      </c>
      <c r="F800" s="118"/>
      <c r="G800" s="116"/>
      <c r="H800" s="141">
        <v>26924.627</v>
      </c>
      <c r="I800" s="142">
        <v>0</v>
      </c>
      <c r="J800" s="130">
        <f t="shared" si="178"/>
        <v>0</v>
      </c>
      <c r="K800" s="130">
        <f t="shared" si="179"/>
        <v>0</v>
      </c>
      <c r="L800" s="129"/>
      <c r="M800" s="152"/>
      <c r="N800" s="130">
        <f>+Table6[[#This Row],[стойност с ДДС]]-Table6[[#This Row],[плащане]]</f>
        <v>0</v>
      </c>
      <c r="O800" s="208">
        <v>45478</v>
      </c>
    </row>
    <row r="801" spans="1:15" x14ac:dyDescent="0.3">
      <c r="A801" s="116" t="s">
        <v>67</v>
      </c>
      <c r="B801" s="394">
        <v>3000002869</v>
      </c>
      <c r="C801" s="117">
        <v>45473</v>
      </c>
      <c r="D801" s="116"/>
      <c r="E801" s="116" t="s">
        <v>53</v>
      </c>
      <c r="F801" s="118"/>
      <c r="G801" s="116"/>
      <c r="H801" s="141">
        <v>3976.55</v>
      </c>
      <c r="I801" s="142">
        <v>59.55</v>
      </c>
      <c r="J801" s="130">
        <f>ROUND(+H801*I801,2)</f>
        <v>236803.55</v>
      </c>
      <c r="K801" s="130">
        <f>J801*1.2</f>
        <v>284164.25999999995</v>
      </c>
      <c r="L801" s="129"/>
      <c r="M801" s="152"/>
      <c r="N801" s="130">
        <f>+Table6[[#This Row],[стойност с ДДС]]-Table6[[#This Row],[плащане]]</f>
        <v>284164.25999999995</v>
      </c>
      <c r="O801" s="208">
        <v>45478</v>
      </c>
    </row>
    <row r="802" spans="1:15" x14ac:dyDescent="0.3">
      <c r="A802" s="97" t="s">
        <v>67</v>
      </c>
      <c r="B802" s="393">
        <v>3000002869</v>
      </c>
      <c r="C802" s="110">
        <v>45473</v>
      </c>
      <c r="D802" s="97"/>
      <c r="E802" s="97" t="s">
        <v>120</v>
      </c>
      <c r="F802" s="101"/>
      <c r="G802" s="97"/>
      <c r="H802" s="113">
        <v>207</v>
      </c>
      <c r="I802" s="114">
        <v>3.2387999999999999</v>
      </c>
      <c r="J802" s="115">
        <f t="shared" ref="J802:J806" si="180">ROUND(+H802*I802,2)</f>
        <v>670.43</v>
      </c>
      <c r="K802" s="115">
        <f t="shared" ref="K802:K806" si="181">J802*1.2</f>
        <v>804.51599999999996</v>
      </c>
      <c r="L802" s="104"/>
      <c r="M802" s="107"/>
      <c r="N802" s="115">
        <f>+Table6[[#This Row],[стойност с ДДС]]-Table6[[#This Row],[плащане]]</f>
        <v>804.51599999999996</v>
      </c>
      <c r="O802" s="208">
        <v>45478</v>
      </c>
    </row>
    <row r="803" spans="1:15" x14ac:dyDescent="0.3">
      <c r="A803" s="97" t="s">
        <v>67</v>
      </c>
      <c r="B803" s="393">
        <v>3000002869</v>
      </c>
      <c r="C803" s="110">
        <v>45473</v>
      </c>
      <c r="D803" s="97"/>
      <c r="E803" s="97" t="s">
        <v>57</v>
      </c>
      <c r="F803" s="101"/>
      <c r="G803" s="97"/>
      <c r="H803" s="113">
        <v>544</v>
      </c>
      <c r="I803" s="114">
        <v>2.5910000000000002</v>
      </c>
      <c r="J803" s="115">
        <f t="shared" si="180"/>
        <v>1409.5</v>
      </c>
      <c r="K803" s="115">
        <f t="shared" si="181"/>
        <v>1691.3999999999999</v>
      </c>
      <c r="L803" s="104"/>
      <c r="M803" s="107"/>
      <c r="N803" s="115">
        <f>+Table6[[#This Row],[стойност с ДДС]]-Table6[[#This Row],[плащане]]</f>
        <v>1691.3999999999999</v>
      </c>
      <c r="O803" s="208">
        <v>45478</v>
      </c>
    </row>
    <row r="804" spans="1:15" x14ac:dyDescent="0.3">
      <c r="A804" s="97" t="s">
        <v>67</v>
      </c>
      <c r="B804" s="393">
        <v>3000002869</v>
      </c>
      <c r="C804" s="110">
        <v>45473</v>
      </c>
      <c r="D804" s="97"/>
      <c r="E804" s="97" t="s">
        <v>56</v>
      </c>
      <c r="F804" s="101"/>
      <c r="G804" s="97"/>
      <c r="H804" s="113">
        <v>8.77</v>
      </c>
      <c r="I804" s="114">
        <v>8.3582999999999998</v>
      </c>
      <c r="J804" s="115">
        <f t="shared" si="180"/>
        <v>73.3</v>
      </c>
      <c r="K804" s="115">
        <f t="shared" si="181"/>
        <v>87.96</v>
      </c>
      <c r="L804" s="104"/>
      <c r="M804" s="107"/>
      <c r="N804" s="115">
        <f>+Table6[[#This Row],[стойност с ДДС]]-Table6[[#This Row],[плащане]]</f>
        <v>87.96</v>
      </c>
      <c r="O804" s="208">
        <v>45478</v>
      </c>
    </row>
    <row r="805" spans="1:15" x14ac:dyDescent="0.3">
      <c r="A805" s="97" t="s">
        <v>67</v>
      </c>
      <c r="B805" s="393">
        <v>3000002869</v>
      </c>
      <c r="C805" s="110">
        <v>45473</v>
      </c>
      <c r="D805" s="97"/>
      <c r="E805" s="97" t="s">
        <v>58</v>
      </c>
      <c r="F805" s="101"/>
      <c r="G805" s="97"/>
      <c r="H805" s="113">
        <v>8327.1409999999996</v>
      </c>
      <c r="I805" s="114">
        <v>1.0194000000000001</v>
      </c>
      <c r="J805" s="115">
        <f t="shared" si="180"/>
        <v>8488.69</v>
      </c>
      <c r="K805" s="115">
        <f t="shared" si="181"/>
        <v>10186.428</v>
      </c>
      <c r="L805" s="104"/>
      <c r="M805" s="107"/>
      <c r="N805" s="115">
        <f>+Table6[[#This Row],[стойност с ДДС]]-Table6[[#This Row],[плащане]]</f>
        <v>10186.428</v>
      </c>
      <c r="O805" s="208">
        <v>45478</v>
      </c>
    </row>
    <row r="806" spans="1:15" x14ac:dyDescent="0.3">
      <c r="A806" s="116" t="s">
        <v>67</v>
      </c>
      <c r="B806" s="394">
        <v>3000002869</v>
      </c>
      <c r="C806" s="117">
        <v>45473</v>
      </c>
      <c r="D806" s="116"/>
      <c r="E806" s="116" t="s">
        <v>59</v>
      </c>
      <c r="F806" s="118"/>
      <c r="G806" s="116"/>
      <c r="H806" s="141">
        <v>29977.7</v>
      </c>
      <c r="I806" s="142">
        <v>0</v>
      </c>
      <c r="J806" s="130">
        <f t="shared" si="180"/>
        <v>0</v>
      </c>
      <c r="K806" s="130">
        <f t="shared" si="181"/>
        <v>0</v>
      </c>
      <c r="L806" s="129"/>
      <c r="M806" s="152"/>
      <c r="N806" s="130">
        <f>+Table6[[#This Row],[стойност с ДДС]]-Table6[[#This Row],[плащане]]</f>
        <v>0</v>
      </c>
      <c r="O806" s="208">
        <v>45478</v>
      </c>
    </row>
    <row r="807" spans="1:15" x14ac:dyDescent="0.3">
      <c r="A807" s="116" t="s">
        <v>83</v>
      </c>
      <c r="B807" s="394">
        <v>3000002870</v>
      </c>
      <c r="C807" s="117">
        <v>45473</v>
      </c>
      <c r="D807" s="116"/>
      <c r="E807" s="116" t="s">
        <v>53</v>
      </c>
      <c r="F807" s="118"/>
      <c r="G807" s="116"/>
      <c r="H807" s="141">
        <v>1</v>
      </c>
      <c r="I807" s="142">
        <v>4761.99</v>
      </c>
      <c r="J807" s="130">
        <f>ROUND(+H807*I807,2)</f>
        <v>4761.99</v>
      </c>
      <c r="K807" s="130">
        <f>J807*1.2</f>
        <v>5714.3879999999999</v>
      </c>
      <c r="L807" s="129"/>
      <c r="M807" s="152"/>
      <c r="N807" s="130">
        <f>+Table6[[#This Row],[стойност с ДДС]]-Table6[[#This Row],[плащане]]</f>
        <v>5714.3879999999999</v>
      </c>
      <c r="O807" s="208">
        <v>45478</v>
      </c>
    </row>
    <row r="808" spans="1:15" x14ac:dyDescent="0.3">
      <c r="A808" s="97" t="s">
        <v>83</v>
      </c>
      <c r="B808" s="393">
        <v>3000002870</v>
      </c>
      <c r="C808" s="110">
        <v>45473</v>
      </c>
      <c r="D808" s="97"/>
      <c r="E808" s="97" t="s">
        <v>58</v>
      </c>
      <c r="F808" s="101"/>
      <c r="G808" s="97"/>
      <c r="H808" s="113">
        <v>90.703999999999994</v>
      </c>
      <c r="I808" s="114">
        <v>1.0194000000000001</v>
      </c>
      <c r="J808" s="115">
        <f t="shared" ref="J808:J809" si="182">ROUND(+H808*I808,2)</f>
        <v>92.46</v>
      </c>
      <c r="K808" s="115">
        <f t="shared" ref="K808:K809" si="183">J808*1.2</f>
        <v>110.95199999999998</v>
      </c>
      <c r="L808" s="104"/>
      <c r="M808" s="107"/>
      <c r="N808" s="115">
        <f>+Table6[[#This Row],[стойност с ДДС]]-Table6[[#This Row],[плащане]]</f>
        <v>110.95199999999998</v>
      </c>
      <c r="O808" s="208">
        <v>45478</v>
      </c>
    </row>
    <row r="809" spans="1:15" x14ac:dyDescent="0.3">
      <c r="A809" s="116" t="s">
        <v>83</v>
      </c>
      <c r="B809" s="394">
        <v>3000002870</v>
      </c>
      <c r="C809" s="117">
        <v>45473</v>
      </c>
      <c r="D809" s="116"/>
      <c r="E809" s="116" t="s">
        <v>59</v>
      </c>
      <c r="F809" s="118"/>
      <c r="G809" s="116"/>
      <c r="H809" s="141">
        <v>326.53399999999999</v>
      </c>
      <c r="I809" s="142">
        <v>0</v>
      </c>
      <c r="J809" s="130">
        <f t="shared" si="182"/>
        <v>0</v>
      </c>
      <c r="K809" s="130">
        <f t="shared" si="183"/>
        <v>0</v>
      </c>
      <c r="L809" s="129"/>
      <c r="M809" s="152"/>
      <c r="N809" s="130">
        <f>+Table6[[#This Row],[стойност с ДДС]]-Table6[[#This Row],[плащане]]</f>
        <v>0</v>
      </c>
      <c r="O809" s="208">
        <v>45478</v>
      </c>
    </row>
    <row r="810" spans="1:15" x14ac:dyDescent="0.3">
      <c r="A810" s="116" t="s">
        <v>77</v>
      </c>
      <c r="B810" s="394">
        <v>3000002871</v>
      </c>
      <c r="C810" s="117">
        <v>45473</v>
      </c>
      <c r="D810" s="116"/>
      <c r="E810" s="116" t="s">
        <v>53</v>
      </c>
      <c r="F810" s="118"/>
      <c r="G810" s="116"/>
      <c r="H810" s="141">
        <v>2118.2060000000001</v>
      </c>
      <c r="I810" s="142">
        <v>59.55</v>
      </c>
      <c r="J810" s="130">
        <f>ROUND(+H810*I810,2)</f>
        <v>126139.17</v>
      </c>
      <c r="K810" s="130">
        <f>J810*1.2</f>
        <v>151367.00399999999</v>
      </c>
      <c r="L810" s="129"/>
      <c r="M810" s="152"/>
      <c r="N810" s="130">
        <f>+Table6[[#This Row],[стойност с ДДС]]-Table6[[#This Row],[плащане]]</f>
        <v>151367.00399999999</v>
      </c>
      <c r="O810" s="208">
        <v>45478</v>
      </c>
    </row>
    <row r="811" spans="1:15" x14ac:dyDescent="0.3">
      <c r="A811" s="97" t="s">
        <v>77</v>
      </c>
      <c r="B811" s="393">
        <v>3000002871</v>
      </c>
      <c r="C811" s="110">
        <v>45473</v>
      </c>
      <c r="D811" s="97"/>
      <c r="E811" s="97" t="s">
        <v>120</v>
      </c>
      <c r="F811" s="101"/>
      <c r="G811" s="97"/>
      <c r="H811" s="113">
        <v>31</v>
      </c>
      <c r="I811" s="114">
        <v>3.2387999999999999</v>
      </c>
      <c r="J811" s="115">
        <f t="shared" ref="J811:J815" si="184">ROUND(+H811*I811,2)</f>
        <v>100.4</v>
      </c>
      <c r="K811" s="115">
        <f t="shared" ref="K811:K815" si="185">J811*1.2</f>
        <v>120.48</v>
      </c>
      <c r="L811" s="104"/>
      <c r="M811" s="107"/>
      <c r="N811" s="115">
        <f>+Table6[[#This Row],[стойност с ДДС]]-Table6[[#This Row],[плащане]]</f>
        <v>120.48</v>
      </c>
      <c r="O811" s="208">
        <v>45478</v>
      </c>
    </row>
    <row r="812" spans="1:15" x14ac:dyDescent="0.3">
      <c r="A812" s="97" t="s">
        <v>77</v>
      </c>
      <c r="B812" s="393">
        <v>3000002871</v>
      </c>
      <c r="C812" s="110">
        <v>45473</v>
      </c>
      <c r="D812" s="97"/>
      <c r="E812" s="97" t="s">
        <v>57</v>
      </c>
      <c r="F812" s="101"/>
      <c r="G812" s="97"/>
      <c r="H812" s="113">
        <v>154</v>
      </c>
      <c r="I812" s="114">
        <v>2.5910000000000002</v>
      </c>
      <c r="J812" s="115">
        <f t="shared" si="184"/>
        <v>399.01</v>
      </c>
      <c r="K812" s="115">
        <f t="shared" si="185"/>
        <v>478.81199999999995</v>
      </c>
      <c r="L812" s="104"/>
      <c r="M812" s="107"/>
      <c r="N812" s="115">
        <f>+Table6[[#This Row],[стойност с ДДС]]-Table6[[#This Row],[плащане]]</f>
        <v>478.81199999999995</v>
      </c>
      <c r="O812" s="208">
        <v>45478</v>
      </c>
    </row>
    <row r="813" spans="1:15" x14ac:dyDescent="0.3">
      <c r="A813" s="97" t="s">
        <v>77</v>
      </c>
      <c r="B813" s="393">
        <v>3000002871</v>
      </c>
      <c r="C813" s="110">
        <v>45473</v>
      </c>
      <c r="D813" s="97"/>
      <c r="E813" s="97" t="s">
        <v>56</v>
      </c>
      <c r="F813" s="101"/>
      <c r="G813" s="97"/>
      <c r="H813" s="113">
        <v>19.823</v>
      </c>
      <c r="I813" s="114">
        <v>8.3582999999999998</v>
      </c>
      <c r="J813" s="115">
        <f t="shared" si="184"/>
        <v>165.69</v>
      </c>
      <c r="K813" s="115">
        <f t="shared" si="185"/>
        <v>198.828</v>
      </c>
      <c r="L813" s="104"/>
      <c r="M813" s="107"/>
      <c r="N813" s="115">
        <f>+Table6[[#This Row],[стойност с ДДС]]-Table6[[#This Row],[плащане]]</f>
        <v>198.828</v>
      </c>
      <c r="O813" s="208">
        <v>45478</v>
      </c>
    </row>
    <row r="814" spans="1:15" x14ac:dyDescent="0.3">
      <c r="A814" s="97" t="s">
        <v>77</v>
      </c>
      <c r="B814" s="393">
        <v>3000002871</v>
      </c>
      <c r="C814" s="110">
        <v>45473</v>
      </c>
      <c r="D814" s="97"/>
      <c r="E814" s="97" t="s">
        <v>58</v>
      </c>
      <c r="F814" s="101"/>
      <c r="G814" s="97"/>
      <c r="H814" s="113">
        <v>4704.7479999999996</v>
      </c>
      <c r="I814" s="114">
        <v>1.0194000000000001</v>
      </c>
      <c r="J814" s="115">
        <f t="shared" si="184"/>
        <v>4796.0200000000004</v>
      </c>
      <c r="K814" s="115">
        <f t="shared" si="185"/>
        <v>5755.2240000000002</v>
      </c>
      <c r="L814" s="104"/>
      <c r="M814" s="107"/>
      <c r="N814" s="115">
        <f>+Table6[[#This Row],[стойност с ДДС]]-Table6[[#This Row],[плащане]]</f>
        <v>5755.2240000000002</v>
      </c>
      <c r="O814" s="208">
        <v>45478</v>
      </c>
    </row>
    <row r="815" spans="1:15" x14ac:dyDescent="0.3">
      <c r="A815" s="116" t="s">
        <v>77</v>
      </c>
      <c r="B815" s="394">
        <v>3000002871</v>
      </c>
      <c r="C815" s="117">
        <v>45473</v>
      </c>
      <c r="D815" s="116"/>
      <c r="E815" s="116" t="s">
        <v>59</v>
      </c>
      <c r="F815" s="118"/>
      <c r="G815" s="116"/>
      <c r="H815" s="141">
        <v>16937.093000000001</v>
      </c>
      <c r="I815" s="142">
        <v>0</v>
      </c>
      <c r="J815" s="130">
        <f t="shared" si="184"/>
        <v>0</v>
      </c>
      <c r="K815" s="130">
        <f t="shared" si="185"/>
        <v>0</v>
      </c>
      <c r="L815" s="129"/>
      <c r="M815" s="152"/>
      <c r="N815" s="130">
        <f>+Table6[[#This Row],[стойност с ДДС]]-Table6[[#This Row],[плащане]]</f>
        <v>0</v>
      </c>
      <c r="O815" s="208">
        <v>45478</v>
      </c>
    </row>
    <row r="816" spans="1:15" x14ac:dyDescent="0.3">
      <c r="A816" s="116" t="s">
        <v>1184</v>
      </c>
      <c r="B816" s="394">
        <v>3000002872</v>
      </c>
      <c r="C816" s="117">
        <v>45473</v>
      </c>
      <c r="D816" s="116"/>
      <c r="E816" s="116" t="s">
        <v>33</v>
      </c>
      <c r="F816" s="118"/>
      <c r="G816" s="116"/>
      <c r="H816" s="141">
        <v>-1</v>
      </c>
      <c r="I816" s="142">
        <v>17817.599999999999</v>
      </c>
      <c r="J816" s="130">
        <f>ROUND(+H816*I816,2)</f>
        <v>-17817.599999999999</v>
      </c>
      <c r="K816" s="130">
        <f>J816*1.2</f>
        <v>-21381.119999999999</v>
      </c>
      <c r="L816" s="129">
        <v>-21381.119999999999</v>
      </c>
      <c r="M816" s="152">
        <v>45476</v>
      </c>
      <c r="N816" s="130">
        <f>+Table6[[#This Row],[стойност с ДДС]]-Table6[[#This Row],[плащане]]</f>
        <v>0</v>
      </c>
      <c r="O816" s="208">
        <v>45478</v>
      </c>
    </row>
    <row r="817" spans="1:15" x14ac:dyDescent="0.3">
      <c r="A817" s="97" t="s">
        <v>1184</v>
      </c>
      <c r="B817" s="393">
        <v>3000002872</v>
      </c>
      <c r="C817" s="110">
        <v>45473</v>
      </c>
      <c r="D817" s="97"/>
      <c r="E817" s="97" t="s">
        <v>33</v>
      </c>
      <c r="F817" s="101"/>
      <c r="G817" s="97"/>
      <c r="H817" s="113">
        <v>516.49900000000002</v>
      </c>
      <c r="I817" s="114">
        <v>61.74</v>
      </c>
      <c r="J817" s="115">
        <f t="shared" ref="J817:J821" si="186">ROUND(+H817*I817,2)</f>
        <v>31888.65</v>
      </c>
      <c r="K817" s="115">
        <f t="shared" ref="K817:K821" si="187">J817*1.2</f>
        <v>38266.379999999997</v>
      </c>
      <c r="L817" s="104">
        <v>38266.379999999997</v>
      </c>
      <c r="M817" s="152">
        <v>45476</v>
      </c>
      <c r="N817" s="115">
        <f>+Table6[[#This Row],[стойност с ДДС]]-Table6[[#This Row],[плащане]]</f>
        <v>0</v>
      </c>
      <c r="O817" s="208">
        <v>45478</v>
      </c>
    </row>
    <row r="818" spans="1:15" x14ac:dyDescent="0.3">
      <c r="A818" s="97" t="s">
        <v>1184</v>
      </c>
      <c r="B818" s="393">
        <v>3000002872</v>
      </c>
      <c r="C818" s="110">
        <v>45473</v>
      </c>
      <c r="D818" s="97"/>
      <c r="E818" s="97" t="s">
        <v>120</v>
      </c>
      <c r="F818" s="101"/>
      <c r="G818" s="97"/>
      <c r="H818" s="113">
        <v>13</v>
      </c>
      <c r="I818" s="114">
        <v>1.2794000000000001</v>
      </c>
      <c r="J818" s="115">
        <f t="shared" si="186"/>
        <v>16.63</v>
      </c>
      <c r="K818" s="115">
        <f t="shared" si="187"/>
        <v>19.956</v>
      </c>
      <c r="L818" s="104">
        <v>19.956</v>
      </c>
      <c r="M818" s="152">
        <v>45476</v>
      </c>
      <c r="N818" s="115">
        <f>+Table6[[#This Row],[стойност с ДДС]]-Table6[[#This Row],[плащане]]</f>
        <v>0</v>
      </c>
      <c r="O818" s="208">
        <v>45478</v>
      </c>
    </row>
    <row r="819" spans="1:15" x14ac:dyDescent="0.3">
      <c r="A819" s="97" t="s">
        <v>1184</v>
      </c>
      <c r="B819" s="393">
        <v>3000002872</v>
      </c>
      <c r="C819" s="110">
        <v>45473</v>
      </c>
      <c r="D819" s="97"/>
      <c r="E819" s="97" t="s">
        <v>57</v>
      </c>
      <c r="F819" s="101"/>
      <c r="G819" s="97"/>
      <c r="H819" s="113">
        <v>149</v>
      </c>
      <c r="I819" s="114">
        <v>1.0235000000000001</v>
      </c>
      <c r="J819" s="115">
        <f t="shared" si="186"/>
        <v>152.5</v>
      </c>
      <c r="K819" s="115">
        <f t="shared" si="187"/>
        <v>183</v>
      </c>
      <c r="L819" s="104">
        <v>183</v>
      </c>
      <c r="M819" s="152">
        <v>45476</v>
      </c>
      <c r="N819" s="115">
        <f>+Table6[[#This Row],[стойност с ДДС]]-Table6[[#This Row],[плащане]]</f>
        <v>0</v>
      </c>
      <c r="O819" s="208">
        <v>45478</v>
      </c>
    </row>
    <row r="820" spans="1:15" x14ac:dyDescent="0.3">
      <c r="A820" s="97" t="s">
        <v>1184</v>
      </c>
      <c r="B820" s="393">
        <v>3000002872</v>
      </c>
      <c r="C820" s="110">
        <v>45473</v>
      </c>
      <c r="D820" s="97"/>
      <c r="E820" s="97" t="s">
        <v>56</v>
      </c>
      <c r="F820" s="101"/>
      <c r="G820" s="97"/>
      <c r="H820" s="113">
        <v>4.3360000000000003</v>
      </c>
      <c r="I820" s="114">
        <v>3.3016999999999999</v>
      </c>
      <c r="J820" s="115">
        <f t="shared" si="186"/>
        <v>14.32</v>
      </c>
      <c r="K820" s="115">
        <f t="shared" si="187"/>
        <v>17.184000000000001</v>
      </c>
      <c r="L820" s="104">
        <v>17.184000000000001</v>
      </c>
      <c r="M820" s="152">
        <v>45476</v>
      </c>
      <c r="N820" s="115">
        <f>+Table6[[#This Row],[стойност с ДДС]]-Table6[[#This Row],[плащане]]</f>
        <v>0</v>
      </c>
      <c r="O820" s="208">
        <v>45478</v>
      </c>
    </row>
    <row r="821" spans="1:15" x14ac:dyDescent="0.3">
      <c r="A821" s="116" t="s">
        <v>1184</v>
      </c>
      <c r="B821" s="394">
        <v>3000002872</v>
      </c>
      <c r="C821" s="117">
        <v>45473</v>
      </c>
      <c r="D821" s="116"/>
      <c r="E821" s="116" t="s">
        <v>58</v>
      </c>
      <c r="F821" s="118"/>
      <c r="G821" s="116"/>
      <c r="H821" s="141">
        <v>516.49900000000002</v>
      </c>
      <c r="I821" s="142">
        <v>0.52290000000000003</v>
      </c>
      <c r="J821" s="130">
        <f t="shared" si="186"/>
        <v>270.08</v>
      </c>
      <c r="K821" s="130">
        <f t="shared" si="187"/>
        <v>324.09599999999995</v>
      </c>
      <c r="L821" s="129">
        <v>324.09599999999995</v>
      </c>
      <c r="M821" s="152">
        <v>45476</v>
      </c>
      <c r="N821" s="130">
        <f>+Table6[[#This Row],[стойност с ДДС]]-Table6[[#This Row],[плащане]]</f>
        <v>0</v>
      </c>
      <c r="O821" s="208">
        <v>45478</v>
      </c>
    </row>
    <row r="822" spans="1:15" x14ac:dyDescent="0.3">
      <c r="A822" s="116" t="s">
        <v>1184</v>
      </c>
      <c r="B822" s="394">
        <v>3000002872</v>
      </c>
      <c r="C822" s="117">
        <v>45473</v>
      </c>
      <c r="D822" s="116"/>
      <c r="E822" s="116" t="s">
        <v>59</v>
      </c>
      <c r="F822" s="118"/>
      <c r="G822" s="116"/>
      <c r="H822" s="141">
        <v>1859.396</v>
      </c>
      <c r="I822" s="142">
        <v>0.6</v>
      </c>
      <c r="J822" s="130">
        <f>ROUND(+H822*I822,2)</f>
        <v>1115.6400000000001</v>
      </c>
      <c r="K822" s="130">
        <f>J822*1.2</f>
        <v>1338.768</v>
      </c>
      <c r="L822" s="129">
        <v>1338.768</v>
      </c>
      <c r="M822" s="152">
        <v>45476</v>
      </c>
      <c r="N822" s="130">
        <f>+Table6[[#This Row],[стойност с ДДС]]-Table6[[#This Row],[плащане]]</f>
        <v>0</v>
      </c>
      <c r="O822" s="208">
        <v>45478</v>
      </c>
    </row>
    <row r="823" spans="1:15" x14ac:dyDescent="0.3">
      <c r="A823" s="116" t="s">
        <v>72</v>
      </c>
      <c r="B823" s="394">
        <v>3000002873</v>
      </c>
      <c r="C823" s="117">
        <v>45473</v>
      </c>
      <c r="D823" s="116"/>
      <c r="E823" s="116" t="s">
        <v>33</v>
      </c>
      <c r="F823" s="118"/>
      <c r="G823" s="116"/>
      <c r="H823" s="141">
        <v>-1</v>
      </c>
      <c r="I823" s="142">
        <v>25190.400000000001</v>
      </c>
      <c r="J823" s="130">
        <f>ROUND(+H823*I823,2)</f>
        <v>-25190.400000000001</v>
      </c>
      <c r="K823" s="130">
        <f>J823*1.2</f>
        <v>-30228.48</v>
      </c>
      <c r="L823" s="129">
        <v>-30228.48</v>
      </c>
      <c r="M823" s="152">
        <v>45476</v>
      </c>
      <c r="N823" s="130">
        <f>+Table6[[#This Row],[стойност с ДДС]]-Table6[[#This Row],[плащане]]</f>
        <v>0</v>
      </c>
      <c r="O823" s="208">
        <v>45478</v>
      </c>
    </row>
    <row r="824" spans="1:15" x14ac:dyDescent="0.3">
      <c r="A824" s="97" t="s">
        <v>72</v>
      </c>
      <c r="B824" s="393">
        <v>3000002873</v>
      </c>
      <c r="C824" s="110">
        <v>45473</v>
      </c>
      <c r="D824" s="97"/>
      <c r="E824" s="97" t="s">
        <v>33</v>
      </c>
      <c r="F824" s="101"/>
      <c r="G824" s="97"/>
      <c r="H824" s="113">
        <v>435.334</v>
      </c>
      <c r="I824" s="114">
        <v>61.74</v>
      </c>
      <c r="J824" s="115">
        <f t="shared" ref="J824:J827" si="188">ROUND(+H824*I824,2)</f>
        <v>26877.52</v>
      </c>
      <c r="K824" s="115">
        <f t="shared" ref="K824:K827" si="189">J824*1.2</f>
        <v>32253.023999999998</v>
      </c>
      <c r="L824" s="104">
        <v>32253.023999999998</v>
      </c>
      <c r="M824" s="152">
        <v>45476</v>
      </c>
      <c r="N824" s="115">
        <f>+Table6[[#This Row],[стойност с ДДС]]-Table6[[#This Row],[плащане]]</f>
        <v>0</v>
      </c>
      <c r="O824" s="208">
        <v>45478</v>
      </c>
    </row>
    <row r="825" spans="1:15" x14ac:dyDescent="0.3">
      <c r="A825" s="97" t="s">
        <v>72</v>
      </c>
      <c r="B825" s="393">
        <v>3000002873</v>
      </c>
      <c r="C825" s="110">
        <v>45473</v>
      </c>
      <c r="D825" s="97"/>
      <c r="E825" s="97" t="s">
        <v>56</v>
      </c>
      <c r="F825" s="101"/>
      <c r="G825" s="97"/>
      <c r="H825" s="113">
        <v>24.530999999999999</v>
      </c>
      <c r="I825" s="114">
        <v>3.3016999999999999</v>
      </c>
      <c r="J825" s="115">
        <f t="shared" si="188"/>
        <v>80.989999999999995</v>
      </c>
      <c r="K825" s="115">
        <f t="shared" si="189"/>
        <v>97.187999999999988</v>
      </c>
      <c r="L825" s="104">
        <v>97.187999999999988</v>
      </c>
      <c r="M825" s="152">
        <v>45476</v>
      </c>
      <c r="N825" s="115">
        <f>+Table6[[#This Row],[стойност с ДДС]]-Table6[[#This Row],[плащане]]</f>
        <v>0</v>
      </c>
      <c r="O825" s="208">
        <v>45478</v>
      </c>
    </row>
    <row r="826" spans="1:15" x14ac:dyDescent="0.3">
      <c r="A826" s="97" t="s">
        <v>72</v>
      </c>
      <c r="B826" s="393">
        <v>3000002873</v>
      </c>
      <c r="C826" s="110">
        <v>45473</v>
      </c>
      <c r="D826" s="97"/>
      <c r="E826" s="97" t="s">
        <v>58</v>
      </c>
      <c r="F826" s="101"/>
      <c r="G826" s="97"/>
      <c r="H826" s="113">
        <v>435.334</v>
      </c>
      <c r="I826" s="114">
        <v>0.52290000000000003</v>
      </c>
      <c r="J826" s="115">
        <f t="shared" si="188"/>
        <v>227.64</v>
      </c>
      <c r="K826" s="115">
        <f t="shared" si="189"/>
        <v>273.16799999999995</v>
      </c>
      <c r="L826" s="104">
        <v>273.16799999999995</v>
      </c>
      <c r="M826" s="152">
        <v>45476</v>
      </c>
      <c r="N826" s="115">
        <f>+Table6[[#This Row],[стойност с ДДС]]-Table6[[#This Row],[плащане]]</f>
        <v>0</v>
      </c>
      <c r="O826" s="208">
        <v>45478</v>
      </c>
    </row>
    <row r="827" spans="1:15" x14ac:dyDescent="0.3">
      <c r="A827" s="116" t="s">
        <v>72</v>
      </c>
      <c r="B827" s="394">
        <v>3000002873</v>
      </c>
      <c r="C827" s="117">
        <v>45473</v>
      </c>
      <c r="D827" s="116"/>
      <c r="E827" s="116" t="s">
        <v>59</v>
      </c>
      <c r="F827" s="118"/>
      <c r="G827" s="116"/>
      <c r="H827" s="141">
        <v>1567.202</v>
      </c>
      <c r="I827" s="142">
        <v>0.6</v>
      </c>
      <c r="J827" s="130">
        <f t="shared" si="188"/>
        <v>940.32</v>
      </c>
      <c r="K827" s="130">
        <f t="shared" si="189"/>
        <v>1128.384</v>
      </c>
      <c r="L827" s="129">
        <v>1128.384</v>
      </c>
      <c r="M827" s="152">
        <v>45476</v>
      </c>
      <c r="N827" s="130">
        <f>+Table6[[#This Row],[стойност с ДДС]]-Table6[[#This Row],[плащане]]</f>
        <v>0</v>
      </c>
      <c r="O827" s="208">
        <v>45478</v>
      </c>
    </row>
    <row r="828" spans="1:15" x14ac:dyDescent="0.3">
      <c r="A828" s="116" t="s">
        <v>82</v>
      </c>
      <c r="B828" s="393">
        <v>3000002874</v>
      </c>
      <c r="C828" s="110">
        <v>45473</v>
      </c>
      <c r="D828" s="97"/>
      <c r="E828" s="97" t="s">
        <v>33</v>
      </c>
      <c r="F828" s="101" t="s">
        <v>85</v>
      </c>
      <c r="G828" s="97"/>
      <c r="H828" s="113">
        <v>1</v>
      </c>
      <c r="I828" s="114">
        <v>1530.375</v>
      </c>
      <c r="J828" s="115">
        <f>ROUND(+H828*I828,2)</f>
        <v>1530.38</v>
      </c>
      <c r="K828" s="115">
        <f>J828*1.2</f>
        <v>1836.4560000000001</v>
      </c>
      <c r="L828" s="104">
        <v>1836.4560000000001</v>
      </c>
      <c r="M828" s="107">
        <v>45477</v>
      </c>
      <c r="N828" s="115">
        <f>+Table6[[#This Row],[стойност с ДДС]]-Table6[[#This Row],[плащане]]</f>
        <v>0</v>
      </c>
      <c r="O828" s="208">
        <v>45478</v>
      </c>
    </row>
    <row r="829" spans="1:15" x14ac:dyDescent="0.3">
      <c r="A829" s="116" t="s">
        <v>82</v>
      </c>
      <c r="B829" s="394">
        <v>3000002875</v>
      </c>
      <c r="C829" s="117">
        <v>45473</v>
      </c>
      <c r="D829" s="116"/>
      <c r="E829" s="116" t="s">
        <v>33</v>
      </c>
      <c r="F829" s="118"/>
      <c r="G829" s="116"/>
      <c r="H829" s="141">
        <v>-1</v>
      </c>
      <c r="I829" s="142">
        <v>3542.28</v>
      </c>
      <c r="J829" s="130">
        <f>ROUND(+H829*I829,2)</f>
        <v>-3542.28</v>
      </c>
      <c r="K829" s="130">
        <f>J829*1.2</f>
        <v>-4250.7359999999999</v>
      </c>
      <c r="L829" s="129">
        <v>-4250.7359999999999</v>
      </c>
      <c r="M829" s="152">
        <v>45477</v>
      </c>
      <c r="N829" s="130">
        <f>+Table6[[#This Row],[стойност с ДДС]]-Table6[[#This Row],[плащане]]</f>
        <v>0</v>
      </c>
      <c r="O829" s="208">
        <v>45478</v>
      </c>
    </row>
    <row r="830" spans="1:15" x14ac:dyDescent="0.3">
      <c r="A830" s="97" t="s">
        <v>82</v>
      </c>
      <c r="B830" s="393">
        <v>3000002875</v>
      </c>
      <c r="C830" s="110">
        <v>45473</v>
      </c>
      <c r="D830" s="97"/>
      <c r="E830" s="97" t="s">
        <v>33</v>
      </c>
      <c r="F830" s="101"/>
      <c r="G830" s="97"/>
      <c r="H830" s="113">
        <v>-1</v>
      </c>
      <c r="I830" s="114">
        <v>29.65</v>
      </c>
      <c r="J830" s="115">
        <f t="shared" ref="J830:J835" si="190">ROUND(+H830*I830,2)</f>
        <v>-29.65</v>
      </c>
      <c r="K830" s="115">
        <f t="shared" ref="K830:K835" si="191">J830*1.2</f>
        <v>-35.58</v>
      </c>
      <c r="L830" s="104">
        <v>-35.58</v>
      </c>
      <c r="M830" s="107">
        <v>45477</v>
      </c>
      <c r="N830" s="115">
        <f>+Table6[[#This Row],[стойност с ДДС]]-Table6[[#This Row],[плащане]]</f>
        <v>0</v>
      </c>
      <c r="O830" s="208">
        <v>45478</v>
      </c>
    </row>
    <row r="831" spans="1:15" x14ac:dyDescent="0.3">
      <c r="A831" s="97" t="s">
        <v>82</v>
      </c>
      <c r="B831" s="393">
        <v>3000002875</v>
      </c>
      <c r="C831" s="110">
        <v>45473</v>
      </c>
      <c r="D831" s="97"/>
      <c r="E831" s="116" t="s">
        <v>33</v>
      </c>
      <c r="F831" s="101"/>
      <c r="G831" s="97"/>
      <c r="H831" s="113">
        <v>-1</v>
      </c>
      <c r="I831" s="114">
        <v>31.01</v>
      </c>
      <c r="J831" s="115">
        <f t="shared" si="190"/>
        <v>-31.01</v>
      </c>
      <c r="K831" s="115">
        <f t="shared" si="191"/>
        <v>-37.212000000000003</v>
      </c>
      <c r="L831" s="104">
        <v>-37.212000000000003</v>
      </c>
      <c r="M831" s="107">
        <v>45477</v>
      </c>
      <c r="N831" s="115">
        <f>+Table6[[#This Row],[стойност с ДДС]]-Table6[[#This Row],[плащане]]</f>
        <v>0</v>
      </c>
      <c r="O831" s="208">
        <v>45478</v>
      </c>
    </row>
    <row r="832" spans="1:15" x14ac:dyDescent="0.3">
      <c r="A832" s="97" t="s">
        <v>82</v>
      </c>
      <c r="B832" s="393">
        <v>3000002875</v>
      </c>
      <c r="C832" s="110">
        <v>45473</v>
      </c>
      <c r="D832" s="97"/>
      <c r="E832" s="116" t="s">
        <v>33</v>
      </c>
      <c r="F832" s="101"/>
      <c r="G832" s="97"/>
      <c r="H832" s="113">
        <v>59.295000000000002</v>
      </c>
      <c r="I832" s="114">
        <v>59.74</v>
      </c>
      <c r="J832" s="115">
        <f t="shared" si="190"/>
        <v>3542.28</v>
      </c>
      <c r="K832" s="115">
        <f t="shared" si="191"/>
        <v>4250.7359999999999</v>
      </c>
      <c r="L832" s="104">
        <v>4250.7359999999999</v>
      </c>
      <c r="M832" s="107">
        <v>45477</v>
      </c>
      <c r="N832" s="115">
        <f>+Table6[[#This Row],[стойност с ДДС]]-Table6[[#This Row],[плащане]]</f>
        <v>0</v>
      </c>
      <c r="O832" s="208">
        <v>45478</v>
      </c>
    </row>
    <row r="833" spans="1:15" x14ac:dyDescent="0.3">
      <c r="A833" s="97" t="s">
        <v>82</v>
      </c>
      <c r="B833" s="393">
        <v>3000002875</v>
      </c>
      <c r="C833" s="110">
        <v>45473</v>
      </c>
      <c r="D833" s="97"/>
      <c r="E833" s="97" t="s">
        <v>58</v>
      </c>
      <c r="F833" s="101"/>
      <c r="G833" s="97"/>
      <c r="H833" s="113">
        <v>59.295000000000002</v>
      </c>
      <c r="I833" s="114">
        <v>0.52290000000000003</v>
      </c>
      <c r="J833" s="115">
        <f t="shared" si="190"/>
        <v>31.01</v>
      </c>
      <c r="K833" s="115">
        <f t="shared" si="191"/>
        <v>37.212000000000003</v>
      </c>
      <c r="L833" s="104">
        <v>37.212000000000003</v>
      </c>
      <c r="M833" s="107">
        <v>45477</v>
      </c>
      <c r="N833" s="115">
        <f>+Table6[[#This Row],[стойност с ДДС]]-Table6[[#This Row],[плащане]]</f>
        <v>0</v>
      </c>
      <c r="O833" s="208">
        <v>45478</v>
      </c>
    </row>
    <row r="834" spans="1:15" x14ac:dyDescent="0.3">
      <c r="A834" s="97" t="s">
        <v>82</v>
      </c>
      <c r="B834" s="393">
        <v>3000002875</v>
      </c>
      <c r="C834" s="110">
        <v>45473</v>
      </c>
      <c r="D834" s="97"/>
      <c r="E834" s="97" t="s">
        <v>33</v>
      </c>
      <c r="F834" s="101"/>
      <c r="G834" s="97"/>
      <c r="H834" s="113">
        <v>59.295000000000002</v>
      </c>
      <c r="I834" s="114">
        <v>0.5</v>
      </c>
      <c r="J834" s="115">
        <f t="shared" si="190"/>
        <v>29.65</v>
      </c>
      <c r="K834" s="115">
        <f t="shared" si="191"/>
        <v>35.58</v>
      </c>
      <c r="L834" s="104">
        <v>35.58</v>
      </c>
      <c r="M834" s="107">
        <v>45477</v>
      </c>
      <c r="N834" s="115">
        <f>+Table6[[#This Row],[стойност с ДДС]]-Table6[[#This Row],[плащане]]</f>
        <v>0</v>
      </c>
      <c r="O834" s="208">
        <v>45478</v>
      </c>
    </row>
    <row r="835" spans="1:15" x14ac:dyDescent="0.3">
      <c r="A835" s="116" t="s">
        <v>82</v>
      </c>
      <c r="B835" s="394">
        <v>3000002875</v>
      </c>
      <c r="C835" s="117">
        <v>45473</v>
      </c>
      <c r="D835" s="116"/>
      <c r="E835" s="116" t="s">
        <v>59</v>
      </c>
      <c r="F835" s="118"/>
      <c r="G835" s="116"/>
      <c r="H835" s="141">
        <v>213.46199999999999</v>
      </c>
      <c r="I835" s="142">
        <v>0.6</v>
      </c>
      <c r="J835" s="130">
        <f t="shared" si="190"/>
        <v>128.08000000000001</v>
      </c>
      <c r="K835" s="130">
        <f t="shared" si="191"/>
        <v>153.696</v>
      </c>
      <c r="L835" s="129">
        <v>153.696</v>
      </c>
      <c r="M835" s="152">
        <v>45477</v>
      </c>
      <c r="N835" s="130">
        <f>+Table6[[#This Row],[стойност с ДДС]]-Table6[[#This Row],[плащане]]</f>
        <v>0</v>
      </c>
      <c r="O835" s="208">
        <v>45478</v>
      </c>
    </row>
    <row r="836" spans="1:15" x14ac:dyDescent="0.3">
      <c r="A836" s="97" t="s">
        <v>49</v>
      </c>
      <c r="B836" s="393">
        <v>3000002876</v>
      </c>
      <c r="C836" s="110">
        <v>45473</v>
      </c>
      <c r="D836" s="97"/>
      <c r="E836" s="97" t="s">
        <v>33</v>
      </c>
      <c r="F836" s="101" t="s">
        <v>85</v>
      </c>
      <c r="G836" s="97"/>
      <c r="H836" s="113">
        <v>1</v>
      </c>
      <c r="I836" s="114">
        <v>1027.97</v>
      </c>
      <c r="J836" s="115">
        <f>ROUND(+H836*I836,2)</f>
        <v>1027.97</v>
      </c>
      <c r="K836" s="115">
        <f>J836*1.2</f>
        <v>1233.5640000000001</v>
      </c>
      <c r="L836" s="104">
        <v>1233.5640000000001</v>
      </c>
      <c r="M836" s="107">
        <v>45477</v>
      </c>
      <c r="N836" s="115">
        <f>+Table6[[#This Row],[стойност с ДДС]]-Table6[[#This Row],[плащане]]</f>
        <v>0</v>
      </c>
      <c r="O836" s="208">
        <v>45478</v>
      </c>
    </row>
    <row r="837" spans="1:15" x14ac:dyDescent="0.3">
      <c r="A837" s="116" t="s">
        <v>49</v>
      </c>
      <c r="B837" s="394">
        <v>3000002877</v>
      </c>
      <c r="C837" s="117">
        <v>45473</v>
      </c>
      <c r="D837" s="116"/>
      <c r="E837" s="116" t="s">
        <v>33</v>
      </c>
      <c r="F837" s="118"/>
      <c r="G837" s="116"/>
      <c r="H837" s="141">
        <v>-1</v>
      </c>
      <c r="I837" s="142">
        <v>2231.35</v>
      </c>
      <c r="J837" s="130">
        <f>ROUND(+H837*I837,2)</f>
        <v>-2231.35</v>
      </c>
      <c r="K837" s="130">
        <f>J837*1.2</f>
        <v>-2677.62</v>
      </c>
      <c r="L837" s="129">
        <v>-2677.62</v>
      </c>
      <c r="M837" s="152">
        <v>45477</v>
      </c>
      <c r="N837" s="130">
        <f>+Table6[[#This Row],[стойност с ДДС]]-Table6[[#This Row],[плащане]]</f>
        <v>0</v>
      </c>
      <c r="O837" s="208">
        <v>45478</v>
      </c>
    </row>
    <row r="838" spans="1:15" x14ac:dyDescent="0.3">
      <c r="A838" s="97" t="s">
        <v>49</v>
      </c>
      <c r="B838" s="393">
        <v>3000002877</v>
      </c>
      <c r="C838" s="110">
        <v>45473</v>
      </c>
      <c r="D838" s="97"/>
      <c r="E838" s="97" t="s">
        <v>33</v>
      </c>
      <c r="F838" s="101"/>
      <c r="G838" s="97"/>
      <c r="H838" s="113">
        <v>36.14</v>
      </c>
      <c r="I838" s="114">
        <v>61.74</v>
      </c>
      <c r="J838" s="115">
        <f>ROUND(+H838*I838,2)</f>
        <v>2231.2800000000002</v>
      </c>
      <c r="K838" s="115">
        <f>J838*1.2</f>
        <v>2677.5360000000001</v>
      </c>
      <c r="L838" s="104">
        <v>2677.5360000000001</v>
      </c>
      <c r="M838" s="107">
        <v>45477</v>
      </c>
      <c r="N838" s="115">
        <f>+Table6[[#This Row],[стойност с ДДС]]-Table6[[#This Row],[плащане]]</f>
        <v>0</v>
      </c>
      <c r="O838" s="208">
        <v>45478</v>
      </c>
    </row>
    <row r="839" spans="1:15" x14ac:dyDescent="0.3">
      <c r="A839" s="97" t="s">
        <v>49</v>
      </c>
      <c r="B839" s="393">
        <v>3000002877</v>
      </c>
      <c r="C839" s="110">
        <v>45473</v>
      </c>
      <c r="D839" s="97"/>
      <c r="E839" s="97" t="s">
        <v>56</v>
      </c>
      <c r="F839" s="101"/>
      <c r="G839" s="97"/>
      <c r="H839" s="113">
        <v>1.605</v>
      </c>
      <c r="I839" s="114">
        <v>3.3016999999999999</v>
      </c>
      <c r="J839" s="115">
        <f t="shared" ref="J839:J841" si="192">ROUND(+H839*I839,2)</f>
        <v>5.3</v>
      </c>
      <c r="K839" s="115">
        <f t="shared" ref="K839:K841" si="193">J839*1.2</f>
        <v>6.3599999999999994</v>
      </c>
      <c r="L839" s="104">
        <v>6.3599999999999994</v>
      </c>
      <c r="M839" s="107">
        <v>45477</v>
      </c>
      <c r="N839" s="115">
        <f>+Table6[[#This Row],[стойност с ДДС]]-Table6[[#This Row],[плащане]]</f>
        <v>0</v>
      </c>
      <c r="O839" s="208">
        <v>45478</v>
      </c>
    </row>
    <row r="840" spans="1:15" x14ac:dyDescent="0.3">
      <c r="A840" s="97" t="s">
        <v>49</v>
      </c>
      <c r="B840" s="393">
        <v>3000002877</v>
      </c>
      <c r="C840" s="110">
        <v>45473</v>
      </c>
      <c r="D840" s="97"/>
      <c r="E840" s="97" t="s">
        <v>58</v>
      </c>
      <c r="F840" s="101"/>
      <c r="G840" s="97"/>
      <c r="H840" s="113">
        <v>36.140999999999998</v>
      </c>
      <c r="I840" s="114">
        <v>0.52290000000000003</v>
      </c>
      <c r="J840" s="115">
        <f t="shared" si="192"/>
        <v>18.899999999999999</v>
      </c>
      <c r="K840" s="115">
        <f t="shared" si="193"/>
        <v>22.679999999999996</v>
      </c>
      <c r="L840" s="104">
        <v>22.679999999999996</v>
      </c>
      <c r="M840" s="107">
        <v>45477</v>
      </c>
      <c r="N840" s="115">
        <f>+Table6[[#This Row],[стойност с ДДС]]-Table6[[#This Row],[плащане]]</f>
        <v>0</v>
      </c>
      <c r="O840" s="208">
        <v>45478</v>
      </c>
    </row>
    <row r="841" spans="1:15" x14ac:dyDescent="0.3">
      <c r="A841" s="97" t="s">
        <v>49</v>
      </c>
      <c r="B841" s="393">
        <v>3000002877</v>
      </c>
      <c r="C841" s="110">
        <v>45473</v>
      </c>
      <c r="D841" s="97"/>
      <c r="E841" s="97" t="s">
        <v>59</v>
      </c>
      <c r="F841" s="101"/>
      <c r="G841" s="97"/>
      <c r="H841" s="113">
        <v>130.108</v>
      </c>
      <c r="I841" s="114">
        <v>0.6</v>
      </c>
      <c r="J841" s="115">
        <f t="shared" si="192"/>
        <v>78.06</v>
      </c>
      <c r="K841" s="115">
        <f t="shared" si="193"/>
        <v>93.671999999999997</v>
      </c>
      <c r="L841" s="104">
        <v>93.671999999999997</v>
      </c>
      <c r="M841" s="107">
        <v>45477</v>
      </c>
      <c r="N841" s="115">
        <f>+Table6[[#This Row],[стойност с ДДС]]-Table6[[#This Row],[плащане]]</f>
        <v>0</v>
      </c>
      <c r="O841" s="208">
        <v>45478</v>
      </c>
    </row>
    <row r="842" spans="1:15" x14ac:dyDescent="0.3">
      <c r="A842" s="116" t="s">
        <v>92</v>
      </c>
      <c r="B842" s="394">
        <v>3000002878</v>
      </c>
      <c r="C842" s="117">
        <v>45473</v>
      </c>
      <c r="D842" s="116"/>
      <c r="E842" s="116" t="s">
        <v>33</v>
      </c>
      <c r="F842" s="118" t="s">
        <v>85</v>
      </c>
      <c r="G842" s="116"/>
      <c r="H842" s="141">
        <v>1</v>
      </c>
      <c r="I842" s="142">
        <v>368.51</v>
      </c>
      <c r="J842" s="130">
        <f>ROUND(+H842*I842,2)</f>
        <v>368.51</v>
      </c>
      <c r="K842" s="130">
        <f>J842*1.2</f>
        <v>442.21199999999999</v>
      </c>
      <c r="L842" s="129">
        <v>442.21199999999999</v>
      </c>
      <c r="M842" s="152">
        <v>45478</v>
      </c>
      <c r="N842" s="130">
        <f>+Table6[[#This Row],[стойност с ДДС]]-Table6[[#This Row],[плащане]]</f>
        <v>0</v>
      </c>
      <c r="O842" s="208">
        <v>45478</v>
      </c>
    </row>
    <row r="843" spans="1:15" x14ac:dyDescent="0.3">
      <c r="A843" s="116" t="s">
        <v>92</v>
      </c>
      <c r="B843" s="394">
        <v>3000002879</v>
      </c>
      <c r="C843" s="117">
        <v>45473</v>
      </c>
      <c r="D843" s="116"/>
      <c r="E843" s="116" t="s">
        <v>33</v>
      </c>
      <c r="F843" s="118"/>
      <c r="G843" s="116"/>
      <c r="H843" s="141">
        <v>-1</v>
      </c>
      <c r="I843" s="142">
        <v>1228.93</v>
      </c>
      <c r="J843" s="130">
        <f>ROUND(+H843*I843,2)</f>
        <v>-1228.93</v>
      </c>
      <c r="K843" s="130">
        <f>J843*1.2</f>
        <v>-1474.7160000000001</v>
      </c>
      <c r="L843" s="129">
        <v>-1474.7160000000001</v>
      </c>
      <c r="M843" s="152">
        <v>45478</v>
      </c>
      <c r="N843" s="130">
        <f>+Table6[[#This Row],[стойност с ДДС]]-Table6[[#This Row],[плащане]]</f>
        <v>0</v>
      </c>
      <c r="O843" s="208">
        <v>45478</v>
      </c>
    </row>
    <row r="844" spans="1:15" x14ac:dyDescent="0.3">
      <c r="A844" s="97" t="s">
        <v>92</v>
      </c>
      <c r="B844" s="393">
        <v>3000002879</v>
      </c>
      <c r="C844" s="110">
        <v>45473</v>
      </c>
      <c r="D844" s="97"/>
      <c r="E844" s="97" t="s">
        <v>33</v>
      </c>
      <c r="F844" s="101"/>
      <c r="G844" s="97"/>
      <c r="H844" s="113">
        <v>19.905000000000001</v>
      </c>
      <c r="I844" s="114">
        <v>61.74</v>
      </c>
      <c r="J844" s="115">
        <f>ROUND(+H844*I844,2)</f>
        <v>1228.93</v>
      </c>
      <c r="K844" s="115">
        <f>J844*1.2</f>
        <v>1474.7160000000001</v>
      </c>
      <c r="L844" s="104">
        <v>1474.7160000000001</v>
      </c>
      <c r="M844" s="107">
        <v>45478</v>
      </c>
      <c r="N844" s="115">
        <f>+Table6[[#This Row],[стойност с ДДС]]-Table6[[#This Row],[плащане]]</f>
        <v>0</v>
      </c>
      <c r="O844" s="208">
        <v>45478</v>
      </c>
    </row>
    <row r="845" spans="1:15" x14ac:dyDescent="0.3">
      <c r="A845" s="97" t="s">
        <v>92</v>
      </c>
      <c r="B845" s="393">
        <v>3000002879</v>
      </c>
      <c r="C845" s="110">
        <v>45473</v>
      </c>
      <c r="D845" s="97"/>
      <c r="E845" s="97" t="s">
        <v>58</v>
      </c>
      <c r="F845" s="101"/>
      <c r="G845" s="97"/>
      <c r="H845" s="113">
        <v>19.905000000000001</v>
      </c>
      <c r="I845" s="114">
        <v>1.0194000000000001</v>
      </c>
      <c r="J845" s="115">
        <f t="shared" ref="J845:J846" si="194">ROUND(+H845*I845,2)</f>
        <v>20.29</v>
      </c>
      <c r="K845" s="115">
        <f t="shared" ref="K845:K846" si="195">J845*1.2</f>
        <v>24.347999999999999</v>
      </c>
      <c r="L845" s="104">
        <v>24.347999999999999</v>
      </c>
      <c r="M845" s="107">
        <v>45478</v>
      </c>
      <c r="N845" s="115">
        <f>+Table6[[#This Row],[стойност с ДДС]]-Table6[[#This Row],[плащане]]</f>
        <v>0</v>
      </c>
      <c r="O845" s="208">
        <v>45478</v>
      </c>
    </row>
    <row r="846" spans="1:15" x14ac:dyDescent="0.3">
      <c r="A846" s="97" t="s">
        <v>92</v>
      </c>
      <c r="B846" s="393">
        <v>3000002879</v>
      </c>
      <c r="C846" s="110">
        <v>45473</v>
      </c>
      <c r="D846" s="97"/>
      <c r="E846" s="97" t="s">
        <v>59</v>
      </c>
      <c r="F846" s="101"/>
      <c r="G846" s="97"/>
      <c r="H846" s="113">
        <v>71.658000000000001</v>
      </c>
      <c r="I846" s="114">
        <v>0.6</v>
      </c>
      <c r="J846" s="115">
        <f t="shared" si="194"/>
        <v>42.99</v>
      </c>
      <c r="K846" s="115">
        <f t="shared" si="195"/>
        <v>51.588000000000001</v>
      </c>
      <c r="L846" s="104">
        <v>51.588000000000001</v>
      </c>
      <c r="M846" s="107">
        <v>45478</v>
      </c>
      <c r="N846" s="115">
        <f>+Table6[[#This Row],[стойност с ДДС]]-Table6[[#This Row],[плащане]]</f>
        <v>0</v>
      </c>
      <c r="O846" s="208">
        <v>45478</v>
      </c>
    </row>
    <row r="847" spans="1:15" x14ac:dyDescent="0.3">
      <c r="A847" s="116" t="s">
        <v>31</v>
      </c>
      <c r="B847" s="394">
        <v>3000002880</v>
      </c>
      <c r="C847" s="117">
        <v>45473</v>
      </c>
      <c r="D847" s="116"/>
      <c r="E847" s="116" t="s">
        <v>33</v>
      </c>
      <c r="F847" s="118"/>
      <c r="G847" s="116"/>
      <c r="H847" s="141">
        <v>7.4080000000000004</v>
      </c>
      <c r="I847" s="142">
        <v>61.74</v>
      </c>
      <c r="J847" s="130">
        <f t="shared" ref="J847:J860" si="196">ROUND(+H847*I847,2)</f>
        <v>457.37</v>
      </c>
      <c r="K847" s="130">
        <f t="shared" ref="K847:K860" si="197">J847*1.2</f>
        <v>548.84399999999994</v>
      </c>
      <c r="L847" s="129">
        <v>548.84399999999994</v>
      </c>
      <c r="M847" s="152">
        <v>45478</v>
      </c>
      <c r="N847" s="130">
        <f>+Table6[[#This Row],[стойност с ДДС]]-Table6[[#This Row],[плащане]]</f>
        <v>0</v>
      </c>
      <c r="O847" s="208">
        <v>45478</v>
      </c>
    </row>
    <row r="848" spans="1:15" x14ac:dyDescent="0.3">
      <c r="A848" s="116" t="s">
        <v>31</v>
      </c>
      <c r="B848" s="394">
        <v>3000002880</v>
      </c>
      <c r="C848" s="117">
        <v>45473</v>
      </c>
      <c r="D848" s="116"/>
      <c r="E848" s="116" t="s">
        <v>58</v>
      </c>
      <c r="F848" s="118"/>
      <c r="G848" s="116"/>
      <c r="H848" s="141">
        <v>7.4080000000000004</v>
      </c>
      <c r="I848" s="142">
        <v>1.0194000000000001</v>
      </c>
      <c r="J848" s="130">
        <f t="shared" si="196"/>
        <v>7.55</v>
      </c>
      <c r="K848" s="130">
        <f t="shared" si="197"/>
        <v>9.0599999999999987</v>
      </c>
      <c r="L848" s="129">
        <v>9.0599999999999987</v>
      </c>
      <c r="M848" s="152">
        <v>45478</v>
      </c>
      <c r="N848" s="130">
        <f>+Table6[[#This Row],[стойност с ДДС]]-Table6[[#This Row],[плащане]]</f>
        <v>0</v>
      </c>
      <c r="O848" s="208">
        <v>45478</v>
      </c>
    </row>
    <row r="849" spans="1:15" x14ac:dyDescent="0.3">
      <c r="A849" s="116" t="s">
        <v>31</v>
      </c>
      <c r="B849" s="394">
        <v>3000002880</v>
      </c>
      <c r="C849" s="117">
        <v>45473</v>
      </c>
      <c r="D849" s="116"/>
      <c r="E849" s="116" t="s">
        <v>59</v>
      </c>
      <c r="F849" s="118"/>
      <c r="G849" s="116"/>
      <c r="H849" s="141">
        <v>26.669</v>
      </c>
      <c r="I849" s="142">
        <v>0.6</v>
      </c>
      <c r="J849" s="130">
        <f t="shared" si="196"/>
        <v>16</v>
      </c>
      <c r="K849" s="130">
        <f t="shared" si="197"/>
        <v>19.2</v>
      </c>
      <c r="L849" s="129">
        <v>19.2</v>
      </c>
      <c r="M849" s="152">
        <v>45478</v>
      </c>
      <c r="N849" s="130">
        <f>+Table6[[#This Row],[стойност с ДДС]]-Table6[[#This Row],[плащане]]</f>
        <v>0</v>
      </c>
      <c r="O849" s="208">
        <v>45478</v>
      </c>
    </row>
    <row r="850" spans="1:15" x14ac:dyDescent="0.3">
      <c r="A850" s="97" t="s">
        <v>62</v>
      </c>
      <c r="B850" s="393">
        <v>1000000289</v>
      </c>
      <c r="C850" s="107" t="s">
        <v>1532</v>
      </c>
      <c r="D850" s="97"/>
      <c r="E850" s="97" t="s">
        <v>1533</v>
      </c>
      <c r="F850" s="101" t="s">
        <v>85</v>
      </c>
      <c r="G850" s="97"/>
      <c r="H850" s="113">
        <v>86869.817999999999</v>
      </c>
      <c r="I850" s="114">
        <v>7.76</v>
      </c>
      <c r="J850" s="115">
        <f>ROUND(+H850*I850,2)</f>
        <v>674109.79</v>
      </c>
      <c r="K850" s="115">
        <f>J850*1.2</f>
        <v>808931.74800000002</v>
      </c>
      <c r="L850" s="104"/>
      <c r="M850" s="107"/>
      <c r="N850" s="115">
        <f>+Table6[[#This Row],[стойност с ДДС]]-Table6[[#This Row],[плащане]]</f>
        <v>808931.74800000002</v>
      </c>
      <c r="O850" s="208"/>
    </row>
    <row r="851" spans="1:15" x14ac:dyDescent="0.3">
      <c r="A851" s="116" t="s">
        <v>1486</v>
      </c>
      <c r="B851" s="394">
        <v>3100000511</v>
      </c>
      <c r="C851" s="117">
        <v>45496</v>
      </c>
      <c r="D851" s="116"/>
      <c r="E851" s="8" t="s">
        <v>36</v>
      </c>
      <c r="F851" s="118"/>
      <c r="G851" s="116"/>
      <c r="H851" s="141">
        <v>50</v>
      </c>
      <c r="I851" s="142">
        <v>52</v>
      </c>
      <c r="J851" s="130">
        <f t="shared" si="196"/>
        <v>2600</v>
      </c>
      <c r="K851" s="130">
        <f t="shared" si="197"/>
        <v>3120</v>
      </c>
      <c r="L851" s="129">
        <v>3120</v>
      </c>
      <c r="M851" s="152">
        <v>45498</v>
      </c>
      <c r="N851" s="130">
        <f>+Table6[[#This Row],[стойност с ДДС]]-Table6[[#This Row],[плащане]]</f>
        <v>0</v>
      </c>
      <c r="O851" s="208">
        <v>45501</v>
      </c>
    </row>
    <row r="852" spans="1:15" x14ac:dyDescent="0.3">
      <c r="A852" s="116" t="s">
        <v>50</v>
      </c>
      <c r="B852" s="394">
        <v>3000002881</v>
      </c>
      <c r="C852" s="117">
        <v>45488</v>
      </c>
      <c r="D852" s="116"/>
      <c r="E852" s="116" t="s">
        <v>53</v>
      </c>
      <c r="F852" s="118"/>
      <c r="G852" s="116"/>
      <c r="H852" s="141">
        <v>200</v>
      </c>
      <c r="I852" s="142">
        <v>63.7316</v>
      </c>
      <c r="J852" s="130">
        <f t="shared" si="196"/>
        <v>12746.32</v>
      </c>
      <c r="K852" s="130">
        <f t="shared" si="197"/>
        <v>15295.583999999999</v>
      </c>
      <c r="L852" s="129"/>
      <c r="M852" s="152"/>
      <c r="N852" s="130">
        <f>+Table6[[#This Row],[стойност с ДДС]]-Table6[[#This Row],[плащане]]</f>
        <v>15295.583999999999</v>
      </c>
      <c r="O852" s="208"/>
    </row>
    <row r="853" spans="1:15" x14ac:dyDescent="0.3">
      <c r="A853" s="116" t="s">
        <v>64</v>
      </c>
      <c r="B853" s="394">
        <v>3000002882</v>
      </c>
      <c r="C853" s="117">
        <v>45488</v>
      </c>
      <c r="D853" s="116"/>
      <c r="E853" s="116" t="s">
        <v>53</v>
      </c>
      <c r="F853" s="118"/>
      <c r="G853" s="116"/>
      <c r="H853" s="141">
        <v>58</v>
      </c>
      <c r="I853" s="142">
        <v>63.7316</v>
      </c>
      <c r="J853" s="130">
        <f t="shared" si="196"/>
        <v>3696.43</v>
      </c>
      <c r="K853" s="130">
        <f t="shared" si="197"/>
        <v>4435.7159999999994</v>
      </c>
      <c r="L853" s="129"/>
      <c r="M853" s="152"/>
      <c r="N853" s="130">
        <f>+Table6[[#This Row],[стойност с ДДС]]-Table6[[#This Row],[плащане]]</f>
        <v>4435.7159999999994</v>
      </c>
      <c r="O853" s="208"/>
    </row>
    <row r="854" spans="1:15" x14ac:dyDescent="0.3">
      <c r="A854" s="116" t="s">
        <v>62</v>
      </c>
      <c r="B854" s="394">
        <v>3000002883</v>
      </c>
      <c r="C854" s="117">
        <v>45488</v>
      </c>
      <c r="D854" s="116"/>
      <c r="E854" s="116" t="s">
        <v>53</v>
      </c>
      <c r="F854" s="118"/>
      <c r="G854" s="116"/>
      <c r="H854" s="141">
        <v>300</v>
      </c>
      <c r="I854" s="142">
        <v>63.7316</v>
      </c>
      <c r="J854" s="130">
        <f t="shared" si="196"/>
        <v>19119.48</v>
      </c>
      <c r="K854" s="130">
        <f t="shared" si="197"/>
        <v>22943.376</v>
      </c>
      <c r="L854" s="129"/>
      <c r="M854" s="152"/>
      <c r="N854" s="130">
        <f>+Table6[[#This Row],[стойност с ДДС]]-Table6[[#This Row],[плащане]]</f>
        <v>22943.376</v>
      </c>
      <c r="O854" s="208"/>
    </row>
    <row r="855" spans="1:15" x14ac:dyDescent="0.3">
      <c r="A855" s="116" t="s">
        <v>83</v>
      </c>
      <c r="B855" s="394">
        <v>3000002884</v>
      </c>
      <c r="C855" s="117">
        <v>45488</v>
      </c>
      <c r="D855" s="116"/>
      <c r="E855" s="8" t="s">
        <v>76</v>
      </c>
      <c r="F855" s="118"/>
      <c r="G855" s="116"/>
      <c r="H855" s="141">
        <v>20</v>
      </c>
      <c r="I855" s="142">
        <v>63.7316</v>
      </c>
      <c r="J855" s="130">
        <f t="shared" si="196"/>
        <v>1274.6300000000001</v>
      </c>
      <c r="K855" s="130">
        <f t="shared" si="197"/>
        <v>1529.556</v>
      </c>
      <c r="L855" s="129"/>
      <c r="M855" s="152"/>
      <c r="N855" s="130">
        <f>+Table6[[#This Row],[стойност с ДДС]]-Table6[[#This Row],[плащане]]</f>
        <v>1529.556</v>
      </c>
      <c r="O855" s="208"/>
    </row>
    <row r="856" spans="1:15" x14ac:dyDescent="0.3">
      <c r="A856" s="116" t="s">
        <v>1184</v>
      </c>
      <c r="B856" s="394">
        <v>3000002885</v>
      </c>
      <c r="C856" s="117">
        <v>45488</v>
      </c>
      <c r="D856" s="116"/>
      <c r="E856" s="8" t="s">
        <v>76</v>
      </c>
      <c r="F856" s="118"/>
      <c r="G856" s="116"/>
      <c r="H856" s="141">
        <v>20</v>
      </c>
      <c r="I856" s="142">
        <v>25.1753</v>
      </c>
      <c r="J856" s="130">
        <f t="shared" si="196"/>
        <v>503.51</v>
      </c>
      <c r="K856" s="130">
        <f t="shared" si="197"/>
        <v>604.21199999999999</v>
      </c>
      <c r="L856" s="129">
        <v>604.21199999999999</v>
      </c>
      <c r="M856" s="152">
        <v>45489</v>
      </c>
      <c r="N856" s="130">
        <f>+Table6[[#This Row],[стойност с ДДС]]-Table6[[#This Row],[плащане]]</f>
        <v>0</v>
      </c>
      <c r="O856" s="208">
        <v>45495</v>
      </c>
    </row>
    <row r="857" spans="1:15" x14ac:dyDescent="0.3">
      <c r="A857" s="116" t="s">
        <v>49</v>
      </c>
      <c r="B857" s="394">
        <v>3000002886</v>
      </c>
      <c r="C857" s="117">
        <v>45488</v>
      </c>
      <c r="D857" s="116"/>
      <c r="E857" s="116" t="s">
        <v>33</v>
      </c>
      <c r="F857" s="118"/>
      <c r="G857" s="116"/>
      <c r="H857" s="141">
        <v>1</v>
      </c>
      <c r="I857" s="142">
        <v>1645.13</v>
      </c>
      <c r="J857" s="130">
        <f t="shared" si="196"/>
        <v>1645.13</v>
      </c>
      <c r="K857" s="130">
        <f t="shared" si="197"/>
        <v>1974.1559999999999</v>
      </c>
      <c r="L857" s="129">
        <v>1974.1559999999999</v>
      </c>
      <c r="M857" s="152">
        <v>45489</v>
      </c>
      <c r="N857" s="130">
        <f>+Table6[[#This Row],[стойност с ДДС]]-Table6[[#This Row],[плащане]]</f>
        <v>0</v>
      </c>
      <c r="O857" s="208">
        <v>45495</v>
      </c>
    </row>
    <row r="858" spans="1:15" x14ac:dyDescent="0.3">
      <c r="A858" s="116" t="s">
        <v>72</v>
      </c>
      <c r="B858" s="394">
        <v>3000002887</v>
      </c>
      <c r="C858" s="117">
        <v>45488</v>
      </c>
      <c r="D858" s="116"/>
      <c r="E858" s="116" t="s">
        <v>33</v>
      </c>
      <c r="F858" s="118"/>
      <c r="G858" s="116"/>
      <c r="H858" s="141">
        <v>1</v>
      </c>
      <c r="I858" s="142">
        <v>15036.75</v>
      </c>
      <c r="J858" s="130">
        <f t="shared" si="196"/>
        <v>15036.75</v>
      </c>
      <c r="K858" s="130">
        <f t="shared" si="197"/>
        <v>18044.099999999999</v>
      </c>
      <c r="L858" s="129">
        <v>18044.099999999999</v>
      </c>
      <c r="M858" s="152">
        <v>45489</v>
      </c>
      <c r="N858" s="130">
        <f>+Table6[[#This Row],[стойност с ДДС]]-Table6[[#This Row],[плащане]]</f>
        <v>0</v>
      </c>
      <c r="O858" s="208">
        <v>45495</v>
      </c>
    </row>
    <row r="859" spans="1:15" x14ac:dyDescent="0.3">
      <c r="A859" s="116" t="s">
        <v>72</v>
      </c>
      <c r="B859" s="394">
        <v>3000002887</v>
      </c>
      <c r="C859" s="117">
        <v>45488</v>
      </c>
      <c r="D859" s="116"/>
      <c r="E859" s="145" t="s">
        <v>76</v>
      </c>
      <c r="F859" s="118"/>
      <c r="G859" s="116"/>
      <c r="H859" s="141">
        <v>18</v>
      </c>
      <c r="I859" s="142">
        <v>25.1753</v>
      </c>
      <c r="J859" s="130">
        <f t="shared" si="196"/>
        <v>453.16</v>
      </c>
      <c r="K859" s="130">
        <f t="shared" si="197"/>
        <v>543.79200000000003</v>
      </c>
      <c r="L859" s="129">
        <v>543.79200000000003</v>
      </c>
      <c r="M859" s="152">
        <v>45489</v>
      </c>
      <c r="N859" s="130">
        <f>+Table6[[#This Row],[стойност с ДДС]]-Table6[[#This Row],[плащане]]</f>
        <v>0</v>
      </c>
      <c r="O859" s="208">
        <v>45495</v>
      </c>
    </row>
    <row r="860" spans="1:15" x14ac:dyDescent="0.3">
      <c r="A860" s="97" t="s">
        <v>82</v>
      </c>
      <c r="B860" s="393">
        <v>3000002888</v>
      </c>
      <c r="C860" s="117">
        <v>45488</v>
      </c>
      <c r="D860" s="97"/>
      <c r="E860" s="139" t="s">
        <v>33</v>
      </c>
      <c r="F860" s="101"/>
      <c r="G860" s="97"/>
      <c r="H860" s="113">
        <v>1</v>
      </c>
      <c r="I860" s="114">
        <v>2201.5</v>
      </c>
      <c r="J860" s="115">
        <f t="shared" si="196"/>
        <v>2201.5</v>
      </c>
      <c r="K860" s="115">
        <f t="shared" si="197"/>
        <v>2641.7999999999997</v>
      </c>
      <c r="L860" s="104">
        <v>2641.7999999999997</v>
      </c>
      <c r="M860" s="107">
        <v>45489</v>
      </c>
      <c r="N860" s="115">
        <f>+Table6[[#This Row],[стойност с ДДС]]-Table6[[#This Row],[плащане]]</f>
        <v>0</v>
      </c>
      <c r="O860" s="208">
        <v>45495</v>
      </c>
    </row>
    <row r="861" spans="1:15" x14ac:dyDescent="0.3">
      <c r="A861" s="97" t="s">
        <v>82</v>
      </c>
      <c r="B861" s="393">
        <v>3000002888</v>
      </c>
      <c r="C861" s="117">
        <v>45488</v>
      </c>
      <c r="D861" s="97"/>
      <c r="E861" s="139" t="s">
        <v>33</v>
      </c>
      <c r="F861" s="101"/>
      <c r="G861" s="97"/>
      <c r="H861" s="113">
        <v>1</v>
      </c>
      <c r="I861" s="114">
        <v>18.5</v>
      </c>
      <c r="J861" s="115">
        <f t="shared" ref="J861:J862" si="198">ROUND(+H861*I861,2)</f>
        <v>18.5</v>
      </c>
      <c r="K861" s="115">
        <f t="shared" ref="K861:K862" si="199">J861*1.2</f>
        <v>22.2</v>
      </c>
      <c r="L861" s="104">
        <v>22.2</v>
      </c>
      <c r="M861" s="107">
        <v>45489</v>
      </c>
      <c r="N861" s="115">
        <f>+Table6[[#This Row],[стойност с ДДС]]-Table6[[#This Row],[плащане]]</f>
        <v>0</v>
      </c>
      <c r="O861" s="208">
        <v>45495</v>
      </c>
    </row>
    <row r="862" spans="1:15" x14ac:dyDescent="0.3">
      <c r="A862" s="97" t="s">
        <v>82</v>
      </c>
      <c r="B862" s="393">
        <v>3000002888</v>
      </c>
      <c r="C862" s="117">
        <v>45488</v>
      </c>
      <c r="D862" s="97"/>
      <c r="E862" s="139" t="s">
        <v>33</v>
      </c>
      <c r="F862" s="101"/>
      <c r="G862" s="97"/>
      <c r="H862" s="113">
        <v>1</v>
      </c>
      <c r="I862" s="114">
        <v>19.350000000000001</v>
      </c>
      <c r="J862" s="115">
        <f t="shared" si="198"/>
        <v>19.350000000000001</v>
      </c>
      <c r="K862" s="115">
        <f t="shared" si="199"/>
        <v>23.220000000000002</v>
      </c>
      <c r="L862" s="104">
        <v>23.220000000000002</v>
      </c>
      <c r="M862" s="107">
        <v>45489</v>
      </c>
      <c r="N862" s="115">
        <f>+Table6[[#This Row],[стойност с ДДС]]-Table6[[#This Row],[плащане]]</f>
        <v>0</v>
      </c>
      <c r="O862" s="208">
        <v>45495</v>
      </c>
    </row>
    <row r="863" spans="1:15" x14ac:dyDescent="0.3">
      <c r="A863" s="97" t="s">
        <v>82</v>
      </c>
      <c r="B863" s="393">
        <v>3000002888</v>
      </c>
      <c r="C863" s="117">
        <v>45488</v>
      </c>
      <c r="D863" s="116"/>
      <c r="E863" s="116" t="s">
        <v>76</v>
      </c>
      <c r="F863" s="118"/>
      <c r="G863" s="116"/>
      <c r="H863" s="141">
        <v>93</v>
      </c>
      <c r="I863" s="142">
        <v>0.82</v>
      </c>
      <c r="J863" s="130">
        <f t="shared" ref="J863:J877" si="200">ROUND(+H863*I863,2)</f>
        <v>76.260000000000005</v>
      </c>
      <c r="K863" s="130">
        <f t="shared" ref="K863:K877" si="201">J863*1.2</f>
        <v>91.512</v>
      </c>
      <c r="L863" s="129">
        <v>91.512</v>
      </c>
      <c r="M863" s="152">
        <v>45489</v>
      </c>
      <c r="N863" s="130">
        <f>+Table6[[#This Row],[стойност с ДДС]]-Table6[[#This Row],[плащане]]</f>
        <v>0</v>
      </c>
      <c r="O863" s="208">
        <v>45495</v>
      </c>
    </row>
    <row r="864" spans="1:15" x14ac:dyDescent="0.3">
      <c r="A864" s="116" t="s">
        <v>92</v>
      </c>
      <c r="B864" s="394">
        <v>3000002889</v>
      </c>
      <c r="C864" s="117">
        <v>45488</v>
      </c>
      <c r="D864" s="116"/>
      <c r="E864" s="116" t="s">
        <v>33</v>
      </c>
      <c r="F864" s="118"/>
      <c r="G864" s="116"/>
      <c r="H864" s="141">
        <v>1</v>
      </c>
      <c r="I864" s="142">
        <v>707.25</v>
      </c>
      <c r="J864" s="130">
        <f t="shared" si="200"/>
        <v>707.25</v>
      </c>
      <c r="K864" s="130">
        <f t="shared" si="201"/>
        <v>848.69999999999993</v>
      </c>
      <c r="L864" s="129">
        <v>848.69999999999993</v>
      </c>
      <c r="M864" s="152">
        <v>45489</v>
      </c>
      <c r="N864" s="130">
        <f>+Table6[[#This Row],[стойност с ДДС]]-Table6[[#This Row],[плащане]]</f>
        <v>0</v>
      </c>
      <c r="O864" s="208">
        <v>45495</v>
      </c>
    </row>
    <row r="865" spans="1:15" x14ac:dyDescent="0.3">
      <c r="A865" s="116" t="s">
        <v>49</v>
      </c>
      <c r="B865" s="394">
        <v>3000002890</v>
      </c>
      <c r="C865" s="117">
        <v>45495</v>
      </c>
      <c r="D865" s="116"/>
      <c r="E865" s="116" t="s">
        <v>33</v>
      </c>
      <c r="F865" s="118"/>
      <c r="G865" s="116"/>
      <c r="H865" s="141">
        <v>1</v>
      </c>
      <c r="I865" s="142">
        <v>1645.1</v>
      </c>
      <c r="J865" s="130">
        <f t="shared" si="200"/>
        <v>1645.1</v>
      </c>
      <c r="K865" s="130">
        <f t="shared" si="201"/>
        <v>1974.12</v>
      </c>
      <c r="L865" s="129">
        <v>1974.12</v>
      </c>
      <c r="M865" s="152">
        <v>45489</v>
      </c>
      <c r="N865" s="130">
        <f>+Table6[[#This Row],[стойност с ДДС]]-Table6[[#This Row],[плащане]]</f>
        <v>0</v>
      </c>
      <c r="O865" s="208">
        <v>45495</v>
      </c>
    </row>
    <row r="866" spans="1:15" x14ac:dyDescent="0.3">
      <c r="A866" s="116" t="s">
        <v>72</v>
      </c>
      <c r="B866" s="394">
        <v>3000002891</v>
      </c>
      <c r="C866" s="117">
        <v>45495</v>
      </c>
      <c r="D866" s="116"/>
      <c r="E866" s="116" t="s">
        <v>33</v>
      </c>
      <c r="F866" s="118"/>
      <c r="G866" s="116"/>
      <c r="H866" s="141">
        <v>1</v>
      </c>
      <c r="I866" s="142">
        <v>15036.75</v>
      </c>
      <c r="J866" s="130">
        <f t="shared" si="200"/>
        <v>15036.75</v>
      </c>
      <c r="K866" s="130">
        <f t="shared" si="201"/>
        <v>18044.099999999999</v>
      </c>
      <c r="L866" s="129">
        <v>18044.099999999999</v>
      </c>
      <c r="M866" s="152">
        <v>45490</v>
      </c>
      <c r="N866" s="130">
        <f>+Table6[[#This Row],[стойност с ДДС]]-Table6[[#This Row],[плащане]]</f>
        <v>0</v>
      </c>
      <c r="O866" s="208">
        <v>45495</v>
      </c>
    </row>
    <row r="867" spans="1:15" x14ac:dyDescent="0.3">
      <c r="A867" s="116" t="s">
        <v>82</v>
      </c>
      <c r="B867" s="394">
        <v>3000002892</v>
      </c>
      <c r="C867" s="117">
        <v>45495</v>
      </c>
      <c r="D867" s="116"/>
      <c r="E867" s="116" t="s">
        <v>33</v>
      </c>
      <c r="F867" s="118"/>
      <c r="G867" s="116"/>
      <c r="H867" s="141">
        <v>1</v>
      </c>
      <c r="I867" s="142">
        <v>2201.5</v>
      </c>
      <c r="J867" s="130">
        <f t="shared" si="200"/>
        <v>2201.5</v>
      </c>
      <c r="K867" s="130">
        <f t="shared" si="201"/>
        <v>2641.7999999999997</v>
      </c>
      <c r="L867" s="129">
        <v>2641.7999999999997</v>
      </c>
      <c r="M867" s="152">
        <v>45490</v>
      </c>
      <c r="N867" s="130">
        <f>+Table6[[#This Row],[стойност с ДДС]]-Table6[[#This Row],[плащане]]</f>
        <v>0</v>
      </c>
      <c r="O867" s="208">
        <v>45495</v>
      </c>
    </row>
    <row r="868" spans="1:15" x14ac:dyDescent="0.3">
      <c r="A868" s="97" t="s">
        <v>82</v>
      </c>
      <c r="B868" s="393">
        <v>3000002892</v>
      </c>
      <c r="C868" s="117">
        <v>45495</v>
      </c>
      <c r="D868" s="97"/>
      <c r="E868" s="116" t="s">
        <v>33</v>
      </c>
      <c r="F868" s="101"/>
      <c r="G868" s="97"/>
      <c r="H868" s="113">
        <v>1</v>
      </c>
      <c r="I868" s="114">
        <v>18.5</v>
      </c>
      <c r="J868" s="115">
        <f t="shared" si="200"/>
        <v>18.5</v>
      </c>
      <c r="K868" s="115">
        <f t="shared" si="201"/>
        <v>22.2</v>
      </c>
      <c r="L868" s="104">
        <v>22.2</v>
      </c>
      <c r="M868" s="107">
        <v>45490</v>
      </c>
      <c r="N868" s="115">
        <f>+Table6[[#This Row],[стойност с ДДС]]-Table6[[#This Row],[плащане]]</f>
        <v>0</v>
      </c>
      <c r="O868" s="208">
        <v>45495</v>
      </c>
    </row>
    <row r="869" spans="1:15" x14ac:dyDescent="0.3">
      <c r="A869" s="97" t="s">
        <v>82</v>
      </c>
      <c r="B869" s="393">
        <v>3000002892</v>
      </c>
      <c r="C869" s="117">
        <v>45495</v>
      </c>
      <c r="D869" s="97"/>
      <c r="E869" s="116" t="s">
        <v>33</v>
      </c>
      <c r="F869" s="101"/>
      <c r="G869" s="97"/>
      <c r="H869" s="113">
        <v>1</v>
      </c>
      <c r="I869" s="114">
        <v>19.350000000000001</v>
      </c>
      <c r="J869" s="115">
        <f t="shared" si="200"/>
        <v>19.350000000000001</v>
      </c>
      <c r="K869" s="115">
        <f t="shared" si="201"/>
        <v>23.220000000000002</v>
      </c>
      <c r="L869" s="104">
        <v>23.220000000000002</v>
      </c>
      <c r="M869" s="107">
        <v>45490</v>
      </c>
      <c r="N869" s="115">
        <f>+Table6[[#This Row],[стойност с ДДС]]-Table6[[#This Row],[плащане]]</f>
        <v>0</v>
      </c>
      <c r="O869" s="208">
        <v>45495</v>
      </c>
    </row>
    <row r="870" spans="1:15" x14ac:dyDescent="0.3">
      <c r="A870" s="116" t="s">
        <v>92</v>
      </c>
      <c r="B870" s="394">
        <v>3000002893</v>
      </c>
      <c r="C870" s="117">
        <v>45495</v>
      </c>
      <c r="D870" s="116"/>
      <c r="E870" s="116" t="s">
        <v>33</v>
      </c>
      <c r="F870" s="118"/>
      <c r="G870" s="116"/>
      <c r="H870" s="141">
        <v>1</v>
      </c>
      <c r="I870" s="142">
        <v>707.25</v>
      </c>
      <c r="J870" s="130">
        <f t="shared" si="200"/>
        <v>707.25</v>
      </c>
      <c r="K870" s="130">
        <f t="shared" si="201"/>
        <v>848.69999999999993</v>
      </c>
      <c r="L870" s="129">
        <v>848.69999999999993</v>
      </c>
      <c r="M870" s="152">
        <v>45490</v>
      </c>
      <c r="N870" s="130">
        <f>+Table6[[#This Row],[стойност с ДДС]]-Table6[[#This Row],[плащане]]</f>
        <v>0</v>
      </c>
      <c r="O870" s="208">
        <v>45495</v>
      </c>
    </row>
    <row r="871" spans="1:15" x14ac:dyDescent="0.3">
      <c r="A871" s="116" t="s">
        <v>62</v>
      </c>
      <c r="B871" s="394">
        <v>3000002894</v>
      </c>
      <c r="C871" s="117">
        <v>45495</v>
      </c>
      <c r="D871" s="116"/>
      <c r="E871" s="116" t="s">
        <v>53</v>
      </c>
      <c r="F871" s="118"/>
      <c r="G871" s="116"/>
      <c r="H871" s="141">
        <v>12706.207</v>
      </c>
      <c r="I871" s="142">
        <v>58.1</v>
      </c>
      <c r="J871" s="130">
        <f t="shared" si="200"/>
        <v>738230.63</v>
      </c>
      <c r="K871" s="130">
        <f t="shared" si="201"/>
        <v>885876.75599999994</v>
      </c>
      <c r="L871" s="129">
        <v>885876.75599999994</v>
      </c>
      <c r="M871" s="152">
        <v>45490</v>
      </c>
      <c r="N871" s="130">
        <f>+Table6[[#This Row],[стойност с ДДС]]-Table6[[#This Row],[плащане]]</f>
        <v>0</v>
      </c>
      <c r="O871" s="208">
        <v>45495</v>
      </c>
    </row>
    <row r="872" spans="1:15" x14ac:dyDescent="0.3">
      <c r="A872" s="116" t="s">
        <v>50</v>
      </c>
      <c r="B872" s="394">
        <v>3000002895</v>
      </c>
      <c r="C872" s="117">
        <v>45495</v>
      </c>
      <c r="D872" s="116"/>
      <c r="E872" s="116" t="s">
        <v>53</v>
      </c>
      <c r="F872" s="118"/>
      <c r="G872" s="116"/>
      <c r="H872" s="141">
        <v>2227.6590000000001</v>
      </c>
      <c r="I872" s="142">
        <v>58.1</v>
      </c>
      <c r="J872" s="130">
        <f t="shared" si="200"/>
        <v>129426.99</v>
      </c>
      <c r="K872" s="130">
        <f t="shared" si="201"/>
        <v>155312.38800000001</v>
      </c>
      <c r="L872" s="129">
        <v>155312.38800000001</v>
      </c>
      <c r="M872" s="152">
        <v>45491</v>
      </c>
      <c r="N872" s="130">
        <f>+Table6[[#This Row],[стойност с ДДС]]-Table6[[#This Row],[плащане]]</f>
        <v>0</v>
      </c>
      <c r="O872" s="208">
        <v>45495</v>
      </c>
    </row>
    <row r="873" spans="1:15" x14ac:dyDescent="0.3">
      <c r="A873" s="116" t="s">
        <v>64</v>
      </c>
      <c r="B873" s="394">
        <v>3000002896</v>
      </c>
      <c r="C873" s="117">
        <v>45495</v>
      </c>
      <c r="D873" s="116"/>
      <c r="E873" s="116" t="s">
        <v>53</v>
      </c>
      <c r="F873" s="118"/>
      <c r="G873" s="116"/>
      <c r="H873" s="141">
        <v>218.096</v>
      </c>
      <c r="I873" s="142">
        <v>58.1</v>
      </c>
      <c r="J873" s="130">
        <f t="shared" si="200"/>
        <v>12671.38</v>
      </c>
      <c r="K873" s="130">
        <f t="shared" si="201"/>
        <v>15205.655999999999</v>
      </c>
      <c r="L873" s="129">
        <v>15205.655999999999</v>
      </c>
      <c r="M873" s="152">
        <v>45491</v>
      </c>
      <c r="N873" s="130">
        <f>+Table6[[#This Row],[стойност с ДДС]]-Table6[[#This Row],[плащане]]</f>
        <v>0</v>
      </c>
      <c r="O873" s="208">
        <v>45495</v>
      </c>
    </row>
    <row r="874" spans="1:15" x14ac:dyDescent="0.3">
      <c r="A874" s="116" t="s">
        <v>64</v>
      </c>
      <c r="B874" s="394">
        <v>3000002896</v>
      </c>
      <c r="C874" s="117">
        <v>45495</v>
      </c>
      <c r="D874" s="116"/>
      <c r="E874" s="116" t="s">
        <v>53</v>
      </c>
      <c r="F874" s="118"/>
      <c r="G874" s="116"/>
      <c r="H874" s="141">
        <v>160.23099999999999</v>
      </c>
      <c r="I874" s="142">
        <v>58.1</v>
      </c>
      <c r="J874" s="130">
        <f t="shared" si="200"/>
        <v>9309.42</v>
      </c>
      <c r="K874" s="130">
        <f t="shared" si="201"/>
        <v>11171.304</v>
      </c>
      <c r="L874" s="129">
        <v>11171.304</v>
      </c>
      <c r="M874" s="152">
        <v>45491</v>
      </c>
      <c r="N874" s="130">
        <f>+Table6[[#This Row],[стойност с ДДС]]-Table6[[#This Row],[плащане]]</f>
        <v>0</v>
      </c>
      <c r="O874" s="208">
        <v>45495</v>
      </c>
    </row>
    <row r="875" spans="1:15" x14ac:dyDescent="0.3">
      <c r="A875" s="116" t="s">
        <v>67</v>
      </c>
      <c r="B875" s="394">
        <v>3000002897</v>
      </c>
      <c r="C875" s="117">
        <v>45495</v>
      </c>
      <c r="D875" s="116"/>
      <c r="E875" s="116" t="s">
        <v>53</v>
      </c>
      <c r="F875" s="118"/>
      <c r="G875" s="116"/>
      <c r="H875" s="141">
        <v>5634.1869999999999</v>
      </c>
      <c r="I875" s="142">
        <v>58.1</v>
      </c>
      <c r="J875" s="130">
        <f t="shared" si="200"/>
        <v>327346.26</v>
      </c>
      <c r="K875" s="130">
        <f t="shared" si="201"/>
        <v>392815.51199999999</v>
      </c>
      <c r="L875" s="129">
        <v>392815.51199999999</v>
      </c>
      <c r="M875" s="152">
        <v>45491</v>
      </c>
      <c r="N875" s="130">
        <f>+Table6[[#This Row],[стойност с ДДС]]-Table6[[#This Row],[плащане]]</f>
        <v>0</v>
      </c>
      <c r="O875" s="208">
        <v>45495</v>
      </c>
    </row>
    <row r="876" spans="1:15" x14ac:dyDescent="0.3">
      <c r="A876" s="116" t="s">
        <v>77</v>
      </c>
      <c r="B876" s="394">
        <v>3000002898</v>
      </c>
      <c r="C876" s="117">
        <v>45495</v>
      </c>
      <c r="D876" s="116"/>
      <c r="E876" s="116" t="s">
        <v>53</v>
      </c>
      <c r="F876" s="118"/>
      <c r="G876" s="116"/>
      <c r="H876" s="141">
        <v>4562.2120000000004</v>
      </c>
      <c r="I876" s="142">
        <v>58.1</v>
      </c>
      <c r="J876" s="130">
        <f t="shared" si="200"/>
        <v>265064.52</v>
      </c>
      <c r="K876" s="130">
        <f t="shared" si="201"/>
        <v>318077.424</v>
      </c>
      <c r="L876" s="129">
        <v>318077.424</v>
      </c>
      <c r="M876" s="152">
        <v>45491</v>
      </c>
      <c r="N876" s="130">
        <f>+Table6[[#This Row],[стойност с ДДС]]-Table6[[#This Row],[плащане]]</f>
        <v>0</v>
      </c>
      <c r="O876" s="208">
        <v>45495</v>
      </c>
    </row>
    <row r="877" spans="1:15" x14ac:dyDescent="0.3">
      <c r="A877" s="116" t="s">
        <v>83</v>
      </c>
      <c r="B877" s="394">
        <v>3000002899</v>
      </c>
      <c r="C877" s="117">
        <v>45495</v>
      </c>
      <c r="D877" s="116"/>
      <c r="E877" s="116" t="s">
        <v>53</v>
      </c>
      <c r="F877" s="118"/>
      <c r="G877" s="116"/>
      <c r="H877" s="141">
        <v>484.49700000000001</v>
      </c>
      <c r="I877" s="142">
        <v>58.1</v>
      </c>
      <c r="J877" s="130">
        <f t="shared" si="200"/>
        <v>28149.279999999999</v>
      </c>
      <c r="K877" s="130">
        <f t="shared" si="201"/>
        <v>33779.135999999999</v>
      </c>
      <c r="L877" s="129">
        <v>33779.135999999999</v>
      </c>
      <c r="M877" s="152">
        <v>45491</v>
      </c>
      <c r="N877" s="130">
        <f>+Table6[[#This Row],[стойност с ДДС]]-Table6[[#This Row],[плащане]]</f>
        <v>0</v>
      </c>
      <c r="O877" s="208">
        <v>45495</v>
      </c>
    </row>
    <row r="878" spans="1:15" x14ac:dyDescent="0.3">
      <c r="A878" s="116" t="s">
        <v>99</v>
      </c>
      <c r="B878" s="394">
        <v>3000002900</v>
      </c>
      <c r="C878" s="117">
        <v>45504</v>
      </c>
      <c r="D878" s="116"/>
      <c r="E878" s="116" t="s">
        <v>119</v>
      </c>
      <c r="F878" s="118"/>
      <c r="G878" s="116"/>
      <c r="H878" s="141">
        <v>365.80358999999999</v>
      </c>
      <c r="I878" s="142">
        <v>47.80359</v>
      </c>
      <c r="J878" s="130">
        <f>ROUND(+H878*I878,2)</f>
        <v>17486.72</v>
      </c>
      <c r="K878" s="130">
        <f>J878*1.2</f>
        <v>20984.064000000002</v>
      </c>
      <c r="L878" s="129">
        <v>20984.064000000002</v>
      </c>
      <c r="M878" s="152">
        <v>45504</v>
      </c>
      <c r="N878" s="130">
        <f>+Table6[[#This Row],[стойност с ДДС]]-Table6[[#This Row],[плащане]]</f>
        <v>0</v>
      </c>
      <c r="O878" s="208">
        <v>45509</v>
      </c>
    </row>
    <row r="879" spans="1:15" x14ac:dyDescent="0.3">
      <c r="A879" s="116" t="s">
        <v>117</v>
      </c>
      <c r="B879" s="394">
        <v>3000002901</v>
      </c>
      <c r="C879" s="117">
        <v>45504</v>
      </c>
      <c r="D879" s="116"/>
      <c r="E879" s="116" t="s">
        <v>36</v>
      </c>
      <c r="F879" s="118"/>
      <c r="G879" s="116"/>
      <c r="H879" s="141">
        <v>150</v>
      </c>
      <c r="I879" s="142">
        <v>155</v>
      </c>
      <c r="J879" s="130">
        <f>ROUND(+H879*I879,2)</f>
        <v>23250</v>
      </c>
      <c r="K879" s="130">
        <v>23250</v>
      </c>
      <c r="L879" s="129">
        <v>23250</v>
      </c>
      <c r="M879" s="152">
        <v>45504</v>
      </c>
      <c r="N879" s="130">
        <f>+Table6[[#This Row],[стойност с ДДС]]-Table6[[#This Row],[плащане]]</f>
        <v>0</v>
      </c>
      <c r="O879" s="208">
        <v>45509</v>
      </c>
    </row>
    <row r="880" spans="1:15" x14ac:dyDescent="0.3">
      <c r="A880" s="116" t="s">
        <v>50</v>
      </c>
      <c r="B880" s="394">
        <v>3000002902</v>
      </c>
      <c r="C880" s="117">
        <v>45504</v>
      </c>
      <c r="D880" s="116"/>
      <c r="E880" s="116" t="s">
        <v>53</v>
      </c>
      <c r="F880" s="118"/>
      <c r="G880" s="116"/>
      <c r="H880" s="141">
        <v>1</v>
      </c>
      <c r="I880" s="142">
        <v>20635.29</v>
      </c>
      <c r="J880" s="130">
        <f>ROUND(+H880*I880,2)</f>
        <v>20635.29</v>
      </c>
      <c r="K880" s="130">
        <f>J880*1.2</f>
        <v>24762.348000000002</v>
      </c>
      <c r="L880" s="129"/>
      <c r="M880" s="152"/>
      <c r="N880" s="130">
        <f>+Table6[[#This Row],[стойност с ДДС]]-Table6[[#This Row],[плащане]]</f>
        <v>24762.348000000002</v>
      </c>
      <c r="O880" s="208">
        <v>45509</v>
      </c>
    </row>
    <row r="881" spans="1:15" x14ac:dyDescent="0.3">
      <c r="A881" s="97" t="s">
        <v>50</v>
      </c>
      <c r="B881" s="393">
        <v>3000002902</v>
      </c>
      <c r="C881" s="110">
        <v>45504</v>
      </c>
      <c r="D881" s="97"/>
      <c r="E881" s="97" t="s">
        <v>53</v>
      </c>
      <c r="F881" s="101"/>
      <c r="G881" s="97"/>
      <c r="H881" s="113">
        <v>2047.739</v>
      </c>
      <c r="I881" s="114">
        <v>58.1</v>
      </c>
      <c r="J881" s="115">
        <f>ROUND(+H881*I881,2)</f>
        <v>118973.64</v>
      </c>
      <c r="K881" s="115">
        <f>J881*1.2</f>
        <v>142768.36799999999</v>
      </c>
      <c r="L881" s="104"/>
      <c r="M881" s="107"/>
      <c r="N881" s="115">
        <f>+Table6[[#This Row],[стойност с ДДС]]-Table6[[#This Row],[плащане]]</f>
        <v>142768.36799999999</v>
      </c>
      <c r="O881" s="208">
        <v>45509</v>
      </c>
    </row>
    <row r="882" spans="1:15" x14ac:dyDescent="0.3">
      <c r="A882" s="97" t="s">
        <v>50</v>
      </c>
      <c r="B882" s="393">
        <v>3000002902</v>
      </c>
      <c r="C882" s="110">
        <v>45504</v>
      </c>
      <c r="D882" s="97"/>
      <c r="E882" s="97" t="s">
        <v>120</v>
      </c>
      <c r="F882" s="101"/>
      <c r="G882" s="97"/>
      <c r="H882" s="113">
        <v>41</v>
      </c>
      <c r="I882" s="114">
        <v>3.2909999999999999</v>
      </c>
      <c r="J882" s="115">
        <f t="shared" ref="J882:J885" si="202">ROUND(+H882*I882,2)</f>
        <v>134.93</v>
      </c>
      <c r="K882" s="115">
        <f t="shared" ref="K882:K885" si="203">J882*1.2</f>
        <v>161.916</v>
      </c>
      <c r="L882" s="104"/>
      <c r="M882" s="107"/>
      <c r="N882" s="115">
        <f>+Table6[[#This Row],[стойност с ДДС]]-Table6[[#This Row],[плащане]]</f>
        <v>161.916</v>
      </c>
      <c r="O882" s="208">
        <v>45509</v>
      </c>
    </row>
    <row r="883" spans="1:15" x14ac:dyDescent="0.3">
      <c r="A883" s="97" t="s">
        <v>50</v>
      </c>
      <c r="B883" s="393">
        <v>3000002902</v>
      </c>
      <c r="C883" s="110">
        <v>45504</v>
      </c>
      <c r="D883" s="97"/>
      <c r="E883" s="97" t="s">
        <v>58</v>
      </c>
      <c r="F883" s="101"/>
      <c r="G883" s="97"/>
      <c r="H883" s="113">
        <v>4275.3980000000001</v>
      </c>
      <c r="I883" s="114">
        <v>1.0194000000000001</v>
      </c>
      <c r="J883" s="115">
        <f t="shared" si="202"/>
        <v>4358.34</v>
      </c>
      <c r="K883" s="115">
        <f t="shared" si="203"/>
        <v>5230.0079999999998</v>
      </c>
      <c r="L883" s="104"/>
      <c r="M883" s="107"/>
      <c r="N883" s="115">
        <f>+Table6[[#This Row],[стойност с ДДС]]-Table6[[#This Row],[плащане]]</f>
        <v>5230.0079999999998</v>
      </c>
      <c r="O883" s="208">
        <v>45509</v>
      </c>
    </row>
    <row r="884" spans="1:15" x14ac:dyDescent="0.3">
      <c r="A884" s="97" t="s">
        <v>50</v>
      </c>
      <c r="B884" s="393">
        <v>3000002902</v>
      </c>
      <c r="C884" s="110">
        <v>45504</v>
      </c>
      <c r="D884" s="97"/>
      <c r="E884" s="97" t="s">
        <v>59</v>
      </c>
      <c r="F884" s="101"/>
      <c r="G884" s="97"/>
      <c r="H884" s="113">
        <v>15391.433000000001</v>
      </c>
      <c r="I884" s="114">
        <v>0</v>
      </c>
      <c r="J884" s="115">
        <f t="shared" si="202"/>
        <v>0</v>
      </c>
      <c r="K884" s="115">
        <f t="shared" si="203"/>
        <v>0</v>
      </c>
      <c r="L884" s="104"/>
      <c r="M884" s="107"/>
      <c r="N884" s="115">
        <f>+Table6[[#This Row],[стойност с ДДС]]-Table6[[#This Row],[плащане]]</f>
        <v>0</v>
      </c>
      <c r="O884" s="208">
        <v>45509</v>
      </c>
    </row>
    <row r="885" spans="1:15" x14ac:dyDescent="0.3">
      <c r="A885" s="97" t="s">
        <v>64</v>
      </c>
      <c r="B885" s="393">
        <v>3000002903</v>
      </c>
      <c r="C885" s="110">
        <v>45504</v>
      </c>
      <c r="D885" s="97"/>
      <c r="E885" s="97" t="s">
        <v>53</v>
      </c>
      <c r="F885" s="101"/>
      <c r="G885" s="97"/>
      <c r="H885" s="113">
        <v>1</v>
      </c>
      <c r="I885" s="114">
        <v>12698.64</v>
      </c>
      <c r="J885" s="115">
        <f t="shared" si="202"/>
        <v>12698.64</v>
      </c>
      <c r="K885" s="115">
        <f t="shared" si="203"/>
        <v>15238.367999999999</v>
      </c>
      <c r="L885" s="104"/>
      <c r="M885" s="107"/>
      <c r="N885" s="115">
        <f>+Table6[[#This Row],[стойност с ДДС]]-Table6[[#This Row],[плащане]]</f>
        <v>15238.367999999999</v>
      </c>
      <c r="O885" s="208">
        <v>45509</v>
      </c>
    </row>
    <row r="886" spans="1:15" x14ac:dyDescent="0.3">
      <c r="A886" s="97" t="s">
        <v>64</v>
      </c>
      <c r="B886" s="393">
        <v>3000002903</v>
      </c>
      <c r="C886" s="110">
        <v>45504</v>
      </c>
      <c r="D886" s="97"/>
      <c r="E886" s="97" t="s">
        <v>53</v>
      </c>
      <c r="F886" s="101"/>
      <c r="G886" s="97"/>
      <c r="H886" s="113">
        <v>148.893</v>
      </c>
      <c r="I886" s="114">
        <v>58.1</v>
      </c>
      <c r="J886" s="115">
        <f t="shared" ref="J886:J891" si="204">ROUND(+H886*I886,2)</f>
        <v>8650.68</v>
      </c>
      <c r="K886" s="115">
        <f t="shared" ref="K886:K891" si="205">J886*1.2</f>
        <v>10380.816000000001</v>
      </c>
      <c r="L886" s="104"/>
      <c r="M886" s="107"/>
      <c r="N886" s="115">
        <f>+Table6[[#This Row],[стойност с ДДС]]-Table6[[#This Row],[плащане]]</f>
        <v>10380.816000000001</v>
      </c>
      <c r="O886" s="208">
        <v>45509</v>
      </c>
    </row>
    <row r="887" spans="1:15" x14ac:dyDescent="0.3">
      <c r="A887" s="97" t="s">
        <v>64</v>
      </c>
      <c r="B887" s="393">
        <v>3000002903</v>
      </c>
      <c r="C887" s="110">
        <v>45504</v>
      </c>
      <c r="D887" s="97"/>
      <c r="E887" s="97" t="s">
        <v>53</v>
      </c>
      <c r="F887" s="101"/>
      <c r="G887" s="97"/>
      <c r="H887" s="113">
        <v>80</v>
      </c>
      <c r="I887" s="114">
        <v>58.1</v>
      </c>
      <c r="J887" s="115">
        <f t="shared" si="204"/>
        <v>4648</v>
      </c>
      <c r="K887" s="115">
        <f t="shared" si="205"/>
        <v>5577.5999999999995</v>
      </c>
      <c r="L887" s="104"/>
      <c r="M887" s="107"/>
      <c r="N887" s="115">
        <f>+Table6[[#This Row],[стойност с ДДС]]-Table6[[#This Row],[плащане]]</f>
        <v>5577.5999999999995</v>
      </c>
      <c r="O887" s="208">
        <v>45509</v>
      </c>
    </row>
    <row r="888" spans="1:15" x14ac:dyDescent="0.3">
      <c r="A888" s="97" t="s">
        <v>64</v>
      </c>
      <c r="B888" s="393">
        <v>3000002903</v>
      </c>
      <c r="C888" s="110">
        <v>45504</v>
      </c>
      <c r="D888" s="97"/>
      <c r="E888" s="97" t="s">
        <v>57</v>
      </c>
      <c r="F888" s="101"/>
      <c r="G888" s="97"/>
      <c r="H888" s="113">
        <v>20</v>
      </c>
      <c r="I888" s="114">
        <v>2.6328</v>
      </c>
      <c r="J888" s="115">
        <f t="shared" si="204"/>
        <v>52.66</v>
      </c>
      <c r="K888" s="115">
        <f t="shared" si="205"/>
        <v>63.191999999999993</v>
      </c>
      <c r="L888" s="104"/>
      <c r="M888" s="107"/>
      <c r="N888" s="115">
        <f>+Table6[[#This Row],[стойност с ДДС]]-Table6[[#This Row],[плащане]]</f>
        <v>63.191999999999993</v>
      </c>
      <c r="O888" s="208">
        <v>45509</v>
      </c>
    </row>
    <row r="889" spans="1:15" x14ac:dyDescent="0.3">
      <c r="A889" s="97" t="s">
        <v>64</v>
      </c>
      <c r="B889" s="393">
        <v>3000002903</v>
      </c>
      <c r="C889" s="110">
        <v>45504</v>
      </c>
      <c r="D889" s="97"/>
      <c r="E889" s="97" t="s">
        <v>58</v>
      </c>
      <c r="F889" s="101"/>
      <c r="G889" s="97"/>
      <c r="H889" s="113">
        <v>604.22</v>
      </c>
      <c r="I889" s="114">
        <v>1.0194000000000001</v>
      </c>
      <c r="J889" s="115">
        <f t="shared" si="204"/>
        <v>615.94000000000005</v>
      </c>
      <c r="K889" s="115">
        <f t="shared" si="205"/>
        <v>739.12800000000004</v>
      </c>
      <c r="L889" s="104"/>
      <c r="M889" s="107"/>
      <c r="N889" s="115">
        <f>+Table6[[#This Row],[стойност с ДДС]]-Table6[[#This Row],[плащане]]</f>
        <v>739.12800000000004</v>
      </c>
      <c r="O889" s="208">
        <v>45509</v>
      </c>
    </row>
    <row r="890" spans="1:15" x14ac:dyDescent="0.3">
      <c r="A890" s="97" t="s">
        <v>64</v>
      </c>
      <c r="B890" s="393">
        <v>3000002903</v>
      </c>
      <c r="C890" s="110">
        <v>45504</v>
      </c>
      <c r="D890" s="97"/>
      <c r="E890" s="97" t="s">
        <v>59</v>
      </c>
      <c r="F890" s="101"/>
      <c r="G890" s="97"/>
      <c r="H890" s="113">
        <v>67.694000000000003</v>
      </c>
      <c r="I890" s="114">
        <v>0.6</v>
      </c>
      <c r="J890" s="115">
        <f t="shared" si="204"/>
        <v>40.619999999999997</v>
      </c>
      <c r="K890" s="115">
        <f t="shared" si="205"/>
        <v>48.743999999999993</v>
      </c>
      <c r="L890" s="104"/>
      <c r="M890" s="107"/>
      <c r="N890" s="115">
        <f>+Table6[[#This Row],[стойност с ДДС]]-Table6[[#This Row],[плащане]]</f>
        <v>48.743999999999993</v>
      </c>
      <c r="O890" s="208">
        <v>45509</v>
      </c>
    </row>
    <row r="891" spans="1:15" x14ac:dyDescent="0.3">
      <c r="A891" s="116" t="s">
        <v>64</v>
      </c>
      <c r="B891" s="394">
        <v>3000002903</v>
      </c>
      <c r="C891" s="117">
        <v>45504</v>
      </c>
      <c r="D891" s="116"/>
      <c r="E891" s="116" t="s">
        <v>59</v>
      </c>
      <c r="F891" s="118"/>
      <c r="G891" s="116"/>
      <c r="H891" s="141">
        <v>2118.2979999999998</v>
      </c>
      <c r="I891" s="142">
        <v>0</v>
      </c>
      <c r="J891" s="130">
        <f t="shared" si="204"/>
        <v>0</v>
      </c>
      <c r="K891" s="130">
        <f t="shared" si="205"/>
        <v>0</v>
      </c>
      <c r="L891" s="129"/>
      <c r="M891" s="152"/>
      <c r="N891" s="130">
        <f>+Table6[[#This Row],[стойност с ДДС]]-Table6[[#This Row],[плащане]]</f>
        <v>0</v>
      </c>
      <c r="O891" s="208">
        <v>45509</v>
      </c>
    </row>
    <row r="892" spans="1:15" x14ac:dyDescent="0.3">
      <c r="A892" s="116" t="s">
        <v>62</v>
      </c>
      <c r="B892" s="394">
        <v>3000002904</v>
      </c>
      <c r="C892" s="110">
        <v>45504</v>
      </c>
      <c r="D892" s="116"/>
      <c r="E892" s="97" t="s">
        <v>53</v>
      </c>
      <c r="F892" s="118"/>
      <c r="G892" s="116"/>
      <c r="H892" s="141">
        <v>1</v>
      </c>
      <c r="I892" s="142">
        <v>61905.87</v>
      </c>
      <c r="J892" s="130">
        <f>ROUND(+H892*I892,2)</f>
        <v>61905.87</v>
      </c>
      <c r="K892" s="130">
        <f>J892*1.2</f>
        <v>74287.043999999994</v>
      </c>
      <c r="L892" s="129"/>
      <c r="M892" s="152"/>
      <c r="N892" s="130">
        <f>+Table6[[#This Row],[стойност с ДДС]]-Table6[[#This Row],[плащане]]</f>
        <v>74287.043999999994</v>
      </c>
      <c r="O892" s="208">
        <v>45509</v>
      </c>
    </row>
    <row r="893" spans="1:15" x14ac:dyDescent="0.3">
      <c r="A893" s="97" t="s">
        <v>62</v>
      </c>
      <c r="B893" s="393">
        <v>3000002904</v>
      </c>
      <c r="C893" s="110">
        <v>45504</v>
      </c>
      <c r="D893" s="97"/>
      <c r="E893" s="97" t="s">
        <v>53</v>
      </c>
      <c r="F893" s="101"/>
      <c r="G893" s="97"/>
      <c r="H893" s="113">
        <v>7109.7709999999997</v>
      </c>
      <c r="I893" s="114">
        <v>58.1</v>
      </c>
      <c r="J893" s="115">
        <f t="shared" ref="J893:J898" si="206">ROUND(+H893*I893,2)</f>
        <v>413077.7</v>
      </c>
      <c r="K893" s="115">
        <f t="shared" ref="K893:K898" si="207">J893*1.2</f>
        <v>495693.24</v>
      </c>
      <c r="L893" s="104"/>
      <c r="M893" s="107"/>
      <c r="N893" s="115">
        <f>+Table6[[#This Row],[стойност с ДДС]]-Table6[[#This Row],[плащане]]</f>
        <v>495693.24</v>
      </c>
      <c r="O893" s="208">
        <v>45509</v>
      </c>
    </row>
    <row r="894" spans="1:15" x14ac:dyDescent="0.3">
      <c r="A894" s="97" t="s">
        <v>62</v>
      </c>
      <c r="B894" s="393">
        <v>3000002904</v>
      </c>
      <c r="C894" s="110">
        <v>45504</v>
      </c>
      <c r="D894" s="97"/>
      <c r="E894" s="97" t="s">
        <v>120</v>
      </c>
      <c r="F894" s="101"/>
      <c r="G894" s="97"/>
      <c r="H894" s="113">
        <v>2395</v>
      </c>
      <c r="I894" s="114">
        <v>3.2909999999999999</v>
      </c>
      <c r="J894" s="115">
        <f t="shared" si="206"/>
        <v>7881.95</v>
      </c>
      <c r="K894" s="115">
        <f t="shared" si="207"/>
        <v>9458.34</v>
      </c>
      <c r="L894" s="104"/>
      <c r="M894" s="107"/>
      <c r="N894" s="115">
        <f>+Table6[[#This Row],[стойност с ДДС]]-Table6[[#This Row],[плащане]]</f>
        <v>9458.34</v>
      </c>
      <c r="O894" s="208">
        <v>45509</v>
      </c>
    </row>
    <row r="895" spans="1:15" x14ac:dyDescent="0.3">
      <c r="A895" s="97" t="s">
        <v>62</v>
      </c>
      <c r="B895" s="393">
        <v>3000002904</v>
      </c>
      <c r="C895" s="110">
        <v>45504</v>
      </c>
      <c r="D895" s="97"/>
      <c r="E895" s="97" t="s">
        <v>57</v>
      </c>
      <c r="F895" s="101"/>
      <c r="G895" s="97"/>
      <c r="H895" s="113">
        <v>9035</v>
      </c>
      <c r="I895" s="114">
        <v>2.6328</v>
      </c>
      <c r="J895" s="115">
        <f t="shared" si="206"/>
        <v>23787.35</v>
      </c>
      <c r="K895" s="115">
        <f t="shared" si="207"/>
        <v>28544.819999999996</v>
      </c>
      <c r="L895" s="104"/>
      <c r="M895" s="107"/>
      <c r="N895" s="115">
        <f>+Table6[[#This Row],[стойност с ДДС]]-Table6[[#This Row],[плащане]]</f>
        <v>28544.819999999996</v>
      </c>
      <c r="O895" s="208">
        <v>45509</v>
      </c>
    </row>
    <row r="896" spans="1:15" x14ac:dyDescent="0.3">
      <c r="A896" s="97" t="s">
        <v>62</v>
      </c>
      <c r="B896" s="393">
        <v>3000002904</v>
      </c>
      <c r="C896" s="110">
        <v>45504</v>
      </c>
      <c r="D896" s="97"/>
      <c r="E896" s="97" t="s">
        <v>56</v>
      </c>
      <c r="F896" s="101"/>
      <c r="G896" s="97"/>
      <c r="H896" s="113">
        <v>77.168000000000006</v>
      </c>
      <c r="I896" s="114">
        <v>8.3582999999999998</v>
      </c>
      <c r="J896" s="115">
        <f t="shared" si="206"/>
        <v>644.99</v>
      </c>
      <c r="K896" s="115">
        <f t="shared" si="207"/>
        <v>773.98799999999994</v>
      </c>
      <c r="L896" s="104"/>
      <c r="M896" s="107"/>
      <c r="N896" s="115">
        <f>+Table6[[#This Row],[стойност с ДДС]]-Table6[[#This Row],[плащане]]</f>
        <v>773.98799999999994</v>
      </c>
      <c r="O896" s="208">
        <v>45509</v>
      </c>
    </row>
    <row r="897" spans="1:15" x14ac:dyDescent="0.3">
      <c r="A897" s="97" t="s">
        <v>62</v>
      </c>
      <c r="B897" s="393">
        <v>3000002904</v>
      </c>
      <c r="C897" s="110">
        <v>45504</v>
      </c>
      <c r="D897" s="97"/>
      <c r="E897" s="97" t="s">
        <v>58</v>
      </c>
      <c r="F897" s="101"/>
      <c r="G897" s="97"/>
      <c r="H897" s="113">
        <v>19815.977999999999</v>
      </c>
      <c r="I897" s="114">
        <v>1.0194000000000001</v>
      </c>
      <c r="J897" s="115">
        <f t="shared" si="206"/>
        <v>20200.41</v>
      </c>
      <c r="K897" s="115">
        <f t="shared" si="207"/>
        <v>24240.491999999998</v>
      </c>
      <c r="L897" s="104"/>
      <c r="M897" s="107"/>
      <c r="N897" s="115">
        <f>+Table6[[#This Row],[стойност с ДДС]]-Table6[[#This Row],[плащане]]</f>
        <v>24240.491999999998</v>
      </c>
      <c r="O897" s="208">
        <v>45509</v>
      </c>
    </row>
    <row r="898" spans="1:15" x14ac:dyDescent="0.3">
      <c r="A898" s="116" t="s">
        <v>62</v>
      </c>
      <c r="B898" s="394">
        <v>3000002904</v>
      </c>
      <c r="C898" s="117">
        <v>45504</v>
      </c>
      <c r="D898" s="116"/>
      <c r="E898" s="116" t="s">
        <v>59</v>
      </c>
      <c r="F898" s="118"/>
      <c r="G898" s="116"/>
      <c r="H898" s="141">
        <v>71337.520999999993</v>
      </c>
      <c r="I898" s="142">
        <v>0</v>
      </c>
      <c r="J898" s="130">
        <f t="shared" si="206"/>
        <v>0</v>
      </c>
      <c r="K898" s="130">
        <f t="shared" si="207"/>
        <v>0</v>
      </c>
      <c r="L898" s="129"/>
      <c r="M898" s="152"/>
      <c r="N898" s="130">
        <f>+Table6[[#This Row],[стойност с ДДС]]-Table6[[#This Row],[плащане]]</f>
        <v>0</v>
      </c>
      <c r="O898" s="208">
        <v>45509</v>
      </c>
    </row>
    <row r="899" spans="1:15" x14ac:dyDescent="0.3">
      <c r="A899" s="116" t="s">
        <v>67</v>
      </c>
      <c r="B899" s="394">
        <v>3000002905</v>
      </c>
      <c r="C899" s="110">
        <v>45504</v>
      </c>
      <c r="D899" s="116"/>
      <c r="E899" s="116" t="s">
        <v>53</v>
      </c>
      <c r="F899" s="118"/>
      <c r="G899" s="116"/>
      <c r="H899" s="141">
        <v>1</v>
      </c>
      <c r="I899" s="142">
        <v>25397.279999999999</v>
      </c>
      <c r="J899" s="130">
        <f>ROUND(+H899*I899,2)</f>
        <v>25397.279999999999</v>
      </c>
      <c r="K899" s="130">
        <f>J899*1.2</f>
        <v>30476.735999999997</v>
      </c>
      <c r="L899" s="129"/>
      <c r="M899" s="152"/>
      <c r="N899" s="130">
        <f>+Table6[[#This Row],[стойност с ДДС]]-Table6[[#This Row],[плащане]]</f>
        <v>30476.735999999997</v>
      </c>
      <c r="O899" s="208">
        <v>45509</v>
      </c>
    </row>
    <row r="900" spans="1:15" x14ac:dyDescent="0.3">
      <c r="A900" s="97" t="s">
        <v>67</v>
      </c>
      <c r="B900" s="393">
        <v>3000002905</v>
      </c>
      <c r="C900" s="110">
        <v>45504</v>
      </c>
      <c r="D900" s="97"/>
      <c r="E900" s="97" t="s">
        <v>53</v>
      </c>
      <c r="F900" s="101"/>
      <c r="G900" s="97"/>
      <c r="H900" s="113">
        <v>3014.4369999999999</v>
      </c>
      <c r="I900" s="114">
        <v>58.1</v>
      </c>
      <c r="J900" s="115">
        <f t="shared" ref="J900:J905" si="208">ROUND(+H900*I900,2)</f>
        <v>175138.79</v>
      </c>
      <c r="K900" s="115">
        <f t="shared" ref="K900:K905" si="209">J900*1.2</f>
        <v>210166.54800000001</v>
      </c>
      <c r="L900" s="104"/>
      <c r="M900" s="107"/>
      <c r="N900" s="115">
        <f>+Table6[[#This Row],[стойност с ДДС]]-Table6[[#This Row],[плащане]]</f>
        <v>210166.54800000001</v>
      </c>
      <c r="O900" s="208">
        <v>45509</v>
      </c>
    </row>
    <row r="901" spans="1:15" x14ac:dyDescent="0.3">
      <c r="A901" s="97" t="s">
        <v>67</v>
      </c>
      <c r="B901" s="393">
        <v>3000002905</v>
      </c>
      <c r="C901" s="110">
        <v>45504</v>
      </c>
      <c r="D901" s="97"/>
      <c r="E901" s="97" t="s">
        <v>120</v>
      </c>
      <c r="F901" s="101"/>
      <c r="G901" s="97"/>
      <c r="H901" s="113">
        <v>978.86300000000006</v>
      </c>
      <c r="I901" s="114">
        <v>3.2909999999999999</v>
      </c>
      <c r="J901" s="115">
        <f t="shared" si="208"/>
        <v>3221.44</v>
      </c>
      <c r="K901" s="115">
        <f t="shared" si="209"/>
        <v>3865.7280000000001</v>
      </c>
      <c r="L901" s="104"/>
      <c r="M901" s="107"/>
      <c r="N901" s="115">
        <f>+Table6[[#This Row],[стойност с ДДС]]-Table6[[#This Row],[плащане]]</f>
        <v>3865.7280000000001</v>
      </c>
      <c r="O901" s="208">
        <v>45509</v>
      </c>
    </row>
    <row r="902" spans="1:15" x14ac:dyDescent="0.3">
      <c r="A902" s="97" t="s">
        <v>67</v>
      </c>
      <c r="B902" s="393">
        <v>3000002905</v>
      </c>
      <c r="C902" s="110">
        <v>45504</v>
      </c>
      <c r="D902" s="97"/>
      <c r="E902" s="97" t="s">
        <v>57</v>
      </c>
      <c r="F902" s="101"/>
      <c r="G902" s="97"/>
      <c r="H902" s="113">
        <v>8165</v>
      </c>
      <c r="I902" s="114">
        <v>2.6328</v>
      </c>
      <c r="J902" s="115">
        <f t="shared" si="208"/>
        <v>21496.81</v>
      </c>
      <c r="K902" s="115">
        <f t="shared" si="209"/>
        <v>25796.172000000002</v>
      </c>
      <c r="L902" s="104"/>
      <c r="M902" s="107"/>
      <c r="N902" s="115">
        <f>+Table6[[#This Row],[стойност с ДДС]]-Table6[[#This Row],[плащане]]</f>
        <v>25796.172000000002</v>
      </c>
      <c r="O902" s="208">
        <v>45509</v>
      </c>
    </row>
    <row r="903" spans="1:15" x14ac:dyDescent="0.3">
      <c r="A903" s="97" t="s">
        <v>67</v>
      </c>
      <c r="B903" s="393">
        <v>3000002905</v>
      </c>
      <c r="C903" s="110">
        <v>45504</v>
      </c>
      <c r="D903" s="97"/>
      <c r="E903" s="97" t="s">
        <v>56</v>
      </c>
      <c r="F903" s="101"/>
      <c r="G903" s="97"/>
      <c r="H903" s="113">
        <v>126.035</v>
      </c>
      <c r="I903" s="114">
        <v>8.3582999999999998</v>
      </c>
      <c r="J903" s="115">
        <f t="shared" si="208"/>
        <v>1053.44</v>
      </c>
      <c r="K903" s="115">
        <f t="shared" si="209"/>
        <v>1264.1279999999999</v>
      </c>
      <c r="L903" s="104"/>
      <c r="M903" s="107"/>
      <c r="N903" s="115">
        <f>+Table6[[#This Row],[стойност с ДДС]]-Table6[[#This Row],[плащане]]</f>
        <v>1264.1279999999999</v>
      </c>
      <c r="O903" s="208">
        <v>45509</v>
      </c>
    </row>
    <row r="904" spans="1:15" x14ac:dyDescent="0.3">
      <c r="A904" s="97" t="s">
        <v>67</v>
      </c>
      <c r="B904" s="393">
        <v>3000002905</v>
      </c>
      <c r="C904" s="110">
        <v>45504</v>
      </c>
      <c r="D904" s="97"/>
      <c r="E904" s="97" t="s">
        <v>58</v>
      </c>
      <c r="F904" s="101"/>
      <c r="G904" s="97"/>
      <c r="H904" s="113">
        <v>8648.6239999999998</v>
      </c>
      <c r="I904" s="114">
        <v>1.0194000000000001</v>
      </c>
      <c r="J904" s="115">
        <f t="shared" si="208"/>
        <v>8816.41</v>
      </c>
      <c r="K904" s="115">
        <f t="shared" si="209"/>
        <v>10579.691999999999</v>
      </c>
      <c r="L904" s="104"/>
      <c r="M904" s="107"/>
      <c r="N904" s="115">
        <f>+Table6[[#This Row],[стойност с ДДС]]-Table6[[#This Row],[плащане]]</f>
        <v>10579.691999999999</v>
      </c>
      <c r="O904" s="208">
        <v>45509</v>
      </c>
    </row>
    <row r="905" spans="1:15" x14ac:dyDescent="0.3">
      <c r="A905" s="116" t="s">
        <v>67</v>
      </c>
      <c r="B905" s="394">
        <v>3000002905</v>
      </c>
      <c r="C905" s="117">
        <v>45504</v>
      </c>
      <c r="D905" s="116"/>
      <c r="E905" s="116" t="s">
        <v>59</v>
      </c>
      <c r="F905" s="118"/>
      <c r="G905" s="116"/>
      <c r="H905" s="141">
        <v>31135.045999999998</v>
      </c>
      <c r="I905" s="142">
        <v>0</v>
      </c>
      <c r="J905" s="130">
        <f t="shared" si="208"/>
        <v>0</v>
      </c>
      <c r="K905" s="130">
        <f t="shared" si="209"/>
        <v>0</v>
      </c>
      <c r="L905" s="129"/>
      <c r="M905" s="152"/>
      <c r="N905" s="130">
        <f>+Table6[[#This Row],[стойност с ДДС]]-Table6[[#This Row],[плащане]]</f>
        <v>0</v>
      </c>
      <c r="O905" s="208">
        <v>45509</v>
      </c>
    </row>
    <row r="906" spans="1:15" x14ac:dyDescent="0.3">
      <c r="A906" s="116" t="s">
        <v>83</v>
      </c>
      <c r="B906" s="394">
        <v>3000002906</v>
      </c>
      <c r="C906" s="110">
        <v>45504</v>
      </c>
      <c r="D906" s="116"/>
      <c r="E906" s="116" t="s">
        <v>53</v>
      </c>
      <c r="F906" s="118"/>
      <c r="G906" s="116"/>
      <c r="H906" s="141">
        <v>1</v>
      </c>
      <c r="I906" s="142">
        <v>4761.99</v>
      </c>
      <c r="J906" s="130">
        <f>ROUND(+H906*I906,2)</f>
        <v>4761.99</v>
      </c>
      <c r="K906" s="130">
        <f>J906*1.2</f>
        <v>5714.3879999999999</v>
      </c>
      <c r="L906" s="129"/>
      <c r="M906" s="152"/>
      <c r="N906" s="130">
        <f>+Table6[[#This Row],[стойност с ДДС]]-Table6[[#This Row],[плащане]]</f>
        <v>5714.3879999999999</v>
      </c>
      <c r="O906" s="208">
        <v>45509</v>
      </c>
    </row>
    <row r="907" spans="1:15" x14ac:dyDescent="0.3">
      <c r="A907" s="97" t="s">
        <v>83</v>
      </c>
      <c r="B907" s="393">
        <v>3000002906</v>
      </c>
      <c r="C907" s="110">
        <v>45504</v>
      </c>
      <c r="D907" s="97"/>
      <c r="E907" s="97" t="s">
        <v>53</v>
      </c>
      <c r="F907" s="101"/>
      <c r="G907" s="97"/>
      <c r="H907" s="113">
        <v>244</v>
      </c>
      <c r="I907" s="114">
        <v>58.1</v>
      </c>
      <c r="J907" s="115">
        <f t="shared" ref="J907:J911" si="210">ROUND(+H907*I907,2)</f>
        <v>14176.4</v>
      </c>
      <c r="K907" s="115">
        <f t="shared" ref="K907:K911" si="211">J907*1.2</f>
        <v>17011.68</v>
      </c>
      <c r="L907" s="104"/>
      <c r="M907" s="107"/>
      <c r="N907" s="115">
        <f>+Table6[[#This Row],[стойност с ДДС]]-Table6[[#This Row],[плащане]]</f>
        <v>17011.68</v>
      </c>
      <c r="O907" s="208">
        <v>45509</v>
      </c>
    </row>
    <row r="908" spans="1:15" x14ac:dyDescent="0.3">
      <c r="A908" s="97" t="s">
        <v>83</v>
      </c>
      <c r="B908" s="393">
        <v>3000002906</v>
      </c>
      <c r="C908" s="110">
        <v>45504</v>
      </c>
      <c r="D908" s="97"/>
      <c r="E908" s="97" t="s">
        <v>120</v>
      </c>
      <c r="F908" s="101"/>
      <c r="G908" s="97"/>
      <c r="H908" s="113">
        <v>152.00200000000001</v>
      </c>
      <c r="I908" s="114">
        <v>3.2909999999999999</v>
      </c>
      <c r="J908" s="115">
        <f t="shared" si="210"/>
        <v>500.24</v>
      </c>
      <c r="K908" s="115">
        <f t="shared" si="211"/>
        <v>600.28800000000001</v>
      </c>
      <c r="L908" s="104"/>
      <c r="M908" s="107"/>
      <c r="N908" s="115">
        <f>+Table6[[#This Row],[стойност с ДДС]]-Table6[[#This Row],[плащане]]</f>
        <v>600.28800000000001</v>
      </c>
      <c r="O908" s="208">
        <v>45509</v>
      </c>
    </row>
    <row r="909" spans="1:15" x14ac:dyDescent="0.3">
      <c r="A909" s="97" t="s">
        <v>83</v>
      </c>
      <c r="B909" s="393">
        <v>3000002906</v>
      </c>
      <c r="C909" s="110">
        <v>45504</v>
      </c>
      <c r="D909" s="97"/>
      <c r="E909" s="97" t="s">
        <v>56</v>
      </c>
      <c r="F909" s="101"/>
      <c r="G909" s="97"/>
      <c r="H909" s="113">
        <v>34.838999999999999</v>
      </c>
      <c r="I909" s="114">
        <v>8.3582999999999998</v>
      </c>
      <c r="J909" s="115">
        <f t="shared" si="210"/>
        <v>291.19</v>
      </c>
      <c r="K909" s="115">
        <f t="shared" si="211"/>
        <v>349.428</v>
      </c>
      <c r="L909" s="104"/>
      <c r="M909" s="107"/>
      <c r="N909" s="115">
        <f>+Table6[[#This Row],[стойност с ДДС]]-Table6[[#This Row],[плащане]]</f>
        <v>349.428</v>
      </c>
      <c r="O909" s="208">
        <v>45509</v>
      </c>
    </row>
    <row r="910" spans="1:15" x14ac:dyDescent="0.3">
      <c r="A910" s="97" t="s">
        <v>83</v>
      </c>
      <c r="B910" s="393">
        <v>3000002906</v>
      </c>
      <c r="C910" s="110">
        <v>45504</v>
      </c>
      <c r="D910" s="97"/>
      <c r="E910" s="97" t="s">
        <v>58</v>
      </c>
      <c r="F910" s="101"/>
      <c r="G910" s="97"/>
      <c r="H910" s="113">
        <v>728.49699999999996</v>
      </c>
      <c r="I910" s="114">
        <v>1.0194000000000001</v>
      </c>
      <c r="J910" s="115">
        <f t="shared" si="210"/>
        <v>742.63</v>
      </c>
      <c r="K910" s="115">
        <f t="shared" si="211"/>
        <v>891.15599999999995</v>
      </c>
      <c r="L910" s="104"/>
      <c r="M910" s="107"/>
      <c r="N910" s="115">
        <f>+Table6[[#This Row],[стойност с ДДС]]-Table6[[#This Row],[плащане]]</f>
        <v>891.15599999999995</v>
      </c>
      <c r="O910" s="208">
        <v>45509</v>
      </c>
    </row>
    <row r="911" spans="1:15" x14ac:dyDescent="0.3">
      <c r="A911" s="116" t="s">
        <v>83</v>
      </c>
      <c r="B911" s="394">
        <v>3000002906</v>
      </c>
      <c r="C911" s="117">
        <v>45504</v>
      </c>
      <c r="D911" s="116"/>
      <c r="E911" s="116" t="s">
        <v>59</v>
      </c>
      <c r="F911" s="118"/>
      <c r="G911" s="116"/>
      <c r="H911" s="141">
        <v>2622.5889999999999</v>
      </c>
      <c r="I911" s="142">
        <v>0</v>
      </c>
      <c r="J911" s="130">
        <f t="shared" si="210"/>
        <v>0</v>
      </c>
      <c r="K911" s="130">
        <f t="shared" si="211"/>
        <v>0</v>
      </c>
      <c r="L911" s="129"/>
      <c r="M911" s="152"/>
      <c r="N911" s="130">
        <f>+Table6[[#This Row],[стойност с ДДС]]-Table6[[#This Row],[плащане]]</f>
        <v>0</v>
      </c>
      <c r="O911" s="208">
        <v>45509</v>
      </c>
    </row>
    <row r="912" spans="1:15" x14ac:dyDescent="0.3">
      <c r="A912" s="116" t="s">
        <v>77</v>
      </c>
      <c r="B912" s="394">
        <v>3000002907</v>
      </c>
      <c r="C912" s="117">
        <v>45504</v>
      </c>
      <c r="D912" s="116"/>
      <c r="E912" s="116" t="s">
        <v>53</v>
      </c>
      <c r="F912" s="118"/>
      <c r="G912" s="116"/>
      <c r="H912" s="141">
        <v>1</v>
      </c>
      <c r="I912" s="142">
        <v>23809.95</v>
      </c>
      <c r="J912" s="130">
        <f>ROUND(+H912*I912,2)</f>
        <v>23809.95</v>
      </c>
      <c r="K912" s="130">
        <f>J912*1.2</f>
        <v>28571.94</v>
      </c>
      <c r="L912" s="129"/>
      <c r="M912" s="152"/>
      <c r="N912" s="130">
        <f>+Table6[[#This Row],[стойност с ДДС]]-Table6[[#This Row],[плащане]]</f>
        <v>28571.94</v>
      </c>
      <c r="O912" s="208">
        <v>45594</v>
      </c>
    </row>
    <row r="913" spans="1:15" x14ac:dyDescent="0.3">
      <c r="A913" s="97" t="s">
        <v>77</v>
      </c>
      <c r="B913" s="393">
        <v>3000002907</v>
      </c>
      <c r="C913" s="110">
        <v>45504</v>
      </c>
      <c r="D913" s="97"/>
      <c r="E913" s="97" t="s">
        <v>53</v>
      </c>
      <c r="F913" s="101"/>
      <c r="G913" s="97"/>
      <c r="H913" s="113">
        <v>2982.127</v>
      </c>
      <c r="I913" s="114">
        <v>58.1</v>
      </c>
      <c r="J913" s="115">
        <f t="shared" ref="J913:J915" si="212">ROUND(+H913*I913,2)</f>
        <v>173261.58</v>
      </c>
      <c r="K913" s="115">
        <f t="shared" ref="K913:K915" si="213">J913*1.2</f>
        <v>207913.89599999998</v>
      </c>
      <c r="L913" s="104"/>
      <c r="M913" s="107"/>
      <c r="N913" s="115">
        <f>+Table6[[#This Row],[стойност с ДДС]]-Table6[[#This Row],[плащане]]</f>
        <v>207913.89599999998</v>
      </c>
      <c r="O913" s="208">
        <v>45594</v>
      </c>
    </row>
    <row r="914" spans="1:15" x14ac:dyDescent="0.3">
      <c r="A914" s="97" t="s">
        <v>77</v>
      </c>
      <c r="B914" s="393">
        <v>3000002907</v>
      </c>
      <c r="C914" s="110">
        <v>45504</v>
      </c>
      <c r="D914" s="97"/>
      <c r="E914" s="97" t="s">
        <v>120</v>
      </c>
      <c r="F914" s="101"/>
      <c r="G914" s="97"/>
      <c r="H914" s="113">
        <v>36</v>
      </c>
      <c r="I914" s="114">
        <v>3.2909999999999999</v>
      </c>
      <c r="J914" s="115">
        <f t="shared" si="212"/>
        <v>118.48</v>
      </c>
      <c r="K914" s="115">
        <f t="shared" si="213"/>
        <v>142.17599999999999</v>
      </c>
      <c r="L914" s="104"/>
      <c r="M914" s="107"/>
      <c r="N914" s="115">
        <f>+Table6[[#This Row],[стойност с ДДС]]-Table6[[#This Row],[плащане]]</f>
        <v>142.17599999999999</v>
      </c>
      <c r="O914" s="208">
        <v>45594</v>
      </c>
    </row>
    <row r="915" spans="1:15" x14ac:dyDescent="0.3">
      <c r="A915" s="116" t="s">
        <v>77</v>
      </c>
      <c r="B915" s="394">
        <v>3000002907</v>
      </c>
      <c r="C915" s="117">
        <v>45504</v>
      </c>
      <c r="D915" s="116"/>
      <c r="E915" s="116" t="s">
        <v>57</v>
      </c>
      <c r="F915" s="118"/>
      <c r="G915" s="116"/>
      <c r="H915" s="141">
        <v>7884</v>
      </c>
      <c r="I915" s="142">
        <v>2.6328</v>
      </c>
      <c r="J915" s="130">
        <f t="shared" si="212"/>
        <v>20757</v>
      </c>
      <c r="K915" s="130">
        <f t="shared" si="213"/>
        <v>24908.399999999998</v>
      </c>
      <c r="L915" s="129"/>
      <c r="M915" s="152"/>
      <c r="N915" s="130">
        <f>+Table6[[#This Row],[стойност с ДДС]]-Table6[[#This Row],[плащане]]</f>
        <v>24908.399999999998</v>
      </c>
      <c r="O915" s="208">
        <v>45594</v>
      </c>
    </row>
    <row r="916" spans="1:15" x14ac:dyDescent="0.3">
      <c r="A916" s="116" t="s">
        <v>77</v>
      </c>
      <c r="B916" s="394">
        <v>3000002907</v>
      </c>
      <c r="C916" s="117">
        <v>45504</v>
      </c>
      <c r="D916" s="116"/>
      <c r="E916" s="116" t="s">
        <v>58</v>
      </c>
      <c r="F916" s="118"/>
      <c r="G916" s="116"/>
      <c r="H916" s="141">
        <v>7544.3389999999999</v>
      </c>
      <c r="I916" s="142">
        <v>1.0194000000000001</v>
      </c>
      <c r="J916" s="130">
        <f t="shared" ref="J916:J921" si="214">ROUND(+H916*I916,2)</f>
        <v>7690.7</v>
      </c>
      <c r="K916" s="130">
        <f t="shared" ref="K916:K921" si="215">J916*1.2</f>
        <v>9228.84</v>
      </c>
      <c r="L916" s="129"/>
      <c r="M916" s="152"/>
      <c r="N916" s="130">
        <f>+Table6[[#This Row],[стойност с ДДС]]-Table6[[#This Row],[плащане]]</f>
        <v>9228.84</v>
      </c>
      <c r="O916" s="208">
        <v>45594</v>
      </c>
    </row>
    <row r="917" spans="1:15" x14ac:dyDescent="0.3">
      <c r="A917" s="97" t="s">
        <v>77</v>
      </c>
      <c r="B917" s="393">
        <v>3000002907</v>
      </c>
      <c r="C917" s="110">
        <v>45504</v>
      </c>
      <c r="D917" s="97"/>
      <c r="E917" s="97" t="s">
        <v>59</v>
      </c>
      <c r="F917" s="101"/>
      <c r="G917" s="97"/>
      <c r="H917" s="113">
        <v>27159.62</v>
      </c>
      <c r="I917" s="114">
        <v>0</v>
      </c>
      <c r="J917" s="115">
        <f t="shared" si="214"/>
        <v>0</v>
      </c>
      <c r="K917" s="115">
        <f t="shared" si="215"/>
        <v>0</v>
      </c>
      <c r="L917" s="104"/>
      <c r="M917" s="107"/>
      <c r="N917" s="115">
        <f>+Table6[[#This Row],[стойност с ДДС]]-Table6[[#This Row],[плащане]]</f>
        <v>0</v>
      </c>
      <c r="O917" s="208">
        <v>45594</v>
      </c>
    </row>
    <row r="918" spans="1:15" x14ac:dyDescent="0.3">
      <c r="A918" s="116" t="s">
        <v>1599</v>
      </c>
      <c r="B918" s="394">
        <v>3000002908</v>
      </c>
      <c r="C918" s="117">
        <v>45504</v>
      </c>
      <c r="D918" s="116"/>
      <c r="E918" s="116" t="s">
        <v>53</v>
      </c>
      <c r="F918" s="118"/>
      <c r="G918" s="116"/>
      <c r="H918" s="141">
        <v>1413.797</v>
      </c>
      <c r="I918" s="142">
        <v>58.1</v>
      </c>
      <c r="J918" s="130">
        <f t="shared" si="214"/>
        <v>82141.61</v>
      </c>
      <c r="K918" s="130">
        <f t="shared" si="215"/>
        <v>98569.932000000001</v>
      </c>
      <c r="L918" s="129"/>
      <c r="M918" s="152"/>
      <c r="N918" s="130">
        <f>+Table6[[#This Row],[стойност с ДДС]]-Table6[[#This Row],[плащане]]</f>
        <v>98569.932000000001</v>
      </c>
      <c r="O918" s="208">
        <v>45509</v>
      </c>
    </row>
    <row r="919" spans="1:15" x14ac:dyDescent="0.3">
      <c r="A919" s="116" t="s">
        <v>1599</v>
      </c>
      <c r="B919" s="394">
        <v>3000002908</v>
      </c>
      <c r="C919" s="117">
        <v>45504</v>
      </c>
      <c r="D919" s="116"/>
      <c r="E919" s="116" t="s">
        <v>120</v>
      </c>
      <c r="F919" s="118"/>
      <c r="G919" s="116"/>
      <c r="H919" s="141">
        <v>377.10199999999998</v>
      </c>
      <c r="I919" s="142">
        <v>3.2909999999999999</v>
      </c>
      <c r="J919" s="130">
        <f t="shared" si="214"/>
        <v>1241.04</v>
      </c>
      <c r="K919" s="130">
        <f t="shared" si="215"/>
        <v>1489.2479999999998</v>
      </c>
      <c r="L919" s="129"/>
      <c r="M919" s="152"/>
      <c r="N919" s="130">
        <f>+Table6[[#This Row],[стойност с ДДС]]-Table6[[#This Row],[плащане]]</f>
        <v>1489.2479999999998</v>
      </c>
      <c r="O919" s="208">
        <v>45509</v>
      </c>
    </row>
    <row r="920" spans="1:15" x14ac:dyDescent="0.3">
      <c r="A920" s="116" t="s">
        <v>1599</v>
      </c>
      <c r="B920" s="394">
        <v>3000002908</v>
      </c>
      <c r="C920" s="117">
        <v>45504</v>
      </c>
      <c r="D920" s="116"/>
      <c r="E920" s="116" t="s">
        <v>57</v>
      </c>
      <c r="F920" s="118"/>
      <c r="G920" s="116"/>
      <c r="H920" s="141">
        <v>1095</v>
      </c>
      <c r="I920" s="142">
        <v>2.6328</v>
      </c>
      <c r="J920" s="130">
        <f t="shared" si="214"/>
        <v>2882.92</v>
      </c>
      <c r="K920" s="130">
        <f t="shared" si="215"/>
        <v>3459.5039999999999</v>
      </c>
      <c r="L920" s="129"/>
      <c r="M920" s="152"/>
      <c r="N920" s="130">
        <f>+Table6[[#This Row],[стойност с ДДС]]-Table6[[#This Row],[плащане]]</f>
        <v>3459.5039999999999</v>
      </c>
      <c r="O920" s="208">
        <v>45509</v>
      </c>
    </row>
    <row r="921" spans="1:15" x14ac:dyDescent="0.3">
      <c r="A921" s="116" t="s">
        <v>1599</v>
      </c>
      <c r="B921" s="394">
        <v>3000002908</v>
      </c>
      <c r="C921" s="117">
        <v>45504</v>
      </c>
      <c r="D921" s="116"/>
      <c r="E921" s="116" t="s">
        <v>56</v>
      </c>
      <c r="F921" s="118"/>
      <c r="G921" s="116"/>
      <c r="H921" s="141">
        <v>104.587</v>
      </c>
      <c r="I921" s="142">
        <v>8.3582999999999998</v>
      </c>
      <c r="J921" s="130">
        <f t="shared" si="214"/>
        <v>874.17</v>
      </c>
      <c r="K921" s="130">
        <f t="shared" si="215"/>
        <v>1049.0039999999999</v>
      </c>
      <c r="L921" s="129"/>
      <c r="M921" s="152"/>
      <c r="N921" s="130">
        <f>+Table6[[#This Row],[стойност с ДДС]]-Table6[[#This Row],[плащане]]</f>
        <v>1049.0039999999999</v>
      </c>
      <c r="O921" s="208">
        <v>45509</v>
      </c>
    </row>
    <row r="922" spans="1:15" x14ac:dyDescent="0.3">
      <c r="A922" s="97" t="s">
        <v>1599</v>
      </c>
      <c r="B922" s="393">
        <v>3000002908</v>
      </c>
      <c r="C922" s="110">
        <v>45504</v>
      </c>
      <c r="D922" s="97"/>
      <c r="E922" s="97" t="s">
        <v>58</v>
      </c>
      <c r="F922" s="101"/>
      <c r="G922" s="97"/>
      <c r="H922" s="113">
        <v>1413.797</v>
      </c>
      <c r="I922" s="114">
        <v>1.0194000000000001</v>
      </c>
      <c r="J922" s="115">
        <f t="shared" ref="J922:J923" si="216">ROUND(+H922*I922,2)</f>
        <v>1441.22</v>
      </c>
      <c r="K922" s="115">
        <f t="shared" ref="K922:K923" si="217">J922*1.2</f>
        <v>1729.4639999999999</v>
      </c>
      <c r="L922" s="104"/>
      <c r="M922" s="107"/>
      <c r="N922" s="115">
        <f>+Table6[[#This Row],[стойност с ДДС]]-Table6[[#This Row],[плащане]]</f>
        <v>1729.4639999999999</v>
      </c>
      <c r="O922" s="208">
        <v>45509</v>
      </c>
    </row>
    <row r="923" spans="1:15" x14ac:dyDescent="0.3">
      <c r="A923" s="116" t="s">
        <v>1599</v>
      </c>
      <c r="B923" s="394">
        <v>3000002908</v>
      </c>
      <c r="C923" s="117">
        <v>45504</v>
      </c>
      <c r="D923" s="116"/>
      <c r="E923" s="116" t="s">
        <v>59</v>
      </c>
      <c r="F923" s="118"/>
      <c r="G923" s="116"/>
      <c r="H923" s="141">
        <v>5089.6689999999999</v>
      </c>
      <c r="I923" s="142">
        <v>0</v>
      </c>
      <c r="J923" s="130">
        <f t="shared" si="216"/>
        <v>0</v>
      </c>
      <c r="K923" s="130">
        <f t="shared" si="217"/>
        <v>0</v>
      </c>
      <c r="L923" s="129"/>
      <c r="M923" s="152"/>
      <c r="N923" s="130">
        <f>+Table6[[#This Row],[стойност с ДДС]]-Table6[[#This Row],[плащане]]</f>
        <v>0</v>
      </c>
      <c r="O923" s="208">
        <v>45509</v>
      </c>
    </row>
    <row r="924" spans="1:15" x14ac:dyDescent="0.3">
      <c r="A924" s="116" t="s">
        <v>1184</v>
      </c>
      <c r="B924" s="394">
        <v>3000002909</v>
      </c>
      <c r="C924" s="117">
        <v>45504</v>
      </c>
      <c r="D924" s="116"/>
      <c r="E924" s="116" t="s">
        <v>53</v>
      </c>
      <c r="F924" s="118"/>
      <c r="G924" s="116"/>
      <c r="H924" s="141">
        <v>494.49</v>
      </c>
      <c r="I924" s="142">
        <v>60.74</v>
      </c>
      <c r="J924" s="130">
        <f>ROUND(+H924*I924,2)</f>
        <v>30035.32</v>
      </c>
      <c r="K924" s="130">
        <f>J924*1.2</f>
        <v>36042.383999999998</v>
      </c>
      <c r="L924" s="129">
        <v>36042.383999999998</v>
      </c>
      <c r="M924" s="152">
        <v>45505</v>
      </c>
      <c r="N924" s="130">
        <f>+Table6[[#This Row],[стойност с ДДС]]-Table6[[#This Row],[плащане]]</f>
        <v>0</v>
      </c>
      <c r="O924" s="208">
        <v>45509</v>
      </c>
    </row>
    <row r="925" spans="1:15" x14ac:dyDescent="0.3">
      <c r="A925" s="116" t="s">
        <v>1184</v>
      </c>
      <c r="B925" s="394">
        <v>3000002909</v>
      </c>
      <c r="C925" s="117">
        <v>45504</v>
      </c>
      <c r="D925" s="116"/>
      <c r="E925" s="116" t="s">
        <v>57</v>
      </c>
      <c r="F925" s="118"/>
      <c r="G925" s="116"/>
      <c r="H925" s="141">
        <v>112</v>
      </c>
      <c r="I925" s="142">
        <v>1.04</v>
      </c>
      <c r="J925" s="130">
        <f>ROUND(+H925*I925,2)</f>
        <v>116.48</v>
      </c>
      <c r="K925" s="130">
        <f>J925*1.2</f>
        <v>139.77600000000001</v>
      </c>
      <c r="L925" s="129">
        <v>139.77600000000001</v>
      </c>
      <c r="M925" s="152">
        <v>45505</v>
      </c>
      <c r="N925" s="130">
        <f>+Table6[[#This Row],[стойност с ДДС]]-Table6[[#This Row],[плащане]]</f>
        <v>0</v>
      </c>
      <c r="O925" s="208">
        <v>45509</v>
      </c>
    </row>
    <row r="926" spans="1:15" x14ac:dyDescent="0.3">
      <c r="A926" s="116" t="s">
        <v>1184</v>
      </c>
      <c r="B926" s="394">
        <v>3000002909</v>
      </c>
      <c r="C926" s="117">
        <v>45504</v>
      </c>
      <c r="D926" s="116"/>
      <c r="E926" s="116" t="s">
        <v>56</v>
      </c>
      <c r="F926" s="118"/>
      <c r="G926" s="116"/>
      <c r="H926" s="141">
        <v>56.45</v>
      </c>
      <c r="I926" s="142">
        <v>3.3016999999999999</v>
      </c>
      <c r="J926" s="130">
        <f>ROUND(+H926*I926,2)</f>
        <v>186.38</v>
      </c>
      <c r="K926" s="130">
        <f>J926*1.2</f>
        <v>223.65599999999998</v>
      </c>
      <c r="L926" s="129">
        <v>223.65599999999998</v>
      </c>
      <c r="M926" s="152">
        <v>45505</v>
      </c>
      <c r="N926" s="130">
        <f>+Table6[[#This Row],[стойност с ДДС]]-Table6[[#This Row],[плащане]]</f>
        <v>0</v>
      </c>
      <c r="O926" s="208">
        <v>45509</v>
      </c>
    </row>
    <row r="927" spans="1:15" x14ac:dyDescent="0.3">
      <c r="A927" s="97" t="s">
        <v>1184</v>
      </c>
      <c r="B927" s="393">
        <v>3000002909</v>
      </c>
      <c r="C927" s="110">
        <v>45504</v>
      </c>
      <c r="D927" s="97"/>
      <c r="E927" s="97" t="s">
        <v>58</v>
      </c>
      <c r="F927" s="101"/>
      <c r="G927" s="97"/>
      <c r="H927" s="113">
        <v>494.49</v>
      </c>
      <c r="I927" s="114">
        <v>0.52290000000000003</v>
      </c>
      <c r="J927" s="115">
        <f t="shared" ref="J927:J928" si="218">ROUND(+H927*I927,2)</f>
        <v>258.57</v>
      </c>
      <c r="K927" s="115">
        <f t="shared" ref="K927:K928" si="219">J927*1.2</f>
        <v>310.28399999999999</v>
      </c>
      <c r="L927" s="104">
        <v>310.28399999999999</v>
      </c>
      <c r="M927" s="152">
        <v>45505</v>
      </c>
      <c r="N927" s="115">
        <f>+Table6[[#This Row],[стойност с ДДС]]-Table6[[#This Row],[плащане]]</f>
        <v>0</v>
      </c>
      <c r="O927" s="208">
        <v>45509</v>
      </c>
    </row>
    <row r="928" spans="1:15" x14ac:dyDescent="0.3">
      <c r="A928" s="116" t="s">
        <v>1184</v>
      </c>
      <c r="B928" s="394">
        <v>3000002909</v>
      </c>
      <c r="C928" s="117">
        <v>45504</v>
      </c>
      <c r="D928" s="116"/>
      <c r="E928" s="116" t="s">
        <v>59</v>
      </c>
      <c r="F928" s="118"/>
      <c r="G928" s="116"/>
      <c r="H928" s="141">
        <v>1780.164</v>
      </c>
      <c r="I928" s="142">
        <v>0.6</v>
      </c>
      <c r="J928" s="130">
        <f t="shared" si="218"/>
        <v>1068.0999999999999</v>
      </c>
      <c r="K928" s="130">
        <f t="shared" si="219"/>
        <v>1281.7199999999998</v>
      </c>
      <c r="L928" s="129">
        <v>1281.7199999999998</v>
      </c>
      <c r="M928" s="152">
        <v>45505</v>
      </c>
      <c r="N928" s="130">
        <f>+Table6[[#This Row],[стойност с ДДС]]-Table6[[#This Row],[плащане]]</f>
        <v>0</v>
      </c>
      <c r="O928" s="208">
        <v>45509</v>
      </c>
    </row>
    <row r="929" spans="1:15" x14ac:dyDescent="0.3">
      <c r="A929" s="116" t="s">
        <v>72</v>
      </c>
      <c r="B929" s="394">
        <v>3000002910</v>
      </c>
      <c r="C929" s="117">
        <v>45504</v>
      </c>
      <c r="D929" s="116"/>
      <c r="E929" s="116" t="s">
        <v>33</v>
      </c>
      <c r="F929" s="118" t="s">
        <v>85</v>
      </c>
      <c r="G929" s="116"/>
      <c r="H929" s="141">
        <v>1</v>
      </c>
      <c r="I929" s="142">
        <v>3427.77</v>
      </c>
      <c r="J929" s="130">
        <f>ROUND(+H929*I929,2)</f>
        <v>3427.77</v>
      </c>
      <c r="K929" s="130">
        <f>J929*1.2</f>
        <v>4113.3239999999996</v>
      </c>
      <c r="L929" s="129">
        <v>4113.3239999999996</v>
      </c>
      <c r="M929" s="152">
        <v>45504</v>
      </c>
      <c r="N929" s="130">
        <f>+Table6[[#This Row],[стойност с ДДС]]-Table6[[#This Row],[плащане]]</f>
        <v>0</v>
      </c>
      <c r="O929" s="208">
        <v>45509</v>
      </c>
    </row>
    <row r="930" spans="1:15" x14ac:dyDescent="0.3">
      <c r="A930" s="116" t="s">
        <v>72</v>
      </c>
      <c r="B930" s="394">
        <v>3000002911</v>
      </c>
      <c r="C930" s="110">
        <v>45504</v>
      </c>
      <c r="D930" s="97"/>
      <c r="E930" s="116" t="s">
        <v>33</v>
      </c>
      <c r="F930" s="101"/>
      <c r="G930" s="97"/>
      <c r="H930" s="113">
        <v>-1</v>
      </c>
      <c r="I930" s="114">
        <v>26645.73</v>
      </c>
      <c r="J930" s="115">
        <f>ROUND(+H930*I930,2)</f>
        <v>-26645.73</v>
      </c>
      <c r="K930" s="115">
        <f>J930*1.2</f>
        <v>-31974.875999999997</v>
      </c>
      <c r="L930" s="104">
        <v>-31974.875999999997</v>
      </c>
      <c r="M930" s="152">
        <v>45505</v>
      </c>
      <c r="N930" s="115">
        <f>+Table6[[#This Row],[стойност с ДДС]]-Table6[[#This Row],[плащане]]</f>
        <v>0</v>
      </c>
      <c r="O930" s="208">
        <v>45509</v>
      </c>
    </row>
    <row r="931" spans="1:15" x14ac:dyDescent="0.3">
      <c r="A931" s="97" t="s">
        <v>72</v>
      </c>
      <c r="B931" s="393">
        <v>3000002911</v>
      </c>
      <c r="C931" s="110">
        <v>45504</v>
      </c>
      <c r="D931" s="97"/>
      <c r="E931" s="116" t="s">
        <v>33</v>
      </c>
      <c r="F931" s="101"/>
      <c r="G931" s="97"/>
      <c r="H931" s="113">
        <v>438.685</v>
      </c>
      <c r="I931" s="114">
        <v>60.74</v>
      </c>
      <c r="J931" s="115">
        <f>ROUND(+H931*I931,2)</f>
        <v>26645.73</v>
      </c>
      <c r="K931" s="115">
        <f>J931*1.2</f>
        <v>31974.875999999997</v>
      </c>
      <c r="L931" s="104">
        <v>31974.875999999997</v>
      </c>
      <c r="M931" s="152">
        <v>45505</v>
      </c>
      <c r="N931" s="115">
        <f>+Table6[[#This Row],[стойност с ДДС]]-Table6[[#This Row],[плащане]]</f>
        <v>0</v>
      </c>
      <c r="O931" s="208">
        <v>45509</v>
      </c>
    </row>
    <row r="932" spans="1:15" x14ac:dyDescent="0.3">
      <c r="A932" s="116" t="s">
        <v>72</v>
      </c>
      <c r="B932" s="394">
        <v>3000002911</v>
      </c>
      <c r="C932" s="117">
        <v>45504</v>
      </c>
      <c r="D932" s="116"/>
      <c r="E932" s="116" t="s">
        <v>57</v>
      </c>
      <c r="F932" s="118"/>
      <c r="G932" s="116"/>
      <c r="H932" s="141">
        <v>46</v>
      </c>
      <c r="I932" s="142">
        <v>1.04</v>
      </c>
      <c r="J932" s="130">
        <f>ROUND(+H932*I932,2)</f>
        <v>47.84</v>
      </c>
      <c r="K932" s="130">
        <f>J932*1.2</f>
        <v>57.408000000000001</v>
      </c>
      <c r="L932" s="129">
        <v>57.408000000000001</v>
      </c>
      <c r="M932" s="152">
        <v>45505</v>
      </c>
      <c r="N932" s="130">
        <f>+Table6[[#This Row],[стойност с ДДС]]-Table6[[#This Row],[плащане]]</f>
        <v>0</v>
      </c>
      <c r="O932" s="208">
        <v>45509</v>
      </c>
    </row>
    <row r="933" spans="1:15" x14ac:dyDescent="0.3">
      <c r="A933" s="97" t="s">
        <v>72</v>
      </c>
      <c r="B933" s="393">
        <v>3000002911</v>
      </c>
      <c r="C933" s="110">
        <v>45504</v>
      </c>
      <c r="D933" s="97"/>
      <c r="E933" s="97" t="s">
        <v>58</v>
      </c>
      <c r="F933" s="101"/>
      <c r="G933" s="97"/>
      <c r="H933" s="113">
        <v>438.685</v>
      </c>
      <c r="I933" s="114">
        <v>0.52290000000000003</v>
      </c>
      <c r="J933" s="115">
        <f t="shared" ref="J933:J934" si="220">ROUND(+H933*I933,2)</f>
        <v>229.39</v>
      </c>
      <c r="K933" s="115">
        <f t="shared" ref="K933:K934" si="221">J933*1.2</f>
        <v>275.26799999999997</v>
      </c>
      <c r="L933" s="104">
        <v>275.26799999999997</v>
      </c>
      <c r="M933" s="152">
        <v>45505</v>
      </c>
      <c r="N933" s="115">
        <f>+Table6[[#This Row],[стойност с ДДС]]-Table6[[#This Row],[плащане]]</f>
        <v>0</v>
      </c>
      <c r="O933" s="208">
        <v>45509</v>
      </c>
    </row>
    <row r="934" spans="1:15" x14ac:dyDescent="0.3">
      <c r="A934" s="116" t="s">
        <v>72</v>
      </c>
      <c r="B934" s="394">
        <v>3000002911</v>
      </c>
      <c r="C934" s="117">
        <v>45504</v>
      </c>
      <c r="D934" s="116"/>
      <c r="E934" s="116" t="s">
        <v>59</v>
      </c>
      <c r="F934" s="118"/>
      <c r="G934" s="116"/>
      <c r="H934" s="141">
        <v>1579.2660000000001</v>
      </c>
      <c r="I934" s="142">
        <v>0.6</v>
      </c>
      <c r="J934" s="130">
        <f t="shared" si="220"/>
        <v>947.56</v>
      </c>
      <c r="K934" s="130">
        <f t="shared" si="221"/>
        <v>1137.0719999999999</v>
      </c>
      <c r="L934" s="129">
        <v>1137.0719999999999</v>
      </c>
      <c r="M934" s="152">
        <v>45505</v>
      </c>
      <c r="N934" s="130">
        <f>+Table6[[#This Row],[стойност с ДДС]]-Table6[[#This Row],[плащане]]</f>
        <v>0</v>
      </c>
      <c r="O934" s="208">
        <v>45509</v>
      </c>
    </row>
    <row r="935" spans="1:15" x14ac:dyDescent="0.3">
      <c r="A935" s="116" t="s">
        <v>82</v>
      </c>
      <c r="B935" s="394">
        <v>3000002912</v>
      </c>
      <c r="C935" s="117">
        <v>45504</v>
      </c>
      <c r="D935" s="116"/>
      <c r="E935" s="116" t="s">
        <v>33</v>
      </c>
      <c r="F935" s="118" t="s">
        <v>85</v>
      </c>
      <c r="G935" s="116"/>
      <c r="H935" s="141">
        <v>1</v>
      </c>
      <c r="I935" s="142">
        <v>1396.13</v>
      </c>
      <c r="J935" s="130">
        <f>ROUND(+H935*I935,2)</f>
        <v>1396.13</v>
      </c>
      <c r="K935" s="130">
        <f>J935*1.2</f>
        <v>1675.356</v>
      </c>
      <c r="L935" s="129">
        <v>1675.356</v>
      </c>
      <c r="M935" s="152" t="s">
        <v>1622</v>
      </c>
      <c r="N935" s="130">
        <f>+Table6[[#This Row],[стойност с ДДС]]-Table6[[#This Row],[плащане]]</f>
        <v>0</v>
      </c>
      <c r="O935" s="208">
        <v>45509</v>
      </c>
    </row>
    <row r="936" spans="1:15" x14ac:dyDescent="0.3">
      <c r="A936" s="116" t="s">
        <v>82</v>
      </c>
      <c r="B936" s="394">
        <v>3000002913</v>
      </c>
      <c r="C936" s="117">
        <v>45504</v>
      </c>
      <c r="D936" s="97"/>
      <c r="E936" s="97" t="s">
        <v>33</v>
      </c>
      <c r="F936" s="101"/>
      <c r="G936" s="97"/>
      <c r="H936" s="113">
        <v>-1</v>
      </c>
      <c r="I936" s="114">
        <v>3029.81</v>
      </c>
      <c r="J936" s="115">
        <f>ROUND(+H936*I936,2)</f>
        <v>-3029.81</v>
      </c>
      <c r="K936" s="115">
        <f>J936*1.2</f>
        <v>-3635.7719999999999</v>
      </c>
      <c r="L936" s="104">
        <v>-3635.7719999999999</v>
      </c>
      <c r="M936" s="152" t="s">
        <v>1622</v>
      </c>
      <c r="N936" s="115">
        <f>+Table6[[#This Row],[стойност с ДДС]]-Table6[[#This Row],[плащане]]</f>
        <v>0</v>
      </c>
      <c r="O936" s="208">
        <v>45509</v>
      </c>
    </row>
    <row r="937" spans="1:15" x14ac:dyDescent="0.3">
      <c r="A937" s="116" t="s">
        <v>82</v>
      </c>
      <c r="B937" s="393">
        <v>3000002913</v>
      </c>
      <c r="C937" s="110">
        <v>45504</v>
      </c>
      <c r="D937" s="97"/>
      <c r="E937" s="97" t="s">
        <v>33</v>
      </c>
      <c r="F937" s="101"/>
      <c r="G937" s="97"/>
      <c r="H937" s="113">
        <v>-1</v>
      </c>
      <c r="I937" s="114">
        <v>25.79</v>
      </c>
      <c r="J937" s="115">
        <f t="shared" ref="J937:J942" si="222">ROUND(+H937*I937,2)</f>
        <v>-25.79</v>
      </c>
      <c r="K937" s="115">
        <f t="shared" ref="K937:K942" si="223">J937*1.2</f>
        <v>-30.947999999999997</v>
      </c>
      <c r="L937" s="104">
        <v>-30.947999999999997</v>
      </c>
      <c r="M937" s="152" t="s">
        <v>1622</v>
      </c>
      <c r="N937" s="115">
        <f>+Table6[[#This Row],[стойност с ДДС]]-Table6[[#This Row],[плащане]]</f>
        <v>0</v>
      </c>
      <c r="O937" s="208">
        <v>45509</v>
      </c>
    </row>
    <row r="938" spans="1:15" x14ac:dyDescent="0.3">
      <c r="A938" s="116" t="s">
        <v>82</v>
      </c>
      <c r="B938" s="393">
        <v>3000002913</v>
      </c>
      <c r="C938" s="110">
        <v>45504</v>
      </c>
      <c r="D938" s="97"/>
      <c r="E938" s="97" t="s">
        <v>33</v>
      </c>
      <c r="F938" s="101"/>
      <c r="G938" s="97"/>
      <c r="H938" s="113">
        <v>-1</v>
      </c>
      <c r="I938" s="114">
        <v>26.97</v>
      </c>
      <c r="J938" s="115">
        <f t="shared" si="222"/>
        <v>-26.97</v>
      </c>
      <c r="K938" s="115">
        <f t="shared" si="223"/>
        <v>-32.363999999999997</v>
      </c>
      <c r="L938" s="104">
        <v>-32.363999999999997</v>
      </c>
      <c r="M938" s="152" t="s">
        <v>1622</v>
      </c>
      <c r="N938" s="115">
        <f>+Table6[[#This Row],[стойност с ДДС]]-Table6[[#This Row],[плащане]]</f>
        <v>0</v>
      </c>
      <c r="O938" s="208">
        <v>45509</v>
      </c>
    </row>
    <row r="939" spans="1:15" x14ac:dyDescent="0.3">
      <c r="A939" s="116" t="s">
        <v>82</v>
      </c>
      <c r="B939" s="393">
        <v>3000002913</v>
      </c>
      <c r="C939" s="117">
        <v>45504</v>
      </c>
      <c r="D939" s="97"/>
      <c r="E939" s="97" t="s">
        <v>33</v>
      </c>
      <c r="F939" s="101"/>
      <c r="G939" s="97"/>
      <c r="H939" s="113">
        <v>51.58</v>
      </c>
      <c r="I939" s="114">
        <v>58.74</v>
      </c>
      <c r="J939" s="115">
        <f t="shared" si="222"/>
        <v>3029.81</v>
      </c>
      <c r="K939" s="115">
        <f t="shared" si="223"/>
        <v>3635.7719999999999</v>
      </c>
      <c r="L939" s="104">
        <v>3635.7719999999999</v>
      </c>
      <c r="M939" s="152" t="s">
        <v>1622</v>
      </c>
      <c r="N939" s="115">
        <f>+Table6[[#This Row],[стойност с ДДС]]-Table6[[#This Row],[плащане]]</f>
        <v>0</v>
      </c>
      <c r="O939" s="208">
        <v>45509</v>
      </c>
    </row>
    <row r="940" spans="1:15" x14ac:dyDescent="0.3">
      <c r="A940" s="116" t="s">
        <v>82</v>
      </c>
      <c r="B940" s="393">
        <v>3000002913</v>
      </c>
      <c r="C940" s="110">
        <v>45504</v>
      </c>
      <c r="D940" s="97"/>
      <c r="E940" s="97" t="s">
        <v>58</v>
      </c>
      <c r="F940" s="101"/>
      <c r="G940" s="97"/>
      <c r="H940" s="113">
        <v>51.58</v>
      </c>
      <c r="I940" s="114">
        <v>0.52290000000000003</v>
      </c>
      <c r="J940" s="115">
        <f t="shared" si="222"/>
        <v>26.97</v>
      </c>
      <c r="K940" s="115">
        <f t="shared" si="223"/>
        <v>32.363999999999997</v>
      </c>
      <c r="L940" s="104">
        <v>32.363999999999997</v>
      </c>
      <c r="M940" s="152" t="s">
        <v>1622</v>
      </c>
      <c r="N940" s="115">
        <f>+Table6[[#This Row],[стойност с ДДС]]-Table6[[#This Row],[плащане]]</f>
        <v>0</v>
      </c>
      <c r="O940" s="208">
        <v>45509</v>
      </c>
    </row>
    <row r="941" spans="1:15" x14ac:dyDescent="0.3">
      <c r="A941" s="116" t="s">
        <v>82</v>
      </c>
      <c r="B941" s="393">
        <v>3000002913</v>
      </c>
      <c r="C941" s="117">
        <v>45504</v>
      </c>
      <c r="D941" s="97"/>
      <c r="E941" s="97" t="s">
        <v>33</v>
      </c>
      <c r="F941" s="101"/>
      <c r="G941" s="97"/>
      <c r="H941" s="113">
        <v>51.58</v>
      </c>
      <c r="I941" s="114">
        <v>0.5</v>
      </c>
      <c r="J941" s="115">
        <f t="shared" si="222"/>
        <v>25.79</v>
      </c>
      <c r="K941" s="115">
        <f t="shared" si="223"/>
        <v>30.947999999999997</v>
      </c>
      <c r="L941" s="104">
        <v>30.947999999999997</v>
      </c>
      <c r="M941" s="152" t="s">
        <v>1622</v>
      </c>
      <c r="N941" s="115">
        <f>+Table6[[#This Row],[стойност с ДДС]]-Table6[[#This Row],[плащане]]</f>
        <v>0</v>
      </c>
      <c r="O941" s="208">
        <v>45509</v>
      </c>
    </row>
    <row r="942" spans="1:15" x14ac:dyDescent="0.3">
      <c r="A942" s="116" t="s">
        <v>82</v>
      </c>
      <c r="B942" s="393">
        <v>3000002913</v>
      </c>
      <c r="C942" s="117">
        <v>45504</v>
      </c>
      <c r="D942" s="97"/>
      <c r="E942" s="97" t="s">
        <v>59</v>
      </c>
      <c r="F942" s="101"/>
      <c r="G942" s="97"/>
      <c r="H942" s="113">
        <v>185.68799999999999</v>
      </c>
      <c r="I942" s="114">
        <v>0.6</v>
      </c>
      <c r="J942" s="115">
        <f t="shared" si="222"/>
        <v>111.41</v>
      </c>
      <c r="K942" s="115">
        <f t="shared" si="223"/>
        <v>133.69199999999998</v>
      </c>
      <c r="L942" s="104">
        <v>133.69199999999998</v>
      </c>
      <c r="M942" s="152" t="s">
        <v>1622</v>
      </c>
      <c r="N942" s="115">
        <f>+Table6[[#This Row],[стойност с ДДС]]-Table6[[#This Row],[плащане]]</f>
        <v>0</v>
      </c>
      <c r="O942" s="208">
        <v>45509</v>
      </c>
    </row>
    <row r="943" spans="1:15" x14ac:dyDescent="0.3">
      <c r="A943" s="116" t="s">
        <v>49</v>
      </c>
      <c r="B943" s="393">
        <v>3000002914</v>
      </c>
      <c r="C943" s="110">
        <v>45504</v>
      </c>
      <c r="D943" s="116"/>
      <c r="E943" s="116" t="s">
        <v>33</v>
      </c>
      <c r="F943" s="118" t="s">
        <v>85</v>
      </c>
      <c r="G943" s="116"/>
      <c r="H943" s="141">
        <v>1</v>
      </c>
      <c r="I943" s="142">
        <v>544.87</v>
      </c>
      <c r="J943" s="130">
        <f>ROUND(+H943*I943,2)</f>
        <v>544.87</v>
      </c>
      <c r="K943" s="130">
        <f>J943*1.2</f>
        <v>653.84399999999994</v>
      </c>
      <c r="L943" s="129">
        <v>653.84399999999994</v>
      </c>
      <c r="M943" s="152" t="s">
        <v>1622</v>
      </c>
      <c r="N943" s="130">
        <f>+Table6[[#This Row],[стойност с ДДС]]-Table6[[#This Row],[плащане]]</f>
        <v>0</v>
      </c>
      <c r="O943" s="208">
        <v>45509</v>
      </c>
    </row>
    <row r="944" spans="1:15" x14ac:dyDescent="0.3">
      <c r="A944" s="116" t="s">
        <v>49</v>
      </c>
      <c r="B944" s="393">
        <v>3000002915</v>
      </c>
      <c r="C944" s="110">
        <v>45504</v>
      </c>
      <c r="D944" s="97"/>
      <c r="E944" s="97" t="s">
        <v>33</v>
      </c>
      <c r="F944" s="101"/>
      <c r="G944" s="97"/>
      <c r="H944" s="113">
        <v>-1</v>
      </c>
      <c r="I944" s="114">
        <v>2745.39</v>
      </c>
      <c r="J944" s="115">
        <f>ROUND(+H944*I944,2)</f>
        <v>-2745.39</v>
      </c>
      <c r="K944" s="115">
        <f>J944*1.2</f>
        <v>-3294.4679999999998</v>
      </c>
      <c r="L944" s="104">
        <v>-3294.4679999999998</v>
      </c>
      <c r="M944" s="152" t="s">
        <v>1622</v>
      </c>
      <c r="N944" s="115">
        <f>+Table6[[#This Row],[стойност с ДДС]]-Table6[[#This Row],[плащане]]</f>
        <v>0</v>
      </c>
      <c r="O944" s="208">
        <v>45509</v>
      </c>
    </row>
    <row r="945" spans="1:15" x14ac:dyDescent="0.3">
      <c r="A945" s="97" t="s">
        <v>49</v>
      </c>
      <c r="B945" s="393">
        <v>3000002915</v>
      </c>
      <c r="C945" s="110">
        <v>45504</v>
      </c>
      <c r="D945" s="97"/>
      <c r="E945" s="97" t="s">
        <v>33</v>
      </c>
      <c r="F945" s="101"/>
      <c r="G945" s="97"/>
      <c r="H945" s="113">
        <v>45.198999999999998</v>
      </c>
      <c r="I945" s="114">
        <v>60.74</v>
      </c>
      <c r="J945" s="115">
        <f t="shared" ref="J945:J950" si="224">ROUND(+H945*I945,2)</f>
        <v>2745.39</v>
      </c>
      <c r="K945" s="115">
        <f t="shared" ref="K945:K950" si="225">J945*1.2</f>
        <v>3294.4679999999998</v>
      </c>
      <c r="L945" s="104">
        <v>3294.4679999999998</v>
      </c>
      <c r="M945" s="152" t="s">
        <v>1622</v>
      </c>
      <c r="N945" s="115">
        <f>+Table6[[#This Row],[стойност с ДДС]]-Table6[[#This Row],[плащане]]</f>
        <v>0</v>
      </c>
      <c r="O945" s="208">
        <v>45509</v>
      </c>
    </row>
    <row r="946" spans="1:15" x14ac:dyDescent="0.3">
      <c r="A946" s="97" t="s">
        <v>49</v>
      </c>
      <c r="B946" s="393">
        <v>3000002915</v>
      </c>
      <c r="C946" s="110">
        <v>45504</v>
      </c>
      <c r="D946" s="97"/>
      <c r="E946" s="97" t="s">
        <v>57</v>
      </c>
      <c r="F946" s="101"/>
      <c r="G946" s="97"/>
      <c r="H946" s="113">
        <v>50.48</v>
      </c>
      <c r="I946" s="114">
        <v>1.04</v>
      </c>
      <c r="J946" s="115">
        <f t="shared" si="224"/>
        <v>52.5</v>
      </c>
      <c r="K946" s="115">
        <f t="shared" si="225"/>
        <v>63</v>
      </c>
      <c r="L946" s="104">
        <v>63</v>
      </c>
      <c r="M946" s="152" t="s">
        <v>1622</v>
      </c>
      <c r="N946" s="115">
        <f>+Table6[[#This Row],[стойност с ДДС]]-Table6[[#This Row],[плащане]]</f>
        <v>0</v>
      </c>
      <c r="O946" s="208">
        <v>45509</v>
      </c>
    </row>
    <row r="947" spans="1:15" x14ac:dyDescent="0.3">
      <c r="A947" s="97" t="s">
        <v>49</v>
      </c>
      <c r="B947" s="393">
        <v>3000002915</v>
      </c>
      <c r="C947" s="110">
        <v>45504</v>
      </c>
      <c r="D947" s="97"/>
      <c r="E947" s="97" t="s">
        <v>56</v>
      </c>
      <c r="F947" s="101"/>
      <c r="G947" s="97"/>
      <c r="H947" s="113">
        <v>4.1470000000000002</v>
      </c>
      <c r="I947" s="114">
        <v>3.3016999999999999</v>
      </c>
      <c r="J947" s="115">
        <f t="shared" si="224"/>
        <v>13.69</v>
      </c>
      <c r="K947" s="115">
        <f t="shared" si="225"/>
        <v>16.427999999999997</v>
      </c>
      <c r="L947" s="104">
        <v>16.427999999999997</v>
      </c>
      <c r="M947" s="152" t="s">
        <v>1622</v>
      </c>
      <c r="N947" s="115">
        <f>+Table6[[#This Row],[стойност с ДДС]]-Table6[[#This Row],[плащане]]</f>
        <v>0</v>
      </c>
      <c r="O947" s="208">
        <v>45509</v>
      </c>
    </row>
    <row r="948" spans="1:15" x14ac:dyDescent="0.3">
      <c r="A948" s="97" t="s">
        <v>49</v>
      </c>
      <c r="B948" s="393">
        <v>3000002915</v>
      </c>
      <c r="C948" s="110">
        <v>45504</v>
      </c>
      <c r="D948" s="97"/>
      <c r="E948" s="97" t="s">
        <v>58</v>
      </c>
      <c r="F948" s="101"/>
      <c r="G948" s="97"/>
      <c r="H948" s="113">
        <v>45.198999999999998</v>
      </c>
      <c r="I948" s="114">
        <v>0.52290000000000003</v>
      </c>
      <c r="J948" s="115">
        <f t="shared" si="224"/>
        <v>23.63</v>
      </c>
      <c r="K948" s="115">
        <f t="shared" si="225"/>
        <v>28.355999999999998</v>
      </c>
      <c r="L948" s="104">
        <v>28.355999999999998</v>
      </c>
      <c r="M948" s="152" t="s">
        <v>1622</v>
      </c>
      <c r="N948" s="115">
        <f>+Table6[[#This Row],[стойност с ДДС]]-Table6[[#This Row],[плащане]]</f>
        <v>0</v>
      </c>
      <c r="O948" s="208">
        <v>45509</v>
      </c>
    </row>
    <row r="949" spans="1:15" x14ac:dyDescent="0.3">
      <c r="A949" s="97" t="s">
        <v>49</v>
      </c>
      <c r="B949" s="393">
        <v>3000002915</v>
      </c>
      <c r="C949" s="110">
        <v>45504</v>
      </c>
      <c r="D949" s="97"/>
      <c r="E949" s="97" t="s">
        <v>59</v>
      </c>
      <c r="F949" s="101"/>
      <c r="G949" s="97"/>
      <c r="H949" s="113">
        <v>162.71600000000001</v>
      </c>
      <c r="I949" s="114">
        <v>0.6</v>
      </c>
      <c r="J949" s="115">
        <f t="shared" si="224"/>
        <v>97.63</v>
      </c>
      <c r="K949" s="115">
        <f t="shared" si="225"/>
        <v>117.15599999999999</v>
      </c>
      <c r="L949" s="104">
        <v>117.15599999999999</v>
      </c>
      <c r="M949" s="152" t="s">
        <v>1622</v>
      </c>
      <c r="N949" s="115">
        <f>+Table6[[#This Row],[стойност с ДДС]]-Table6[[#This Row],[плащане]]</f>
        <v>0</v>
      </c>
      <c r="O949" s="208">
        <v>45509</v>
      </c>
    </row>
    <row r="950" spans="1:15" x14ac:dyDescent="0.3">
      <c r="A950" s="116" t="s">
        <v>92</v>
      </c>
      <c r="B950" s="394">
        <v>3000001916</v>
      </c>
      <c r="C950" s="110">
        <v>45504</v>
      </c>
      <c r="D950" s="116"/>
      <c r="E950" s="116" t="s">
        <v>33</v>
      </c>
      <c r="F950" s="118" t="s">
        <v>85</v>
      </c>
      <c r="G950" s="116"/>
      <c r="H950" s="141">
        <v>1</v>
      </c>
      <c r="I950" s="142">
        <v>294.33</v>
      </c>
      <c r="J950" s="130">
        <f t="shared" si="224"/>
        <v>294.33</v>
      </c>
      <c r="K950" s="130">
        <f t="shared" si="225"/>
        <v>353.19599999999997</v>
      </c>
      <c r="L950" s="129">
        <v>353.19599999999997</v>
      </c>
      <c r="M950" s="152">
        <v>45507</v>
      </c>
      <c r="N950" s="130">
        <f>+Table6[[#This Row],[стойност с ДДС]]-Table6[[#This Row],[плащане]]</f>
        <v>0</v>
      </c>
      <c r="O950" s="208">
        <v>45509</v>
      </c>
    </row>
    <row r="951" spans="1:15" x14ac:dyDescent="0.3">
      <c r="A951" s="116" t="s">
        <v>92</v>
      </c>
      <c r="B951" s="394">
        <v>3000001917</v>
      </c>
      <c r="C951" s="110">
        <v>45504</v>
      </c>
      <c r="D951" s="97"/>
      <c r="E951" s="97" t="s">
        <v>33</v>
      </c>
      <c r="F951" s="101"/>
      <c r="G951" s="97"/>
      <c r="H951" s="113">
        <v>-1</v>
      </c>
      <c r="I951" s="114">
        <v>1120.17</v>
      </c>
      <c r="J951" s="115">
        <f>ROUND(+H951*I951,2)</f>
        <v>-1120.17</v>
      </c>
      <c r="K951" s="115">
        <f>J951*1.2</f>
        <v>-1344.204</v>
      </c>
      <c r="L951" s="104">
        <v>-1344.204</v>
      </c>
      <c r="M951" s="107">
        <v>45507</v>
      </c>
      <c r="N951" s="115">
        <f>+Table6[[#This Row],[стойност с ДДС]]-Table6[[#This Row],[плащане]]</f>
        <v>0</v>
      </c>
      <c r="O951" s="208">
        <v>45509</v>
      </c>
    </row>
    <row r="952" spans="1:15" x14ac:dyDescent="0.3">
      <c r="A952" s="97" t="s">
        <v>92</v>
      </c>
      <c r="B952" s="393">
        <v>3000001917</v>
      </c>
      <c r="C952" s="110">
        <v>45504</v>
      </c>
      <c r="D952" s="97"/>
      <c r="E952" s="97" t="s">
        <v>33</v>
      </c>
      <c r="F952" s="101"/>
      <c r="G952" s="97"/>
      <c r="H952" s="113">
        <v>18.442</v>
      </c>
      <c r="I952" s="114">
        <v>60.74</v>
      </c>
      <c r="J952" s="115">
        <f>ROUND(+H952*I952,2)</f>
        <v>1120.17</v>
      </c>
      <c r="K952" s="115">
        <f>J952*1.2</f>
        <v>1344.204</v>
      </c>
      <c r="L952" s="104">
        <v>1344.204</v>
      </c>
      <c r="M952" s="107">
        <v>45507</v>
      </c>
      <c r="N952" s="115">
        <f>+Table6[[#This Row],[стойност с ДДС]]-Table6[[#This Row],[плащане]]</f>
        <v>0</v>
      </c>
      <c r="O952" s="208">
        <v>45509</v>
      </c>
    </row>
    <row r="953" spans="1:15" x14ac:dyDescent="0.3">
      <c r="A953" s="97" t="s">
        <v>92</v>
      </c>
      <c r="B953" s="393">
        <v>3000001917</v>
      </c>
      <c r="C953" s="110">
        <v>45504</v>
      </c>
      <c r="D953" s="97"/>
      <c r="E953" s="97" t="s">
        <v>58</v>
      </c>
      <c r="F953" s="101"/>
      <c r="G953" s="97"/>
      <c r="H953" s="113">
        <v>18.442</v>
      </c>
      <c r="I953" s="114">
        <v>1.0194000000000001</v>
      </c>
      <c r="J953" s="115">
        <f t="shared" ref="J953:J954" si="226">ROUND(+H953*I953,2)</f>
        <v>18.8</v>
      </c>
      <c r="K953" s="115">
        <f t="shared" ref="K953:K954" si="227">J953*1.2</f>
        <v>22.56</v>
      </c>
      <c r="L953" s="104">
        <v>22.56</v>
      </c>
      <c r="M953" s="107">
        <v>45507</v>
      </c>
      <c r="N953" s="115">
        <f>+Table6[[#This Row],[стойност с ДДС]]-Table6[[#This Row],[плащане]]</f>
        <v>0</v>
      </c>
      <c r="O953" s="208">
        <v>45509</v>
      </c>
    </row>
    <row r="954" spans="1:15" x14ac:dyDescent="0.3">
      <c r="A954" s="97" t="s">
        <v>92</v>
      </c>
      <c r="B954" s="393">
        <v>3000001917</v>
      </c>
      <c r="C954" s="110">
        <v>45504</v>
      </c>
      <c r="D954" s="97"/>
      <c r="E954" s="97" t="s">
        <v>59</v>
      </c>
      <c r="F954" s="101"/>
      <c r="G954" s="97"/>
      <c r="H954" s="113">
        <v>66.391000000000005</v>
      </c>
      <c r="I954" s="114">
        <v>0.6</v>
      </c>
      <c r="J954" s="115">
        <f t="shared" si="226"/>
        <v>39.83</v>
      </c>
      <c r="K954" s="115">
        <f t="shared" si="227"/>
        <v>47.795999999999999</v>
      </c>
      <c r="L954" s="104">
        <v>47.795999999999999</v>
      </c>
      <c r="M954" s="107">
        <v>45507</v>
      </c>
      <c r="N954" s="115">
        <f>+Table6[[#This Row],[стойност с ДДС]]-Table6[[#This Row],[плащане]]</f>
        <v>0</v>
      </c>
      <c r="O954" s="208">
        <v>45509</v>
      </c>
    </row>
    <row r="955" spans="1:15" x14ac:dyDescent="0.3">
      <c r="A955" s="116" t="s">
        <v>31</v>
      </c>
      <c r="B955" s="393">
        <v>3000001917</v>
      </c>
      <c r="C955" s="117">
        <v>45504</v>
      </c>
      <c r="D955" s="116"/>
      <c r="E955" s="116" t="s">
        <v>33</v>
      </c>
      <c r="F955" s="118"/>
      <c r="G955" s="116"/>
      <c r="H955" s="141">
        <v>26.74</v>
      </c>
      <c r="I955" s="142">
        <v>60.74</v>
      </c>
      <c r="J955" s="130">
        <f>ROUND(+H955*I955,2)</f>
        <v>1624.19</v>
      </c>
      <c r="K955" s="130">
        <f>J955*1.2</f>
        <v>1949.028</v>
      </c>
      <c r="L955" s="129">
        <v>1949.028</v>
      </c>
      <c r="M955" s="152">
        <v>45507</v>
      </c>
      <c r="N955" s="130">
        <f>+Table6[[#This Row],[стойност с ДДС]]-Table6[[#This Row],[плащане]]</f>
        <v>0</v>
      </c>
      <c r="O955" s="208">
        <v>45509</v>
      </c>
    </row>
    <row r="956" spans="1:15" x14ac:dyDescent="0.3">
      <c r="A956" s="97" t="s">
        <v>31</v>
      </c>
      <c r="B956" s="393">
        <v>3000001917</v>
      </c>
      <c r="C956" s="110">
        <v>45504</v>
      </c>
      <c r="D956" s="97"/>
      <c r="E956" s="97" t="s">
        <v>58</v>
      </c>
      <c r="F956" s="101"/>
      <c r="G956" s="97"/>
      <c r="H956" s="113">
        <v>26.297999999999998</v>
      </c>
      <c r="I956" s="114">
        <v>1.0194000000000001</v>
      </c>
      <c r="J956" s="115">
        <f t="shared" ref="J956:J957" si="228">ROUND(+H956*I956,2)</f>
        <v>26.81</v>
      </c>
      <c r="K956" s="115">
        <f t="shared" ref="K956:K957" si="229">J956*1.2</f>
        <v>32.171999999999997</v>
      </c>
      <c r="L956" s="104">
        <v>32.171999999999997</v>
      </c>
      <c r="M956" s="107">
        <v>45507</v>
      </c>
      <c r="N956" s="115">
        <f>+Table6[[#This Row],[стойност с ДДС]]-Table6[[#This Row],[плащане]]</f>
        <v>0</v>
      </c>
      <c r="O956" s="208">
        <v>45509</v>
      </c>
    </row>
    <row r="957" spans="1:15" x14ac:dyDescent="0.3">
      <c r="A957" s="116" t="s">
        <v>31</v>
      </c>
      <c r="B957" s="394">
        <v>3000001917</v>
      </c>
      <c r="C957" s="117">
        <v>45504</v>
      </c>
      <c r="D957" s="116"/>
      <c r="E957" s="116" t="s">
        <v>59</v>
      </c>
      <c r="F957" s="118"/>
      <c r="G957" s="116"/>
      <c r="H957" s="141">
        <v>94.673000000000002</v>
      </c>
      <c r="I957" s="142">
        <v>0.6</v>
      </c>
      <c r="J957" s="130">
        <f t="shared" si="228"/>
        <v>56.8</v>
      </c>
      <c r="K957" s="130">
        <f t="shared" si="229"/>
        <v>68.16</v>
      </c>
      <c r="L957" s="129">
        <v>68.16</v>
      </c>
      <c r="M957" s="152">
        <v>45507</v>
      </c>
      <c r="N957" s="130">
        <f>+Table6[[#This Row],[стойност с ДДС]]-Table6[[#This Row],[плащане]]</f>
        <v>0</v>
      </c>
      <c r="O957" s="208">
        <v>45509</v>
      </c>
    </row>
    <row r="958" spans="1:15" x14ac:dyDescent="0.3">
      <c r="A958" s="116" t="s">
        <v>1601</v>
      </c>
      <c r="B958" s="394">
        <v>3100000512</v>
      </c>
      <c r="C958" s="117">
        <v>45512</v>
      </c>
      <c r="D958" s="116"/>
      <c r="E958" s="116" t="s">
        <v>36</v>
      </c>
      <c r="F958" s="118"/>
      <c r="G958" s="116"/>
      <c r="H958" s="141">
        <v>30</v>
      </c>
      <c r="I958" s="142">
        <v>62.8</v>
      </c>
      <c r="J958" s="130">
        <f t="shared" ref="J958:J971" si="230">ROUND(+H958*I958,2)</f>
        <v>1884</v>
      </c>
      <c r="K958" s="130">
        <f>J958*1.2</f>
        <v>2260.7999999999997</v>
      </c>
      <c r="L958" s="129">
        <v>2260.7999999999997</v>
      </c>
      <c r="M958" s="152">
        <v>45516</v>
      </c>
      <c r="N958" s="130">
        <f>+Table6[[#This Row],[стойност с ДДС]]-Table6[[#This Row],[плащане]]</f>
        <v>0</v>
      </c>
      <c r="O958" s="208">
        <v>45517</v>
      </c>
    </row>
    <row r="959" spans="1:15" x14ac:dyDescent="0.3">
      <c r="A959" s="116" t="s">
        <v>1182</v>
      </c>
      <c r="B959" s="394">
        <v>3100000513</v>
      </c>
      <c r="C959" s="117">
        <v>45512</v>
      </c>
      <c r="D959" s="116"/>
      <c r="E959" s="116" t="s">
        <v>36</v>
      </c>
      <c r="F959" s="118"/>
      <c r="G959" s="116"/>
      <c r="H959" s="141">
        <v>100</v>
      </c>
      <c r="I959" s="142">
        <f>31.905*1.9563</f>
        <v>62.415751499999999</v>
      </c>
      <c r="J959" s="130">
        <f t="shared" si="230"/>
        <v>6241.58</v>
      </c>
      <c r="K959" s="130">
        <v>6240</v>
      </c>
      <c r="L959" s="129">
        <v>6240</v>
      </c>
      <c r="M959" s="152">
        <v>45512</v>
      </c>
      <c r="N959" s="130">
        <f>+Table6[[#This Row],[стойност с ДДС]]-Table6[[#This Row],[плащане]]</f>
        <v>0</v>
      </c>
      <c r="O959" s="208">
        <v>45517</v>
      </c>
    </row>
    <row r="960" spans="1:15" x14ac:dyDescent="0.3">
      <c r="A960" s="116" t="s">
        <v>1119</v>
      </c>
      <c r="B960" s="394">
        <v>3100000514</v>
      </c>
      <c r="C960" s="117">
        <v>45512</v>
      </c>
      <c r="D960" s="116"/>
      <c r="E960" s="116" t="s">
        <v>36</v>
      </c>
      <c r="F960" s="118"/>
      <c r="G960" s="116"/>
      <c r="H960" s="141">
        <v>35</v>
      </c>
      <c r="I960" s="142">
        <v>62.4</v>
      </c>
      <c r="J960" s="130">
        <f t="shared" si="230"/>
        <v>2184</v>
      </c>
      <c r="K960" s="130">
        <v>2184</v>
      </c>
      <c r="L960" s="129">
        <v>2184</v>
      </c>
      <c r="M960" s="152">
        <v>45512</v>
      </c>
      <c r="N960" s="130">
        <f>+Table6[[#This Row],[стойност с ДДС]]-Table6[[#This Row],[плащане]]</f>
        <v>0</v>
      </c>
      <c r="O960" s="208">
        <v>45517</v>
      </c>
    </row>
    <row r="961" spans="1:15" x14ac:dyDescent="0.3">
      <c r="A961" s="116" t="s">
        <v>50</v>
      </c>
      <c r="B961" s="394">
        <v>3000002919</v>
      </c>
      <c r="C961" s="117">
        <v>45513</v>
      </c>
      <c r="D961" s="116"/>
      <c r="E961" s="116" t="s">
        <v>76</v>
      </c>
      <c r="F961" s="118"/>
      <c r="G961" s="116"/>
      <c r="H961" s="141">
        <v>215</v>
      </c>
      <c r="I961" s="142">
        <v>63.7316</v>
      </c>
      <c r="J961" s="130">
        <f t="shared" si="230"/>
        <v>13702.29</v>
      </c>
      <c r="K961" s="130">
        <f t="shared" ref="K961:K971" si="231">J961*1.2</f>
        <v>16442.748</v>
      </c>
      <c r="L961" s="129"/>
      <c r="M961" s="152"/>
      <c r="N961" s="130">
        <f>+Table6[[#This Row],[стойност с ДДС]]-Table6[[#This Row],[плащане]]</f>
        <v>16442.748</v>
      </c>
      <c r="O961" s="208">
        <v>45518</v>
      </c>
    </row>
    <row r="962" spans="1:15" x14ac:dyDescent="0.3">
      <c r="A962" s="116" t="s">
        <v>64</v>
      </c>
      <c r="B962" s="394">
        <v>3000002920</v>
      </c>
      <c r="C962" s="117">
        <v>45513</v>
      </c>
      <c r="D962" s="116"/>
      <c r="E962" s="116" t="s">
        <v>76</v>
      </c>
      <c r="F962" s="118"/>
      <c r="G962" s="116"/>
      <c r="H962" s="141">
        <v>95</v>
      </c>
      <c r="I962" s="142">
        <v>63.7316</v>
      </c>
      <c r="J962" s="130">
        <f t="shared" si="230"/>
        <v>6054.5</v>
      </c>
      <c r="K962" s="130">
        <f t="shared" si="231"/>
        <v>7265.4</v>
      </c>
      <c r="L962" s="129"/>
      <c r="M962" s="152"/>
      <c r="N962" s="130">
        <f>+Table6[[#This Row],[стойност с ДДС]]-Table6[[#This Row],[плащане]]</f>
        <v>7265.4</v>
      </c>
      <c r="O962" s="208">
        <v>45518</v>
      </c>
    </row>
    <row r="963" spans="1:15" x14ac:dyDescent="0.3">
      <c r="A963" s="116" t="s">
        <v>62</v>
      </c>
      <c r="B963" s="394">
        <v>3000002921</v>
      </c>
      <c r="C963" s="117">
        <v>45513</v>
      </c>
      <c r="D963" s="116"/>
      <c r="E963" s="116" t="s">
        <v>76</v>
      </c>
      <c r="F963" s="118"/>
      <c r="G963" s="116"/>
      <c r="H963" s="141">
        <v>735</v>
      </c>
      <c r="I963" s="142">
        <v>63.7316</v>
      </c>
      <c r="J963" s="130">
        <f t="shared" si="230"/>
        <v>46842.73</v>
      </c>
      <c r="K963" s="130">
        <f t="shared" si="231"/>
        <v>56211.276000000005</v>
      </c>
      <c r="L963" s="129"/>
      <c r="M963" s="152"/>
      <c r="N963" s="130">
        <f>+Table6[[#This Row],[стойност с ДДС]]-Table6[[#This Row],[плащане]]</f>
        <v>56211.276000000005</v>
      </c>
      <c r="O963" s="208">
        <v>45518</v>
      </c>
    </row>
    <row r="964" spans="1:15" x14ac:dyDescent="0.3">
      <c r="A964" s="116" t="s">
        <v>83</v>
      </c>
      <c r="B964" s="394">
        <v>3000002923</v>
      </c>
      <c r="C964" s="117">
        <v>45513</v>
      </c>
      <c r="D964" s="116"/>
      <c r="E964" s="116" t="s">
        <v>76</v>
      </c>
      <c r="F964" s="118"/>
      <c r="G964" s="116"/>
      <c r="H964" s="141">
        <v>50</v>
      </c>
      <c r="I964" s="142">
        <v>63.7316</v>
      </c>
      <c r="J964" s="130">
        <f t="shared" si="230"/>
        <v>3186.58</v>
      </c>
      <c r="K964" s="130">
        <f t="shared" si="231"/>
        <v>3823.8959999999997</v>
      </c>
      <c r="L964" s="129"/>
      <c r="M964" s="152"/>
      <c r="N964" s="130">
        <f>+Table6[[#This Row],[стойност с ДДС]]-Table6[[#This Row],[плащане]]</f>
        <v>3823.8959999999997</v>
      </c>
      <c r="O964" s="208">
        <v>45518</v>
      </c>
    </row>
    <row r="965" spans="1:15" x14ac:dyDescent="0.3">
      <c r="A965" s="116" t="s">
        <v>77</v>
      </c>
      <c r="B965" s="394">
        <v>3000002924</v>
      </c>
      <c r="C965" s="117">
        <v>45513</v>
      </c>
      <c r="D965" s="116"/>
      <c r="E965" s="116" t="s">
        <v>76</v>
      </c>
      <c r="F965" s="118"/>
      <c r="G965" s="116"/>
      <c r="H965" s="141">
        <v>219</v>
      </c>
      <c r="I965" s="142">
        <v>49.877899999999997</v>
      </c>
      <c r="J965" s="130">
        <f t="shared" si="230"/>
        <v>10923.26</v>
      </c>
      <c r="K965" s="130">
        <f t="shared" si="231"/>
        <v>13107.912</v>
      </c>
      <c r="L965" s="129"/>
      <c r="M965" s="152"/>
      <c r="N965" s="130">
        <f>+Table6[[#This Row],[стойност с ДДС]]-Table6[[#This Row],[плащане]]</f>
        <v>13107.912</v>
      </c>
      <c r="O965" s="208">
        <v>45518</v>
      </c>
    </row>
    <row r="966" spans="1:15" x14ac:dyDescent="0.3">
      <c r="A966" s="116" t="s">
        <v>1184</v>
      </c>
      <c r="B966" s="394">
        <v>3000002925</v>
      </c>
      <c r="C966" s="117">
        <v>45513</v>
      </c>
      <c r="D966" s="116"/>
      <c r="E966" s="116" t="s">
        <v>53</v>
      </c>
      <c r="F966" s="118"/>
      <c r="G966" s="116"/>
      <c r="H966" s="141">
        <v>1</v>
      </c>
      <c r="I966" s="142">
        <v>9156</v>
      </c>
      <c r="J966" s="130">
        <f t="shared" si="230"/>
        <v>9156</v>
      </c>
      <c r="K966" s="130">
        <f t="shared" si="231"/>
        <v>10987.199999999999</v>
      </c>
      <c r="L966" s="129">
        <v>10987.199999999999</v>
      </c>
      <c r="M966" s="152">
        <v>45559</v>
      </c>
      <c r="N966" s="130">
        <f>+Table6[[#This Row],[стойност с ДДС]]-Table6[[#This Row],[плащане]]</f>
        <v>0</v>
      </c>
      <c r="O966" s="208">
        <v>45518</v>
      </c>
    </row>
    <row r="967" spans="1:15" x14ac:dyDescent="0.3">
      <c r="A967" s="116" t="s">
        <v>1184</v>
      </c>
      <c r="B967" s="394">
        <v>3000002925</v>
      </c>
      <c r="C967" s="117">
        <v>45513</v>
      </c>
      <c r="D967" s="116"/>
      <c r="E967" s="116" t="s">
        <v>76</v>
      </c>
      <c r="F967" s="118"/>
      <c r="G967" s="116"/>
      <c r="H967" s="141">
        <v>20</v>
      </c>
      <c r="I967" s="142">
        <v>25.1753</v>
      </c>
      <c r="J967" s="130">
        <f t="shared" si="230"/>
        <v>503.51</v>
      </c>
      <c r="K967" s="130">
        <f t="shared" si="231"/>
        <v>604.21199999999999</v>
      </c>
      <c r="L967" s="129">
        <v>604.21199999999999</v>
      </c>
      <c r="M967" s="152">
        <v>45559</v>
      </c>
      <c r="N967" s="130">
        <f>+Table6[[#This Row],[стойност с ДДС]]-Table6[[#This Row],[плащане]]</f>
        <v>0</v>
      </c>
      <c r="O967" s="208">
        <v>45518</v>
      </c>
    </row>
    <row r="968" spans="1:15" x14ac:dyDescent="0.3">
      <c r="A968" s="116" t="s">
        <v>72</v>
      </c>
      <c r="B968" s="394">
        <v>3000002926</v>
      </c>
      <c r="C968" s="117">
        <v>45513</v>
      </c>
      <c r="D968" s="116"/>
      <c r="E968" s="116" t="s">
        <v>53</v>
      </c>
      <c r="F968" s="118"/>
      <c r="G968" s="116"/>
      <c r="H968" s="141">
        <v>1</v>
      </c>
      <c r="I968" s="142">
        <v>13672.86</v>
      </c>
      <c r="J968" s="130">
        <f t="shared" si="230"/>
        <v>13672.86</v>
      </c>
      <c r="K968" s="130">
        <f t="shared" si="231"/>
        <v>16407.432000000001</v>
      </c>
      <c r="L968" s="129">
        <v>16407.432000000001</v>
      </c>
      <c r="M968" s="152">
        <v>45560</v>
      </c>
      <c r="N968" s="130">
        <f>+Table6[[#This Row],[стойност с ДДС]]-Table6[[#This Row],[плащане]]</f>
        <v>0</v>
      </c>
      <c r="O968" s="208">
        <v>45518</v>
      </c>
    </row>
    <row r="969" spans="1:15" x14ac:dyDescent="0.3">
      <c r="A969" s="97" t="s">
        <v>72</v>
      </c>
      <c r="B969" s="393">
        <v>3000002926</v>
      </c>
      <c r="C969" s="110">
        <v>45513</v>
      </c>
      <c r="D969" s="97"/>
      <c r="E969" s="97" t="s">
        <v>76</v>
      </c>
      <c r="F969" s="101"/>
      <c r="G969" s="97"/>
      <c r="H969" s="113">
        <v>18</v>
      </c>
      <c r="I969" s="114">
        <v>25.1753</v>
      </c>
      <c r="J969" s="115">
        <f t="shared" si="230"/>
        <v>453.16</v>
      </c>
      <c r="K969" s="115">
        <f t="shared" si="231"/>
        <v>543.79200000000003</v>
      </c>
      <c r="L969" s="104">
        <v>543.79200000000003</v>
      </c>
      <c r="M969" s="107">
        <v>45560</v>
      </c>
      <c r="N969" s="115">
        <f>+Table6[[#This Row],[стойност с ДДС]]-Table6[[#This Row],[плащане]]</f>
        <v>0</v>
      </c>
      <c r="O969" s="208">
        <v>45518</v>
      </c>
    </row>
    <row r="970" spans="1:15" x14ac:dyDescent="0.3">
      <c r="A970" s="116" t="s">
        <v>72</v>
      </c>
      <c r="B970" s="394">
        <v>3000002926</v>
      </c>
      <c r="C970" s="117">
        <v>45513</v>
      </c>
      <c r="D970" s="116"/>
      <c r="E970" s="116" t="s">
        <v>63</v>
      </c>
      <c r="F970" s="118"/>
      <c r="G970" s="116"/>
      <c r="H970" s="141">
        <v>1.8</v>
      </c>
      <c r="I970" s="142">
        <v>19.7028</v>
      </c>
      <c r="J970" s="130">
        <f t="shared" si="230"/>
        <v>35.47</v>
      </c>
      <c r="K970" s="130">
        <f t="shared" si="231"/>
        <v>42.564</v>
      </c>
      <c r="L970" s="129">
        <v>42.564</v>
      </c>
      <c r="M970" s="152">
        <v>45560</v>
      </c>
      <c r="N970" s="130">
        <f>+Table6[[#This Row],[стойност с ДДС]]-Table6[[#This Row],[плащане]]</f>
        <v>0</v>
      </c>
      <c r="O970" s="208">
        <v>45518</v>
      </c>
    </row>
    <row r="971" spans="1:15" x14ac:dyDescent="0.3">
      <c r="A971" s="116" t="s">
        <v>82</v>
      </c>
      <c r="B971" s="394">
        <v>3000002927</v>
      </c>
      <c r="C971" s="117">
        <v>45513</v>
      </c>
      <c r="D971" s="116"/>
      <c r="E971" s="116" t="s">
        <v>53</v>
      </c>
      <c r="F971" s="118"/>
      <c r="G971" s="116"/>
      <c r="H971" s="141">
        <v>1</v>
      </c>
      <c r="I971" s="142">
        <v>2147.48</v>
      </c>
      <c r="J971" s="130">
        <f t="shared" si="230"/>
        <v>2147.48</v>
      </c>
      <c r="K971" s="130">
        <f t="shared" si="231"/>
        <v>2576.9760000000001</v>
      </c>
      <c r="L971" s="129">
        <v>16407.552</v>
      </c>
      <c r="M971" s="152">
        <v>45560</v>
      </c>
      <c r="N971" s="130">
        <f>+Table6[[#This Row],[стойност с ДДС]]-Table6[[#This Row],[плащане]]</f>
        <v>-13830.575999999999</v>
      </c>
      <c r="O971" s="208">
        <v>45518</v>
      </c>
    </row>
    <row r="972" spans="1:15" x14ac:dyDescent="0.3">
      <c r="A972" s="97" t="s">
        <v>82</v>
      </c>
      <c r="B972" s="393">
        <v>3000002927</v>
      </c>
      <c r="C972" s="110">
        <v>45513</v>
      </c>
      <c r="D972" s="97"/>
      <c r="E972" s="97" t="s">
        <v>53</v>
      </c>
      <c r="F972" s="101"/>
      <c r="G972" s="97"/>
      <c r="H972" s="113">
        <v>1</v>
      </c>
      <c r="I972" s="114">
        <v>18.5</v>
      </c>
      <c r="J972" s="115">
        <f t="shared" ref="J972:J973" si="232">ROUND(+H972*I972,2)</f>
        <v>18.5</v>
      </c>
      <c r="K972" s="115">
        <f t="shared" ref="K972:K973" si="233">J972*1.2</f>
        <v>22.2</v>
      </c>
      <c r="L972" s="104">
        <v>-29223.707999999999</v>
      </c>
      <c r="M972" s="107">
        <v>45560</v>
      </c>
      <c r="N972" s="115">
        <f>+Table6[[#This Row],[стойност с ДДС]]-Table6[[#This Row],[плащане]]</f>
        <v>29245.907999999999</v>
      </c>
      <c r="O972" s="208">
        <v>45518</v>
      </c>
    </row>
    <row r="973" spans="1:15" x14ac:dyDescent="0.3">
      <c r="A973" s="97" t="s">
        <v>82</v>
      </c>
      <c r="B973" s="393">
        <v>3000002927</v>
      </c>
      <c r="C973" s="110">
        <v>45513</v>
      </c>
      <c r="D973" s="97"/>
      <c r="E973" s="97" t="s">
        <v>53</v>
      </c>
      <c r="F973" s="101"/>
      <c r="G973" s="97"/>
      <c r="H973" s="113">
        <v>1</v>
      </c>
      <c r="I973" s="114">
        <v>19.350000000000001</v>
      </c>
      <c r="J973" s="115">
        <f t="shared" si="232"/>
        <v>19.350000000000001</v>
      </c>
      <c r="K973" s="115">
        <f t="shared" si="233"/>
        <v>23.220000000000002</v>
      </c>
      <c r="L973" s="104">
        <v>29223.707999999999</v>
      </c>
      <c r="M973" s="107">
        <v>45560</v>
      </c>
      <c r="N973" s="115">
        <f>+Table6[[#This Row],[стойност с ДДС]]-Table6[[#This Row],[плащане]]</f>
        <v>-29200.487999999998</v>
      </c>
      <c r="O973" s="208">
        <v>45518</v>
      </c>
    </row>
    <row r="974" spans="1:15" x14ac:dyDescent="0.3">
      <c r="A974" s="116" t="s">
        <v>82</v>
      </c>
      <c r="B974" s="394">
        <v>3000002927</v>
      </c>
      <c r="C974" s="117">
        <v>45513</v>
      </c>
      <c r="D974" s="116"/>
      <c r="E974" s="116" t="s">
        <v>76</v>
      </c>
      <c r="F974" s="118"/>
      <c r="G974" s="116"/>
      <c r="H974" s="141">
        <v>93</v>
      </c>
      <c r="I974" s="142">
        <v>0.82769999999999999</v>
      </c>
      <c r="J974" s="130">
        <f t="shared" ref="J974:J982" si="234">ROUND(+H974*I974,2)</f>
        <v>76.98</v>
      </c>
      <c r="K974" s="130">
        <f t="shared" ref="K974:K982" si="235">J974*1.2</f>
        <v>92.376000000000005</v>
      </c>
      <c r="L974" s="129"/>
      <c r="M974" s="152">
        <v>45560</v>
      </c>
      <c r="N974" s="130">
        <f>+Table6[[#This Row],[стойност с ДДС]]-Table6[[#This Row],[плащане]]</f>
        <v>92.376000000000005</v>
      </c>
      <c r="O974" s="208">
        <v>45518</v>
      </c>
    </row>
    <row r="975" spans="1:15" x14ac:dyDescent="0.3">
      <c r="A975" s="116" t="s">
        <v>49</v>
      </c>
      <c r="B975" s="394">
        <v>3000002928</v>
      </c>
      <c r="C975" s="117">
        <v>45513</v>
      </c>
      <c r="D975" s="116"/>
      <c r="E975" s="116" t="s">
        <v>53</v>
      </c>
      <c r="F975" s="118"/>
      <c r="G975" s="116"/>
      <c r="H975" s="141">
        <v>1</v>
      </c>
      <c r="I975" s="142">
        <v>1632.82</v>
      </c>
      <c r="J975" s="130">
        <f t="shared" si="234"/>
        <v>1632.82</v>
      </c>
      <c r="K975" s="130">
        <f t="shared" si="235"/>
        <v>1959.3839999999998</v>
      </c>
      <c r="L975" s="129">
        <v>1959.3839999999998</v>
      </c>
      <c r="M975" s="152">
        <v>45560</v>
      </c>
      <c r="N975" s="130">
        <f>+Table6[[#This Row],[стойност с ДДС]]-Table6[[#This Row],[плащане]]</f>
        <v>0</v>
      </c>
      <c r="O975" s="208">
        <v>45518</v>
      </c>
    </row>
    <row r="976" spans="1:15" x14ac:dyDescent="0.3">
      <c r="A976" s="116" t="s">
        <v>49</v>
      </c>
      <c r="B976" s="394">
        <v>3000002928</v>
      </c>
      <c r="C976" s="117">
        <v>45513</v>
      </c>
      <c r="D976" s="116"/>
      <c r="E976" s="116" t="s">
        <v>63</v>
      </c>
      <c r="F976" s="118"/>
      <c r="G976" s="116"/>
      <c r="H976" s="141">
        <v>1.78</v>
      </c>
      <c r="I976" s="142">
        <v>19.7</v>
      </c>
      <c r="J976" s="130">
        <f t="shared" si="234"/>
        <v>35.07</v>
      </c>
      <c r="K976" s="130">
        <f t="shared" si="235"/>
        <v>42.083999999999996</v>
      </c>
      <c r="L976" s="129">
        <v>42.083999999999996</v>
      </c>
      <c r="M976" s="152">
        <v>45560</v>
      </c>
      <c r="N976" s="130">
        <f>+Table6[[#This Row],[стойност с ДДС]]-Table6[[#This Row],[плащане]]</f>
        <v>0</v>
      </c>
      <c r="O976" s="208">
        <v>45518</v>
      </c>
    </row>
    <row r="977" spans="1:15" x14ac:dyDescent="0.3">
      <c r="A977" s="116" t="s">
        <v>92</v>
      </c>
      <c r="B977" s="394">
        <v>3000002929</v>
      </c>
      <c r="C977" s="117">
        <v>45513</v>
      </c>
      <c r="D977" s="116"/>
      <c r="E977" s="116" t="s">
        <v>53</v>
      </c>
      <c r="F977" s="118"/>
      <c r="G977" s="116"/>
      <c r="H977" s="141">
        <v>1</v>
      </c>
      <c r="I977" s="142">
        <v>824.04</v>
      </c>
      <c r="J977" s="130">
        <f t="shared" si="234"/>
        <v>824.04</v>
      </c>
      <c r="K977" s="130">
        <f t="shared" si="235"/>
        <v>988.84799999999996</v>
      </c>
      <c r="L977" s="129"/>
      <c r="M977" s="152">
        <v>45560</v>
      </c>
      <c r="N977" s="130">
        <f>+Table6[[#This Row],[стойност с ДДС]]-Table6[[#This Row],[плащане]]</f>
        <v>988.84799999999996</v>
      </c>
      <c r="O977" s="208">
        <v>45518</v>
      </c>
    </row>
    <row r="978" spans="1:15" x14ac:dyDescent="0.3">
      <c r="A978" s="116" t="s">
        <v>48</v>
      </c>
      <c r="B978" s="394">
        <v>3100000515</v>
      </c>
      <c r="C978" s="117">
        <v>45516</v>
      </c>
      <c r="D978" s="116"/>
      <c r="E978" s="116" t="s">
        <v>36</v>
      </c>
      <c r="F978" s="118"/>
      <c r="G978" s="116"/>
      <c r="H978" s="141">
        <v>27</v>
      </c>
      <c r="I978" s="142">
        <v>63</v>
      </c>
      <c r="J978" s="130">
        <f t="shared" si="234"/>
        <v>1701</v>
      </c>
      <c r="K978" s="130">
        <f t="shared" si="235"/>
        <v>2041.1999999999998</v>
      </c>
      <c r="L978" s="129">
        <v>2041.1999999999998</v>
      </c>
      <c r="M978" s="152">
        <v>45560</v>
      </c>
      <c r="N978" s="130">
        <f>+Table6[[#This Row],[стойност с ДДС]]-Table6[[#This Row],[плащане]]</f>
        <v>0</v>
      </c>
      <c r="O978" s="208">
        <v>45521</v>
      </c>
    </row>
    <row r="979" spans="1:15" x14ac:dyDescent="0.3">
      <c r="A979" s="116" t="s">
        <v>1602</v>
      </c>
      <c r="B979" s="394">
        <v>3100000516</v>
      </c>
      <c r="C979" s="117">
        <v>45516</v>
      </c>
      <c r="D979" s="116"/>
      <c r="E979" s="116" t="s">
        <v>36</v>
      </c>
      <c r="F979" s="118"/>
      <c r="G979" s="116"/>
      <c r="H979" s="141">
        <v>40</v>
      </c>
      <c r="I979" s="142">
        <v>62.4</v>
      </c>
      <c r="J979" s="130">
        <f t="shared" si="234"/>
        <v>2496</v>
      </c>
      <c r="K979" s="130">
        <f t="shared" si="235"/>
        <v>2995.2</v>
      </c>
      <c r="L979" s="129">
        <v>2995.2</v>
      </c>
      <c r="M979" s="152">
        <v>45560</v>
      </c>
      <c r="N979" s="130">
        <f>+Table6[[#This Row],[стойност с ДДС]]-Table6[[#This Row],[плащане]]</f>
        <v>0</v>
      </c>
      <c r="O979" s="208">
        <v>45521</v>
      </c>
    </row>
    <row r="980" spans="1:15" x14ac:dyDescent="0.3">
      <c r="A980" s="116" t="s">
        <v>1603</v>
      </c>
      <c r="B980" s="394">
        <v>3100000517</v>
      </c>
      <c r="C980" s="117">
        <v>45516</v>
      </c>
      <c r="D980" s="116"/>
      <c r="E980" s="116" t="s">
        <v>36</v>
      </c>
      <c r="F980" s="118"/>
      <c r="G980" s="116"/>
      <c r="H980" s="141">
        <v>200</v>
      </c>
      <c r="I980" s="142">
        <f>32.211*1.9563</f>
        <v>63.014379299999995</v>
      </c>
      <c r="J980" s="130">
        <f t="shared" si="234"/>
        <v>12602.88</v>
      </c>
      <c r="K980" s="130">
        <f t="shared" si="235"/>
        <v>15123.455999999998</v>
      </c>
      <c r="L980" s="129">
        <v>15123.455999999998</v>
      </c>
      <c r="M980" s="152">
        <v>45560</v>
      </c>
      <c r="N980" s="130">
        <f>+Table6[[#This Row],[стойност с ДДС]]-Table6[[#This Row],[плащане]]</f>
        <v>0</v>
      </c>
      <c r="O980" s="208">
        <v>45521</v>
      </c>
    </row>
    <row r="981" spans="1:15" x14ac:dyDescent="0.3">
      <c r="A981" s="116" t="s">
        <v>1604</v>
      </c>
      <c r="B981" s="394">
        <v>3100000518</v>
      </c>
      <c r="C981" s="117">
        <v>45516</v>
      </c>
      <c r="D981" s="116"/>
      <c r="E981" s="116" t="s">
        <v>36</v>
      </c>
      <c r="F981" s="118"/>
      <c r="G981" s="116"/>
      <c r="H981" s="141">
        <v>100</v>
      </c>
      <c r="I981" s="142">
        <v>63.5</v>
      </c>
      <c r="J981" s="130">
        <f t="shared" si="234"/>
        <v>6350</v>
      </c>
      <c r="K981" s="130">
        <v>6350</v>
      </c>
      <c r="L981" s="129">
        <v>6350</v>
      </c>
      <c r="M981" s="152">
        <v>45560</v>
      </c>
      <c r="N981" s="130">
        <f>+Table6[[#This Row],[стойност с ДДС]]-Table6[[#This Row],[плащане]]</f>
        <v>0</v>
      </c>
      <c r="O981" s="208">
        <v>45521</v>
      </c>
    </row>
    <row r="982" spans="1:15" x14ac:dyDescent="0.3">
      <c r="A982" s="116" t="s">
        <v>1605</v>
      </c>
      <c r="B982" s="394">
        <v>3100000519</v>
      </c>
      <c r="C982" s="117">
        <v>45516</v>
      </c>
      <c r="D982" s="116"/>
      <c r="E982" s="116" t="s">
        <v>36</v>
      </c>
      <c r="F982" s="118"/>
      <c r="G982" s="116"/>
      <c r="H982" s="141">
        <v>616</v>
      </c>
      <c r="I982" s="142">
        <v>63.51</v>
      </c>
      <c r="J982" s="130">
        <f t="shared" si="234"/>
        <v>39122.160000000003</v>
      </c>
      <c r="K982" s="130">
        <f t="shared" si="235"/>
        <v>46946.592000000004</v>
      </c>
      <c r="L982" s="129">
        <v>46946.592000000004</v>
      </c>
      <c r="M982" s="152">
        <v>45560</v>
      </c>
      <c r="N982" s="130">
        <f>+Table6[[#This Row],[стойност с ДДС]]-Table6[[#This Row],[плащане]]</f>
        <v>0</v>
      </c>
      <c r="O982" s="208">
        <v>45521</v>
      </c>
    </row>
    <row r="983" spans="1:15" x14ac:dyDescent="0.3">
      <c r="A983" s="97" t="s">
        <v>1605</v>
      </c>
      <c r="B983" s="393">
        <v>3100000519</v>
      </c>
      <c r="C983" s="110">
        <v>45516</v>
      </c>
      <c r="D983" s="97"/>
      <c r="E983" s="97" t="s">
        <v>36</v>
      </c>
      <c r="F983" s="101"/>
      <c r="G983" s="97"/>
      <c r="H983" s="113">
        <v>1000</v>
      </c>
      <c r="I983" s="114">
        <v>63.51</v>
      </c>
      <c r="J983" s="115">
        <f t="shared" ref="J983:J989" si="236">ROUND(+H983*I983,2)</f>
        <v>63510</v>
      </c>
      <c r="K983" s="115">
        <f t="shared" ref="K983:K989" si="237">J983*1.2</f>
        <v>76212</v>
      </c>
      <c r="L983" s="104">
        <v>76212</v>
      </c>
      <c r="M983" s="107">
        <v>45560</v>
      </c>
      <c r="N983" s="115">
        <f>+Table6[[#This Row],[стойност с ДДС]]-Table6[[#This Row],[плащане]]</f>
        <v>0</v>
      </c>
      <c r="O983" s="208">
        <v>45521</v>
      </c>
    </row>
    <row r="984" spans="1:15" x14ac:dyDescent="0.3">
      <c r="A984" s="97" t="s">
        <v>1605</v>
      </c>
      <c r="B984" s="393">
        <v>3100000519</v>
      </c>
      <c r="C984" s="110">
        <v>45516</v>
      </c>
      <c r="D984" s="97"/>
      <c r="E984" s="97" t="s">
        <v>36</v>
      </c>
      <c r="F984" s="101"/>
      <c r="G984" s="97"/>
      <c r="H984" s="113">
        <v>200</v>
      </c>
      <c r="I984" s="114">
        <v>64</v>
      </c>
      <c r="J984" s="115">
        <f t="shared" si="236"/>
        <v>12800</v>
      </c>
      <c r="K984" s="115">
        <f t="shared" si="237"/>
        <v>15360</v>
      </c>
      <c r="L984" s="104">
        <v>15360</v>
      </c>
      <c r="M984" s="107">
        <v>45560</v>
      </c>
      <c r="N984" s="115">
        <f>+Table6[[#This Row],[стойност с ДДС]]-Table6[[#This Row],[плащане]]</f>
        <v>0</v>
      </c>
      <c r="O984" s="208">
        <v>45521</v>
      </c>
    </row>
    <row r="985" spans="1:15" x14ac:dyDescent="0.3">
      <c r="A985" s="97" t="s">
        <v>1605</v>
      </c>
      <c r="B985" s="393">
        <v>3100000519</v>
      </c>
      <c r="C985" s="110">
        <v>45516</v>
      </c>
      <c r="D985" s="97"/>
      <c r="E985" s="97" t="s">
        <v>36</v>
      </c>
      <c r="F985" s="101"/>
      <c r="G985" s="97"/>
      <c r="H985" s="113">
        <v>250</v>
      </c>
      <c r="I985" s="114">
        <v>63.9</v>
      </c>
      <c r="J985" s="115">
        <f t="shared" si="236"/>
        <v>15975</v>
      </c>
      <c r="K985" s="115">
        <f t="shared" si="237"/>
        <v>19170</v>
      </c>
      <c r="L985" s="104">
        <v>19170</v>
      </c>
      <c r="M985" s="107">
        <v>45560</v>
      </c>
      <c r="N985" s="115">
        <f>+Table6[[#This Row],[стойност с ДДС]]-Table6[[#This Row],[плащане]]</f>
        <v>0</v>
      </c>
      <c r="O985" s="208">
        <v>45521</v>
      </c>
    </row>
    <row r="986" spans="1:15" x14ac:dyDescent="0.3">
      <c r="A986" s="97" t="s">
        <v>1605</v>
      </c>
      <c r="B986" s="393">
        <v>3100000519</v>
      </c>
      <c r="C986" s="110">
        <v>45516</v>
      </c>
      <c r="D986" s="97"/>
      <c r="E986" s="97" t="s">
        <v>36</v>
      </c>
      <c r="F986" s="101"/>
      <c r="G986" s="97"/>
      <c r="H986" s="113">
        <v>200</v>
      </c>
      <c r="I986" s="114">
        <v>64</v>
      </c>
      <c r="J986" s="115">
        <f t="shared" si="236"/>
        <v>12800</v>
      </c>
      <c r="K986" s="115">
        <f t="shared" si="237"/>
        <v>15360</v>
      </c>
      <c r="L986" s="104">
        <v>15360</v>
      </c>
      <c r="M986" s="107">
        <v>45560</v>
      </c>
      <c r="N986" s="115">
        <f>+Table6[[#This Row],[стойност с ДДС]]-Table6[[#This Row],[плащане]]</f>
        <v>0</v>
      </c>
      <c r="O986" s="208">
        <v>45521</v>
      </c>
    </row>
    <row r="987" spans="1:15" x14ac:dyDescent="0.3">
      <c r="A987" s="97" t="s">
        <v>1605</v>
      </c>
      <c r="B987" s="393">
        <v>3100000519</v>
      </c>
      <c r="C987" s="110">
        <v>45516</v>
      </c>
      <c r="D987" s="97"/>
      <c r="E987" s="97" t="s">
        <v>36</v>
      </c>
      <c r="F987" s="101"/>
      <c r="G987" s="97"/>
      <c r="H987" s="113">
        <v>616</v>
      </c>
      <c r="I987" s="114">
        <v>63.51</v>
      </c>
      <c r="J987" s="115">
        <f t="shared" si="236"/>
        <v>39122.160000000003</v>
      </c>
      <c r="K987" s="115">
        <f t="shared" si="237"/>
        <v>46946.592000000004</v>
      </c>
      <c r="L987" s="104">
        <v>46946.592000000004</v>
      </c>
      <c r="M987" s="107">
        <v>45560</v>
      </c>
      <c r="N987" s="115">
        <f>+Table6[[#This Row],[стойност с ДДС]]-Table6[[#This Row],[плащане]]</f>
        <v>0</v>
      </c>
      <c r="O987" s="208">
        <v>45521</v>
      </c>
    </row>
    <row r="988" spans="1:15" x14ac:dyDescent="0.3">
      <c r="A988" s="97" t="s">
        <v>1605</v>
      </c>
      <c r="B988" s="393">
        <v>3100000519</v>
      </c>
      <c r="C988" s="110">
        <v>45516</v>
      </c>
      <c r="D988" s="97"/>
      <c r="E988" s="97" t="s">
        <v>36</v>
      </c>
      <c r="F988" s="101"/>
      <c r="G988" s="97"/>
      <c r="H988" s="113">
        <v>1000</v>
      </c>
      <c r="I988" s="114">
        <v>63.51</v>
      </c>
      <c r="J988" s="115">
        <f t="shared" si="236"/>
        <v>63510</v>
      </c>
      <c r="K988" s="115">
        <f t="shared" si="237"/>
        <v>76212</v>
      </c>
      <c r="L988" s="104">
        <v>76212</v>
      </c>
      <c r="M988" s="107">
        <v>45560</v>
      </c>
      <c r="N988" s="115">
        <f>+Table6[[#This Row],[стойност с ДДС]]-Table6[[#This Row],[плащане]]</f>
        <v>0</v>
      </c>
      <c r="O988" s="208">
        <v>45521</v>
      </c>
    </row>
    <row r="989" spans="1:15" x14ac:dyDescent="0.3">
      <c r="A989" s="97" t="s">
        <v>1605</v>
      </c>
      <c r="B989" s="393">
        <v>3100000519</v>
      </c>
      <c r="C989" s="110">
        <v>45516</v>
      </c>
      <c r="D989" s="97"/>
      <c r="E989" s="97" t="s">
        <v>36</v>
      </c>
      <c r="F989" s="101"/>
      <c r="G989" s="97"/>
      <c r="H989" s="113">
        <v>250</v>
      </c>
      <c r="I989" s="114">
        <v>63.9</v>
      </c>
      <c r="J989" s="115">
        <f t="shared" si="236"/>
        <v>15975</v>
      </c>
      <c r="K989" s="115">
        <f t="shared" si="237"/>
        <v>19170</v>
      </c>
      <c r="L989" s="104">
        <v>19170</v>
      </c>
      <c r="M989" s="107">
        <v>45560</v>
      </c>
      <c r="N989" s="115">
        <f>+Table6[[#This Row],[стойност с ДДС]]-Table6[[#This Row],[плащане]]</f>
        <v>0</v>
      </c>
      <c r="O989" s="208">
        <v>45521</v>
      </c>
    </row>
    <row r="990" spans="1:15" x14ac:dyDescent="0.3">
      <c r="A990" s="116" t="s">
        <v>37</v>
      </c>
      <c r="B990" s="394">
        <v>3100000520</v>
      </c>
      <c r="C990" s="117">
        <v>45516</v>
      </c>
      <c r="D990" s="116"/>
      <c r="E990" s="97" t="s">
        <v>36</v>
      </c>
      <c r="F990" s="118"/>
      <c r="G990" s="116"/>
      <c r="H990" s="141">
        <v>50</v>
      </c>
      <c r="I990" s="142">
        <v>63.9</v>
      </c>
      <c r="J990" s="130">
        <f>ROUND(+H990*I990,2)</f>
        <v>3195</v>
      </c>
      <c r="K990" s="130">
        <f>J990*1.2</f>
        <v>3834</v>
      </c>
      <c r="L990" s="129">
        <v>3834</v>
      </c>
      <c r="M990" s="152">
        <v>45560</v>
      </c>
      <c r="N990" s="130">
        <f>+Table6[[#This Row],[стойност с ДДС]]-Table6[[#This Row],[плащане]]</f>
        <v>0</v>
      </c>
      <c r="O990" s="208">
        <v>45521</v>
      </c>
    </row>
    <row r="991" spans="1:15" x14ac:dyDescent="0.3">
      <c r="A991" s="116" t="s">
        <v>37</v>
      </c>
      <c r="B991" s="394">
        <v>3100000520</v>
      </c>
      <c r="C991" s="117">
        <v>45516</v>
      </c>
      <c r="D991" s="116"/>
      <c r="E991" s="116" t="s">
        <v>36</v>
      </c>
      <c r="F991" s="118"/>
      <c r="G991" s="116"/>
      <c r="H991" s="141">
        <v>50</v>
      </c>
      <c r="I991" s="142">
        <v>63.9</v>
      </c>
      <c r="J991" s="130">
        <f>ROUND(+H991*I991,2)</f>
        <v>3195</v>
      </c>
      <c r="K991" s="130">
        <f>J991*1.2</f>
        <v>3834</v>
      </c>
      <c r="L991" s="129">
        <v>3834</v>
      </c>
      <c r="M991" s="152">
        <v>45560</v>
      </c>
      <c r="N991" s="130">
        <f>+Table6[[#This Row],[стойност с ДДС]]-Table6[[#This Row],[плащане]]</f>
        <v>0</v>
      </c>
      <c r="O991" s="208">
        <v>45521</v>
      </c>
    </row>
    <row r="992" spans="1:15" x14ac:dyDescent="0.3">
      <c r="A992" s="116" t="s">
        <v>1606</v>
      </c>
      <c r="B992" s="394">
        <v>3100000521</v>
      </c>
      <c r="C992" s="117">
        <v>45516</v>
      </c>
      <c r="D992" s="116"/>
      <c r="E992" s="116" t="s">
        <v>36</v>
      </c>
      <c r="F992" s="118"/>
      <c r="G992" s="116"/>
      <c r="H992" s="141">
        <v>60</v>
      </c>
      <c r="I992" s="142">
        <v>62.01</v>
      </c>
      <c r="J992" s="130">
        <f>ROUND(+H992*I992,2)</f>
        <v>3720.6</v>
      </c>
      <c r="K992" s="130">
        <f>J992*1.2</f>
        <v>4464.7199999999993</v>
      </c>
      <c r="L992" s="129">
        <v>4464.7199999999993</v>
      </c>
      <c r="M992" s="152">
        <v>45560</v>
      </c>
      <c r="N992" s="130">
        <f>+Table6[[#This Row],[стойност с ДДС]]-Table6[[#This Row],[плащане]]</f>
        <v>0</v>
      </c>
      <c r="O992" s="208">
        <v>45521</v>
      </c>
    </row>
    <row r="993" spans="1:15" x14ac:dyDescent="0.3">
      <c r="A993" s="97" t="s">
        <v>1606</v>
      </c>
      <c r="B993" s="393">
        <v>3100000521</v>
      </c>
      <c r="C993" s="110">
        <v>45516</v>
      </c>
      <c r="D993" s="97"/>
      <c r="E993" s="116" t="s">
        <v>36</v>
      </c>
      <c r="F993" s="101"/>
      <c r="G993" s="97"/>
      <c r="H993" s="113">
        <v>60</v>
      </c>
      <c r="I993" s="114">
        <v>64.05</v>
      </c>
      <c r="J993" s="115">
        <f t="shared" ref="J993:J994" si="238">ROUND(+H993*I993,2)</f>
        <v>3843</v>
      </c>
      <c r="K993" s="115">
        <f t="shared" ref="K993:K994" si="239">J993*1.2</f>
        <v>4611.5999999999995</v>
      </c>
      <c r="L993" s="104">
        <v>4611.5999999999995</v>
      </c>
      <c r="M993" s="107">
        <v>45560</v>
      </c>
      <c r="N993" s="115">
        <f>+Table6[[#This Row],[стойност с ДДС]]-Table6[[#This Row],[плащане]]</f>
        <v>0</v>
      </c>
      <c r="O993" s="208">
        <v>45521</v>
      </c>
    </row>
    <row r="994" spans="1:15" x14ac:dyDescent="0.3">
      <c r="A994" s="116" t="s">
        <v>1606</v>
      </c>
      <c r="B994" s="394">
        <v>3100000521</v>
      </c>
      <c r="C994" s="117">
        <v>45516</v>
      </c>
      <c r="D994" s="116"/>
      <c r="E994" s="116" t="s">
        <v>36</v>
      </c>
      <c r="F994" s="118"/>
      <c r="G994" s="116"/>
      <c r="H994" s="141">
        <v>60</v>
      </c>
      <c r="I994" s="142">
        <v>64.05</v>
      </c>
      <c r="J994" s="130">
        <f t="shared" si="238"/>
        <v>3843</v>
      </c>
      <c r="K994" s="130">
        <f t="shared" si="239"/>
        <v>4611.5999999999995</v>
      </c>
      <c r="L994" s="129">
        <v>4611.5999999999995</v>
      </c>
      <c r="M994" s="152">
        <v>45560</v>
      </c>
      <c r="N994" s="130">
        <f>+Table6[[#This Row],[стойност с ДДС]]-Table6[[#This Row],[плащане]]</f>
        <v>0</v>
      </c>
      <c r="O994" s="208">
        <v>45521</v>
      </c>
    </row>
    <row r="995" spans="1:15" x14ac:dyDescent="0.3">
      <c r="A995" s="116" t="s">
        <v>1119</v>
      </c>
      <c r="B995" s="394">
        <v>3100000522</v>
      </c>
      <c r="C995" s="117">
        <v>45516</v>
      </c>
      <c r="D995" s="116"/>
      <c r="E995" s="116" t="s">
        <v>36</v>
      </c>
      <c r="F995" s="118"/>
      <c r="G995" s="116"/>
      <c r="H995" s="141">
        <v>200</v>
      </c>
      <c r="I995" s="142">
        <v>52</v>
      </c>
      <c r="J995" s="130">
        <f>ROUND(+H995*I995,2)</f>
        <v>10400</v>
      </c>
      <c r="K995" s="130">
        <v>10400</v>
      </c>
      <c r="L995" s="129">
        <v>10400</v>
      </c>
      <c r="M995" s="152">
        <v>45560</v>
      </c>
      <c r="N995" s="130">
        <f>+Table6[[#This Row],[стойност с ДДС]]-Table6[[#This Row],[плащане]]</f>
        <v>0</v>
      </c>
      <c r="O995" s="208">
        <v>45521</v>
      </c>
    </row>
    <row r="996" spans="1:15" x14ac:dyDescent="0.3">
      <c r="A996" s="97" t="s">
        <v>1119</v>
      </c>
      <c r="B996" s="393">
        <v>3100000522</v>
      </c>
      <c r="C996" s="110">
        <v>45516</v>
      </c>
      <c r="D996" s="97"/>
      <c r="E996" s="97" t="s">
        <v>36</v>
      </c>
      <c r="F996" s="101"/>
      <c r="G996" s="97"/>
      <c r="H996" s="113">
        <v>100</v>
      </c>
      <c r="I996" s="114">
        <v>63</v>
      </c>
      <c r="J996" s="115">
        <f t="shared" ref="J996:J997" si="240">ROUND(+H996*I996,2)</f>
        <v>6300</v>
      </c>
      <c r="K996" s="115">
        <v>7300</v>
      </c>
      <c r="L996" s="104">
        <v>7300</v>
      </c>
      <c r="M996" s="107">
        <v>45560</v>
      </c>
      <c r="N996" s="115">
        <f>+Table6[[#This Row],[стойност с ДДС]]-Table6[[#This Row],[плащане]]</f>
        <v>0</v>
      </c>
      <c r="O996" s="208">
        <v>45521</v>
      </c>
    </row>
    <row r="997" spans="1:15" x14ac:dyDescent="0.3">
      <c r="A997" s="116" t="s">
        <v>1119</v>
      </c>
      <c r="B997" s="394">
        <v>3100000522</v>
      </c>
      <c r="C997" s="117">
        <v>45516</v>
      </c>
      <c r="D997" s="116"/>
      <c r="E997" s="116" t="s">
        <v>36</v>
      </c>
      <c r="F997" s="118"/>
      <c r="G997" s="116"/>
      <c r="H997" s="141">
        <v>30</v>
      </c>
      <c r="I997" s="142">
        <v>65</v>
      </c>
      <c r="J997" s="130">
        <f t="shared" si="240"/>
        <v>1950</v>
      </c>
      <c r="K997" s="130">
        <v>1950</v>
      </c>
      <c r="L997" s="129">
        <v>1950</v>
      </c>
      <c r="M997" s="152">
        <v>45560</v>
      </c>
      <c r="N997" s="130">
        <f>+Table6[[#This Row],[стойност с ДДС]]-Table6[[#This Row],[плащане]]</f>
        <v>0</v>
      </c>
      <c r="O997" s="208">
        <v>45521</v>
      </c>
    </row>
    <row r="998" spans="1:15" x14ac:dyDescent="0.3">
      <c r="A998" s="116" t="s">
        <v>1119</v>
      </c>
      <c r="B998" s="394">
        <v>3100000522</v>
      </c>
      <c r="C998" s="117">
        <v>45516</v>
      </c>
      <c r="D998" s="116"/>
      <c r="E998" s="116" t="s">
        <v>36</v>
      </c>
      <c r="F998" s="118"/>
      <c r="G998" s="116"/>
      <c r="H998" s="141">
        <v>100</v>
      </c>
      <c r="I998" s="142">
        <v>63</v>
      </c>
      <c r="J998" s="130">
        <f>ROUND(+H998*I998,2)</f>
        <v>6300</v>
      </c>
      <c r="K998" s="130">
        <v>7300</v>
      </c>
      <c r="L998" s="129">
        <v>7300</v>
      </c>
      <c r="M998" s="152">
        <v>45560</v>
      </c>
      <c r="N998" s="130">
        <f>+Table6[[#This Row],[стойност с ДДС]]-Table6[[#This Row],[плащане]]</f>
        <v>0</v>
      </c>
      <c r="O998" s="208">
        <v>45521</v>
      </c>
    </row>
    <row r="999" spans="1:15" x14ac:dyDescent="0.3">
      <c r="A999" s="116" t="s">
        <v>1486</v>
      </c>
      <c r="B999" s="394">
        <v>3100000523</v>
      </c>
      <c r="C999" s="117">
        <v>45516</v>
      </c>
      <c r="D999" s="116"/>
      <c r="E999" s="116" t="s">
        <v>36</v>
      </c>
      <c r="F999" s="118"/>
      <c r="G999" s="116"/>
      <c r="H999" s="141">
        <v>100</v>
      </c>
      <c r="I999" s="142">
        <f>32.211*1.9563</f>
        <v>63.014379299999995</v>
      </c>
      <c r="J999" s="130">
        <f>ROUND(+H999*I999,2)</f>
        <v>6301.44</v>
      </c>
      <c r="K999" s="130">
        <v>6301.44</v>
      </c>
      <c r="L999" s="129">
        <v>6301.44</v>
      </c>
      <c r="M999" s="152">
        <v>45560</v>
      </c>
      <c r="N999" s="130">
        <f>+Table6[[#This Row],[стойност с ДДС]]-Table6[[#This Row],[плащане]]</f>
        <v>0</v>
      </c>
      <c r="O999" s="208">
        <v>45521</v>
      </c>
    </row>
    <row r="1000" spans="1:15" x14ac:dyDescent="0.3">
      <c r="A1000" s="97" t="s">
        <v>1486</v>
      </c>
      <c r="B1000" s="393">
        <v>3100000523</v>
      </c>
      <c r="C1000" s="110">
        <v>45516</v>
      </c>
      <c r="D1000" s="97"/>
      <c r="E1000" s="97" t="s">
        <v>36</v>
      </c>
      <c r="F1000" s="101"/>
      <c r="G1000" s="97"/>
      <c r="H1000" s="113">
        <v>200</v>
      </c>
      <c r="I1000" s="114">
        <f>32.62*1.9563</f>
        <v>63.814505999999994</v>
      </c>
      <c r="J1000" s="115">
        <f t="shared" ref="J1000:J1006" si="241">ROUND(+H1000*I1000,2)</f>
        <v>12762.9</v>
      </c>
      <c r="K1000" s="115">
        <v>12762.9</v>
      </c>
      <c r="L1000" s="104">
        <v>12762.9</v>
      </c>
      <c r="M1000" s="107">
        <v>45560</v>
      </c>
      <c r="N1000" s="115">
        <f>+Table6[[#This Row],[стойност с ДДС]]-Table6[[#This Row],[плащане]]</f>
        <v>0</v>
      </c>
      <c r="O1000" s="208">
        <v>45521</v>
      </c>
    </row>
    <row r="1001" spans="1:15" x14ac:dyDescent="0.3">
      <c r="A1001" s="97" t="s">
        <v>1486</v>
      </c>
      <c r="B1001" s="393">
        <v>3100000523</v>
      </c>
      <c r="C1001" s="110">
        <v>45516</v>
      </c>
      <c r="D1001" s="97"/>
      <c r="E1001" s="97" t="s">
        <v>36</v>
      </c>
      <c r="F1001" s="101"/>
      <c r="G1001" s="97"/>
      <c r="H1001" s="113">
        <v>100</v>
      </c>
      <c r="I1001" s="114">
        <f>32.825*1.9563</f>
        <v>64.2155475</v>
      </c>
      <c r="J1001" s="115">
        <f t="shared" si="241"/>
        <v>6421.55</v>
      </c>
      <c r="K1001" s="115">
        <v>6421.55</v>
      </c>
      <c r="L1001" s="104">
        <v>6421.55</v>
      </c>
      <c r="M1001" s="107">
        <v>45560</v>
      </c>
      <c r="N1001" s="115">
        <f>+Table6[[#This Row],[стойност с ДДС]]-Table6[[#This Row],[плащане]]</f>
        <v>0</v>
      </c>
      <c r="O1001" s="208">
        <v>45521</v>
      </c>
    </row>
    <row r="1002" spans="1:15" x14ac:dyDescent="0.3">
      <c r="A1002" s="97" t="s">
        <v>1486</v>
      </c>
      <c r="B1002" s="393">
        <v>3100000523</v>
      </c>
      <c r="C1002" s="110">
        <v>45516</v>
      </c>
      <c r="D1002" s="97"/>
      <c r="E1002" s="97" t="s">
        <v>36</v>
      </c>
      <c r="F1002" s="101"/>
      <c r="G1002" s="97"/>
      <c r="H1002" s="113">
        <v>200</v>
      </c>
      <c r="I1002" s="114">
        <f>32.62*1.9563</f>
        <v>63.814505999999994</v>
      </c>
      <c r="J1002" s="115">
        <f>ROUND(+H1002*I1002,2)</f>
        <v>12762.9</v>
      </c>
      <c r="K1002" s="115">
        <v>12661.28</v>
      </c>
      <c r="L1002" s="104">
        <v>12661.28</v>
      </c>
      <c r="M1002" s="107">
        <v>45560</v>
      </c>
      <c r="N1002" s="115">
        <f>+Table6[[#This Row],[стойност с ДДС]]-Table6[[#This Row],[плащане]]</f>
        <v>0</v>
      </c>
      <c r="O1002" s="208">
        <v>45521</v>
      </c>
    </row>
    <row r="1003" spans="1:15" x14ac:dyDescent="0.3">
      <c r="A1003" s="97" t="s">
        <v>1486</v>
      </c>
      <c r="B1003" s="393">
        <v>3100000523</v>
      </c>
      <c r="C1003" s="110">
        <v>45516</v>
      </c>
      <c r="D1003" s="97"/>
      <c r="E1003" s="97" t="s">
        <v>36</v>
      </c>
      <c r="F1003" s="101"/>
      <c r="G1003" s="97"/>
      <c r="H1003" s="113">
        <v>50</v>
      </c>
      <c r="I1003" s="114">
        <f>33.234*1.9563</f>
        <v>65.015674200000007</v>
      </c>
      <c r="J1003" s="115">
        <f t="shared" si="241"/>
        <v>3250.78</v>
      </c>
      <c r="K1003" s="115">
        <v>3253.5</v>
      </c>
      <c r="L1003" s="104">
        <v>3253.5</v>
      </c>
      <c r="M1003" s="107">
        <v>45560</v>
      </c>
      <c r="N1003" s="115">
        <f>+Table6[[#This Row],[стойност с ДДС]]-Table6[[#This Row],[плащане]]</f>
        <v>0</v>
      </c>
      <c r="O1003" s="208">
        <v>45521</v>
      </c>
    </row>
    <row r="1004" spans="1:15" x14ac:dyDescent="0.3">
      <c r="A1004" s="97" t="s">
        <v>1486</v>
      </c>
      <c r="B1004" s="393">
        <v>3100000523</v>
      </c>
      <c r="C1004" s="110">
        <v>45516</v>
      </c>
      <c r="D1004" s="97"/>
      <c r="E1004" s="97" t="s">
        <v>36</v>
      </c>
      <c r="F1004" s="101"/>
      <c r="G1004" s="97"/>
      <c r="H1004" s="113">
        <v>200</v>
      </c>
      <c r="I1004" s="114">
        <f>32.62*1.9563</f>
        <v>63.814505999999994</v>
      </c>
      <c r="J1004" s="115">
        <f t="shared" si="241"/>
        <v>12762.9</v>
      </c>
      <c r="K1004" s="115">
        <v>12645.9</v>
      </c>
      <c r="L1004" s="104">
        <v>12645.9</v>
      </c>
      <c r="M1004" s="107">
        <v>45560</v>
      </c>
      <c r="N1004" s="115">
        <f>+Table6[[#This Row],[стойност с ДДС]]-Table6[[#This Row],[плащане]]</f>
        <v>0</v>
      </c>
      <c r="O1004" s="208">
        <v>45521</v>
      </c>
    </row>
    <row r="1005" spans="1:15" x14ac:dyDescent="0.3">
      <c r="A1005" s="97" t="s">
        <v>1486</v>
      </c>
      <c r="B1005" s="393">
        <v>3100000523</v>
      </c>
      <c r="C1005" s="110">
        <v>45516</v>
      </c>
      <c r="D1005" s="97"/>
      <c r="E1005" s="97" t="s">
        <v>36</v>
      </c>
      <c r="F1005" s="101"/>
      <c r="G1005" s="97"/>
      <c r="H1005" s="113">
        <v>200</v>
      </c>
      <c r="I1005" s="114">
        <f>32.62*1.9563</f>
        <v>63.814505999999994</v>
      </c>
      <c r="J1005" s="115">
        <f t="shared" si="241"/>
        <v>12762.9</v>
      </c>
      <c r="K1005" s="115">
        <v>12742.96</v>
      </c>
      <c r="L1005" s="104">
        <v>12742.96</v>
      </c>
      <c r="M1005" s="107">
        <v>45560</v>
      </c>
      <c r="N1005" s="115">
        <f>+Table6[[#This Row],[стойност с ДДС]]-Table6[[#This Row],[плащане]]</f>
        <v>0</v>
      </c>
      <c r="O1005" s="208">
        <v>45521</v>
      </c>
    </row>
    <row r="1006" spans="1:15" x14ac:dyDescent="0.3">
      <c r="A1006" s="116" t="s">
        <v>1486</v>
      </c>
      <c r="B1006" s="394">
        <v>3100000523</v>
      </c>
      <c r="C1006" s="117">
        <v>45516</v>
      </c>
      <c r="D1006" s="116"/>
      <c r="E1006" s="116" t="s">
        <v>36</v>
      </c>
      <c r="F1006" s="118"/>
      <c r="G1006" s="116"/>
      <c r="H1006" s="141">
        <v>100</v>
      </c>
      <c r="I1006" s="142">
        <f>32.825*1.9563</f>
        <v>64.2155475</v>
      </c>
      <c r="J1006" s="130">
        <f t="shared" si="241"/>
        <v>6421.55</v>
      </c>
      <c r="K1006" s="130">
        <v>6421.55</v>
      </c>
      <c r="L1006" s="129">
        <v>6421.55</v>
      </c>
      <c r="M1006" s="152">
        <v>45560</v>
      </c>
      <c r="N1006" s="130">
        <f>+Table6[[#This Row],[стойност с ДДС]]-Table6[[#This Row],[плащане]]</f>
        <v>0</v>
      </c>
      <c r="O1006" s="208">
        <v>45521</v>
      </c>
    </row>
    <row r="1007" spans="1:15" x14ac:dyDescent="0.3">
      <c r="A1007" s="116" t="s">
        <v>105</v>
      </c>
      <c r="B1007" s="394">
        <v>3100000524</v>
      </c>
      <c r="C1007" s="117">
        <v>45516</v>
      </c>
      <c r="D1007" s="116"/>
      <c r="E1007" s="116" t="s">
        <v>36</v>
      </c>
      <c r="F1007" s="118"/>
      <c r="G1007" s="116"/>
      <c r="H1007" s="141">
        <v>70</v>
      </c>
      <c r="I1007" s="142">
        <v>63.5</v>
      </c>
      <c r="J1007" s="130">
        <f>ROUND(+H1007*I1007,2)</f>
        <v>4445</v>
      </c>
      <c r="K1007" s="130">
        <f>J1007*1.2</f>
        <v>5334</v>
      </c>
      <c r="L1007" s="129">
        <v>5334</v>
      </c>
      <c r="M1007" s="152">
        <v>45560</v>
      </c>
      <c r="N1007" s="130">
        <f>+Table6[[#This Row],[стойност с ДДС]]-Table6[[#This Row],[плащане]]</f>
        <v>0</v>
      </c>
      <c r="O1007" s="208">
        <v>45521</v>
      </c>
    </row>
    <row r="1008" spans="1:15" x14ac:dyDescent="0.3">
      <c r="A1008" s="97" t="s">
        <v>105</v>
      </c>
      <c r="B1008" s="393">
        <v>3100000524</v>
      </c>
      <c r="C1008" s="110">
        <v>45516</v>
      </c>
      <c r="D1008" s="97"/>
      <c r="E1008" s="97" t="s">
        <v>36</v>
      </c>
      <c r="F1008" s="101"/>
      <c r="G1008" s="97"/>
      <c r="H1008" s="113">
        <v>110</v>
      </c>
      <c r="I1008" s="114">
        <v>64</v>
      </c>
      <c r="J1008" s="115">
        <f t="shared" ref="J1008:J1009" si="242">ROUND(+H1008*I1008,2)</f>
        <v>7040</v>
      </c>
      <c r="K1008" s="115">
        <f t="shared" ref="K1008:K1009" si="243">J1008*1.2</f>
        <v>8448</v>
      </c>
      <c r="L1008" s="104">
        <v>8448</v>
      </c>
      <c r="M1008" s="107">
        <v>45560</v>
      </c>
      <c r="N1008" s="115">
        <f>+Table6[[#This Row],[стойност с ДДС]]-Table6[[#This Row],[плащане]]</f>
        <v>0</v>
      </c>
      <c r="O1008" s="208">
        <v>45521</v>
      </c>
    </row>
    <row r="1009" spans="1:15" x14ac:dyDescent="0.3">
      <c r="A1009" s="116" t="s">
        <v>105</v>
      </c>
      <c r="B1009" s="394">
        <v>3100000524</v>
      </c>
      <c r="C1009" s="117">
        <v>45516</v>
      </c>
      <c r="D1009" s="116"/>
      <c r="E1009" s="116" t="s">
        <v>36</v>
      </c>
      <c r="F1009" s="118"/>
      <c r="G1009" s="116"/>
      <c r="H1009" s="141">
        <v>110</v>
      </c>
      <c r="I1009" s="142">
        <v>64</v>
      </c>
      <c r="J1009" s="130">
        <f t="shared" si="242"/>
        <v>7040</v>
      </c>
      <c r="K1009" s="130">
        <f t="shared" si="243"/>
        <v>8448</v>
      </c>
      <c r="L1009" s="129">
        <v>8448</v>
      </c>
      <c r="M1009" s="152">
        <v>45560</v>
      </c>
      <c r="N1009" s="130">
        <f>+Table6[[#This Row],[стойност с ДДС]]-Table6[[#This Row],[плащане]]</f>
        <v>0</v>
      </c>
      <c r="O1009" s="208">
        <v>45521</v>
      </c>
    </row>
    <row r="1010" spans="1:15" x14ac:dyDescent="0.3">
      <c r="A1010" s="116" t="s">
        <v>1607</v>
      </c>
      <c r="B1010" s="394">
        <v>3100000525</v>
      </c>
      <c r="C1010" s="117">
        <v>45516</v>
      </c>
      <c r="D1010" s="116"/>
      <c r="E1010" s="116" t="s">
        <v>36</v>
      </c>
      <c r="F1010" s="118"/>
      <c r="G1010" s="116"/>
      <c r="H1010" s="141">
        <v>1</v>
      </c>
      <c r="I1010" s="142">
        <v>38.020000000000003</v>
      </c>
      <c r="J1010" s="130">
        <f>ROUND(+H1010*I1010,2)</f>
        <v>38.020000000000003</v>
      </c>
      <c r="K1010" s="130">
        <v>38.020000000000003</v>
      </c>
      <c r="L1010" s="129">
        <v>38.020000000000003</v>
      </c>
      <c r="M1010" s="152">
        <v>45560</v>
      </c>
      <c r="N1010" s="130">
        <f>+Table6[[#This Row],[стойност с ДДС]]-Table6[[#This Row],[плащане]]</f>
        <v>0</v>
      </c>
      <c r="O1010" s="208">
        <v>45521</v>
      </c>
    </row>
    <row r="1011" spans="1:15" x14ac:dyDescent="0.3">
      <c r="A1011" s="97" t="s">
        <v>1607</v>
      </c>
      <c r="B1011" s="393">
        <v>3100000525</v>
      </c>
      <c r="C1011" s="110">
        <v>45516</v>
      </c>
      <c r="D1011" s="97"/>
      <c r="E1011" s="97" t="s">
        <v>36</v>
      </c>
      <c r="F1011" s="101"/>
      <c r="G1011" s="97"/>
      <c r="H1011" s="113">
        <v>1</v>
      </c>
      <c r="I1011" s="114">
        <v>12.16</v>
      </c>
      <c r="J1011" s="115">
        <f t="shared" ref="J1011:J1012" si="244">ROUND(+H1011*I1011,2)</f>
        <v>12.16</v>
      </c>
      <c r="K1011" s="115">
        <v>12.16</v>
      </c>
      <c r="L1011" s="104">
        <v>12.16</v>
      </c>
      <c r="M1011" s="107">
        <v>45560</v>
      </c>
      <c r="N1011" s="130">
        <f>+Table6[[#This Row],[стойност с ДДС]]-Table6[[#This Row],[плащане]]</f>
        <v>0</v>
      </c>
      <c r="O1011" s="208">
        <v>45521</v>
      </c>
    </row>
    <row r="1012" spans="1:15" x14ac:dyDescent="0.3">
      <c r="A1012" s="116" t="s">
        <v>1607</v>
      </c>
      <c r="B1012" s="394">
        <v>3100000525</v>
      </c>
      <c r="C1012" s="117">
        <v>45516</v>
      </c>
      <c r="D1012" s="116"/>
      <c r="E1012" s="116" t="s">
        <v>36</v>
      </c>
      <c r="F1012" s="118"/>
      <c r="G1012" s="116"/>
      <c r="H1012" s="141">
        <v>1</v>
      </c>
      <c r="I1012" s="142">
        <v>4.6500000000000004</v>
      </c>
      <c r="J1012" s="130">
        <f t="shared" si="244"/>
        <v>4.6500000000000004</v>
      </c>
      <c r="K1012" s="130">
        <v>4.6500000000000004</v>
      </c>
      <c r="L1012" s="129">
        <v>4.6500000000000004</v>
      </c>
      <c r="M1012" s="152">
        <v>45560</v>
      </c>
      <c r="N1012" s="130">
        <f>+Table6[[#This Row],[стойност с ДДС]]-Table6[[#This Row],[плащане]]</f>
        <v>0</v>
      </c>
      <c r="O1012" s="208">
        <v>45521</v>
      </c>
    </row>
    <row r="1013" spans="1:15" x14ac:dyDescent="0.3">
      <c r="A1013" s="97" t="s">
        <v>1623</v>
      </c>
      <c r="B1013" s="393">
        <v>3100000526</v>
      </c>
      <c r="C1013" s="110">
        <v>45516</v>
      </c>
      <c r="D1013" s="97"/>
      <c r="E1013" s="116" t="s">
        <v>36</v>
      </c>
      <c r="F1013" s="101"/>
      <c r="G1013" s="97"/>
      <c r="H1013" s="113">
        <v>96</v>
      </c>
      <c r="I1013" s="114">
        <v>68</v>
      </c>
      <c r="J1013" s="115">
        <f t="shared" ref="J1013:J1025" si="245">ROUND(+H1013*I1013,2)</f>
        <v>6528</v>
      </c>
      <c r="K1013" s="115">
        <f t="shared" ref="K1013:K1019" si="246">J1013*1.2</f>
        <v>7833.5999999999995</v>
      </c>
      <c r="L1013" s="104">
        <v>7833.5999999999995</v>
      </c>
      <c r="M1013" s="107">
        <v>45560</v>
      </c>
      <c r="N1013" s="115">
        <f>+Table6[[#This Row],[стойност с ДДС]]-Table6[[#This Row],[плащане]]</f>
        <v>0</v>
      </c>
      <c r="O1013" s="208">
        <v>45521</v>
      </c>
    </row>
    <row r="1014" spans="1:15" x14ac:dyDescent="0.3">
      <c r="A1014" s="97" t="s">
        <v>37</v>
      </c>
      <c r="B1014" s="393">
        <v>3100000527</v>
      </c>
      <c r="C1014" s="117">
        <v>45516</v>
      </c>
      <c r="D1014" s="97"/>
      <c r="E1014" s="116" t="s">
        <v>36</v>
      </c>
      <c r="F1014" s="101"/>
      <c r="G1014" s="97"/>
      <c r="H1014" s="113">
        <v>500</v>
      </c>
      <c r="I1014" s="114">
        <v>65</v>
      </c>
      <c r="J1014" s="115">
        <f t="shared" si="245"/>
        <v>32500</v>
      </c>
      <c r="K1014" s="115">
        <f t="shared" si="246"/>
        <v>39000</v>
      </c>
      <c r="L1014" s="104">
        <v>39000</v>
      </c>
      <c r="M1014" s="107">
        <v>45560</v>
      </c>
      <c r="N1014" s="115">
        <f>+Table6[[#This Row],[стойност с ДДС]]-Table6[[#This Row],[плащане]]</f>
        <v>0</v>
      </c>
      <c r="O1014" s="208">
        <v>45521</v>
      </c>
    </row>
    <row r="1015" spans="1:15" x14ac:dyDescent="0.3">
      <c r="A1015" s="97" t="s">
        <v>37</v>
      </c>
      <c r="B1015" s="393">
        <v>3100000527</v>
      </c>
      <c r="C1015" s="110">
        <v>45516</v>
      </c>
      <c r="D1015" s="97"/>
      <c r="E1015" s="97" t="s">
        <v>36</v>
      </c>
      <c r="F1015" s="101"/>
      <c r="G1015" s="97"/>
      <c r="H1015" s="113">
        <v>500</v>
      </c>
      <c r="I1015" s="114">
        <v>67</v>
      </c>
      <c r="J1015" s="115">
        <f t="shared" si="245"/>
        <v>33500</v>
      </c>
      <c r="K1015" s="115">
        <f t="shared" si="246"/>
        <v>40200</v>
      </c>
      <c r="L1015" s="104">
        <v>40200</v>
      </c>
      <c r="M1015" s="107">
        <v>45560</v>
      </c>
      <c r="N1015" s="115">
        <f>+Table6[[#This Row],[стойност с ДДС]]-Table6[[#This Row],[плащане]]</f>
        <v>0</v>
      </c>
      <c r="O1015" s="208">
        <v>45521</v>
      </c>
    </row>
    <row r="1016" spans="1:15" x14ac:dyDescent="0.3">
      <c r="A1016" s="97" t="s">
        <v>37</v>
      </c>
      <c r="B1016" s="393">
        <v>3100000527</v>
      </c>
      <c r="C1016" s="117">
        <v>45516</v>
      </c>
      <c r="D1016" s="97"/>
      <c r="E1016" s="97" t="s">
        <v>36</v>
      </c>
      <c r="F1016" s="101"/>
      <c r="G1016" s="97"/>
      <c r="H1016" s="113">
        <v>4</v>
      </c>
      <c r="I1016" s="114">
        <v>68</v>
      </c>
      <c r="J1016" s="115">
        <f t="shared" si="245"/>
        <v>272</v>
      </c>
      <c r="K1016" s="115">
        <f t="shared" si="246"/>
        <v>326.39999999999998</v>
      </c>
      <c r="L1016" s="104">
        <v>326.39999999999998</v>
      </c>
      <c r="M1016" s="107">
        <v>45560</v>
      </c>
      <c r="N1016" s="115">
        <f>+Table6[[#This Row],[стойност с ДДС]]-Table6[[#This Row],[плащане]]</f>
        <v>0</v>
      </c>
      <c r="O1016" s="208">
        <v>45521</v>
      </c>
    </row>
    <row r="1017" spans="1:15" x14ac:dyDescent="0.3">
      <c r="A1017" s="97" t="s">
        <v>37</v>
      </c>
      <c r="B1017" s="393">
        <v>3100000527</v>
      </c>
      <c r="C1017" s="110">
        <v>45516</v>
      </c>
      <c r="D1017" s="97"/>
      <c r="E1017" s="97" t="s">
        <v>36</v>
      </c>
      <c r="F1017" s="101"/>
      <c r="G1017" s="97"/>
      <c r="H1017" s="113">
        <v>500</v>
      </c>
      <c r="I1017" s="114">
        <v>68.5</v>
      </c>
      <c r="J1017" s="115">
        <f t="shared" si="245"/>
        <v>34250</v>
      </c>
      <c r="K1017" s="115">
        <f t="shared" si="246"/>
        <v>41100</v>
      </c>
      <c r="L1017" s="104">
        <v>41100</v>
      </c>
      <c r="M1017" s="107">
        <v>45560</v>
      </c>
      <c r="N1017" s="115">
        <f>+Table6[[#This Row],[стойност с ДДС]]-Table6[[#This Row],[плащане]]</f>
        <v>0</v>
      </c>
      <c r="O1017" s="208">
        <v>45521</v>
      </c>
    </row>
    <row r="1018" spans="1:15" x14ac:dyDescent="0.3">
      <c r="A1018" s="97" t="s">
        <v>37</v>
      </c>
      <c r="B1018" s="393">
        <v>3100000527</v>
      </c>
      <c r="C1018" s="117">
        <v>45516</v>
      </c>
      <c r="D1018" s="97"/>
      <c r="E1018" s="97" t="s">
        <v>36</v>
      </c>
      <c r="F1018" s="101"/>
      <c r="G1018" s="97"/>
      <c r="H1018" s="113">
        <v>200</v>
      </c>
      <c r="I1018" s="114">
        <v>70</v>
      </c>
      <c r="J1018" s="115">
        <f t="shared" si="245"/>
        <v>14000</v>
      </c>
      <c r="K1018" s="115">
        <f t="shared" si="246"/>
        <v>16800</v>
      </c>
      <c r="L1018" s="104">
        <v>16800</v>
      </c>
      <c r="M1018" s="107">
        <v>45560</v>
      </c>
      <c r="N1018" s="115">
        <f>+Table6[[#This Row],[стойност с ДДС]]-Table6[[#This Row],[плащане]]</f>
        <v>0</v>
      </c>
      <c r="O1018" s="208">
        <v>45521</v>
      </c>
    </row>
    <row r="1019" spans="1:15" x14ac:dyDescent="0.3">
      <c r="A1019" s="97" t="s">
        <v>37</v>
      </c>
      <c r="B1019" s="393">
        <v>3100000527</v>
      </c>
      <c r="C1019" s="110">
        <v>45516</v>
      </c>
      <c r="D1019" s="97"/>
      <c r="E1019" s="97" t="s">
        <v>36</v>
      </c>
      <c r="F1019" s="101"/>
      <c r="G1019" s="97"/>
      <c r="H1019" s="113">
        <v>200</v>
      </c>
      <c r="I1019" s="114">
        <v>73</v>
      </c>
      <c r="J1019" s="115">
        <f t="shared" si="245"/>
        <v>14600</v>
      </c>
      <c r="K1019" s="115">
        <f t="shared" si="246"/>
        <v>17520</v>
      </c>
      <c r="L1019" s="104">
        <v>17520</v>
      </c>
      <c r="M1019" s="107">
        <v>45560</v>
      </c>
      <c r="N1019" s="115">
        <f>+Table6[[#This Row],[стойност с ДДС]]-Table6[[#This Row],[плащане]]</f>
        <v>0</v>
      </c>
      <c r="O1019" s="208">
        <v>45521</v>
      </c>
    </row>
    <row r="1020" spans="1:15" x14ac:dyDescent="0.3">
      <c r="A1020" s="97" t="s">
        <v>1486</v>
      </c>
      <c r="B1020" s="393">
        <v>3100000528</v>
      </c>
      <c r="C1020" s="110">
        <v>45516</v>
      </c>
      <c r="D1020" s="97"/>
      <c r="E1020" s="97" t="s">
        <v>36</v>
      </c>
      <c r="F1020" s="101"/>
      <c r="G1020" s="97"/>
      <c r="H1020" s="113">
        <v>100</v>
      </c>
      <c r="I1020" s="114">
        <f>35.279*1.9563</f>
        <v>69.016307699999999</v>
      </c>
      <c r="J1020" s="115">
        <f t="shared" si="245"/>
        <v>6901.63</v>
      </c>
      <c r="K1020" s="115">
        <v>6900</v>
      </c>
      <c r="L1020" s="104">
        <v>6900</v>
      </c>
      <c r="M1020" s="107">
        <v>45560</v>
      </c>
      <c r="N1020" s="115">
        <f>+Table6[[#This Row],[стойност с ДДС]]-Table6[[#This Row],[плащане]]</f>
        <v>0</v>
      </c>
      <c r="O1020" s="208">
        <v>45521</v>
      </c>
    </row>
    <row r="1021" spans="1:15" x14ac:dyDescent="0.3">
      <c r="A1021" s="97" t="s">
        <v>1486</v>
      </c>
      <c r="B1021" s="393">
        <v>3100000528</v>
      </c>
      <c r="C1021" s="117">
        <v>45516</v>
      </c>
      <c r="D1021" s="97"/>
      <c r="E1021" s="97" t="s">
        <v>36</v>
      </c>
      <c r="F1021" s="101"/>
      <c r="G1021" s="97"/>
      <c r="H1021" s="113">
        <v>40</v>
      </c>
      <c r="I1021" s="114">
        <f>35.535*1.9563</f>
        <v>69.51712049999999</v>
      </c>
      <c r="J1021" s="115">
        <f t="shared" si="245"/>
        <v>2780.68</v>
      </c>
      <c r="K1021" s="115">
        <v>2780</v>
      </c>
      <c r="L1021" s="104">
        <v>2780</v>
      </c>
      <c r="M1021" s="107">
        <v>45560</v>
      </c>
      <c r="N1021" s="115">
        <f>+Table6[[#This Row],[стойност с ДДС]]-Table6[[#This Row],[плащане]]</f>
        <v>0</v>
      </c>
      <c r="O1021" s="208">
        <v>45521</v>
      </c>
    </row>
    <row r="1022" spans="1:15" x14ac:dyDescent="0.3">
      <c r="A1022" s="97" t="s">
        <v>1486</v>
      </c>
      <c r="B1022" s="393">
        <v>3100000528</v>
      </c>
      <c r="C1022" s="110">
        <v>45516</v>
      </c>
      <c r="D1022" s="97"/>
      <c r="E1022" s="97" t="s">
        <v>36</v>
      </c>
      <c r="F1022" s="101"/>
      <c r="G1022" s="97"/>
      <c r="H1022" s="113">
        <v>50</v>
      </c>
      <c r="I1022" s="114">
        <f>35.279*1.9563</f>
        <v>69.016307699999999</v>
      </c>
      <c r="J1022" s="115">
        <f t="shared" si="245"/>
        <v>3450.82</v>
      </c>
      <c r="K1022" s="115">
        <v>3450</v>
      </c>
      <c r="L1022" s="104">
        <v>3450</v>
      </c>
      <c r="M1022" s="107">
        <v>45560</v>
      </c>
      <c r="N1022" s="115">
        <f>+Table6[[#This Row],[стойност с ДДС]]-Table6[[#This Row],[плащане]]</f>
        <v>0</v>
      </c>
      <c r="O1022" s="208">
        <v>45521</v>
      </c>
    </row>
    <row r="1023" spans="1:15" x14ac:dyDescent="0.3">
      <c r="A1023" s="97" t="s">
        <v>1486</v>
      </c>
      <c r="B1023" s="393">
        <v>3100000528</v>
      </c>
      <c r="C1023" s="110">
        <v>45516</v>
      </c>
      <c r="D1023" s="97"/>
      <c r="E1023" s="97" t="s">
        <v>36</v>
      </c>
      <c r="F1023" s="101"/>
      <c r="G1023" s="97"/>
      <c r="H1023" s="113">
        <v>50</v>
      </c>
      <c r="I1023" s="114">
        <f>35.279*1.9563</f>
        <v>69.016307699999999</v>
      </c>
      <c r="J1023" s="115">
        <f t="shared" si="245"/>
        <v>3450.82</v>
      </c>
      <c r="K1023" s="115">
        <v>3450</v>
      </c>
      <c r="L1023" s="104">
        <v>3450</v>
      </c>
      <c r="M1023" s="107">
        <v>45560</v>
      </c>
      <c r="N1023" s="115">
        <f>+Table6[[#This Row],[стойност с ДДС]]-Table6[[#This Row],[плащане]]</f>
        <v>0</v>
      </c>
      <c r="O1023" s="208">
        <v>45521</v>
      </c>
    </row>
    <row r="1024" spans="1:15" x14ac:dyDescent="0.3">
      <c r="A1024" s="97" t="s">
        <v>105</v>
      </c>
      <c r="B1024" s="393">
        <v>3100000529</v>
      </c>
      <c r="C1024" s="110">
        <v>45516</v>
      </c>
      <c r="D1024" s="97"/>
      <c r="E1024" s="97" t="s">
        <v>36</v>
      </c>
      <c r="F1024" s="101"/>
      <c r="G1024" s="97"/>
      <c r="H1024" s="113">
        <v>100</v>
      </c>
      <c r="I1024" s="114">
        <v>69.5</v>
      </c>
      <c r="J1024" s="115">
        <f t="shared" si="245"/>
        <v>6950</v>
      </c>
      <c r="K1024" s="115">
        <f>J1024*1.2</f>
        <v>8340</v>
      </c>
      <c r="L1024" s="104">
        <v>8340</v>
      </c>
      <c r="M1024" s="107">
        <v>45560</v>
      </c>
      <c r="N1024" s="115">
        <f>+Table6[[#This Row],[стойност с ДДС]]-Table6[[#This Row],[плащане]]</f>
        <v>0</v>
      </c>
      <c r="O1024" s="208">
        <v>45521</v>
      </c>
    </row>
    <row r="1025" spans="1:15" x14ac:dyDescent="0.3">
      <c r="A1025" s="97" t="s">
        <v>105</v>
      </c>
      <c r="B1025" s="393">
        <v>3100000529</v>
      </c>
      <c r="C1025" s="117">
        <v>45516</v>
      </c>
      <c r="D1025" s="97"/>
      <c r="E1025" s="97" t="s">
        <v>36</v>
      </c>
      <c r="F1025" s="101"/>
      <c r="G1025" s="97"/>
      <c r="H1025" s="113">
        <v>10</v>
      </c>
      <c r="I1025" s="114">
        <v>69.5</v>
      </c>
      <c r="J1025" s="115">
        <f t="shared" si="245"/>
        <v>695</v>
      </c>
      <c r="K1025" s="115">
        <f>J1025*1.2</f>
        <v>834</v>
      </c>
      <c r="L1025" s="104">
        <v>834</v>
      </c>
      <c r="M1025" s="107">
        <v>45560</v>
      </c>
      <c r="N1025" s="115">
        <f>+Table6[[#This Row],[стойност с ДДС]]-Table6[[#This Row],[плащане]]</f>
        <v>0</v>
      </c>
      <c r="O1025" s="208">
        <v>45521</v>
      </c>
    </row>
    <row r="1026" spans="1:15" x14ac:dyDescent="0.3">
      <c r="A1026" s="97" t="s">
        <v>1119</v>
      </c>
      <c r="B1026" s="393">
        <v>3100000530</v>
      </c>
      <c r="C1026" s="110">
        <v>45517</v>
      </c>
      <c r="D1026" s="97"/>
      <c r="E1026" s="97" t="s">
        <v>36</v>
      </c>
      <c r="F1026" s="101"/>
      <c r="G1026" s="97"/>
      <c r="H1026" s="113">
        <v>100</v>
      </c>
      <c r="I1026" s="114">
        <v>70.5</v>
      </c>
      <c r="J1026" s="115">
        <f t="shared" ref="J1026:J1040" si="247">ROUND(+H1026*I1026,2)</f>
        <v>7050</v>
      </c>
      <c r="K1026" s="115">
        <v>7050</v>
      </c>
      <c r="L1026" s="104">
        <v>7050</v>
      </c>
      <c r="M1026" s="107">
        <v>45560</v>
      </c>
      <c r="N1026" s="130">
        <f>+Table6[[#This Row],[стойност с ДДС]]-Table6[[#This Row],[плащане]]</f>
        <v>0</v>
      </c>
      <c r="O1026" s="208">
        <v>45522</v>
      </c>
    </row>
    <row r="1027" spans="1:15" x14ac:dyDescent="0.3">
      <c r="A1027" s="97" t="s">
        <v>1119</v>
      </c>
      <c r="B1027" s="393">
        <v>3100000530</v>
      </c>
      <c r="C1027" s="110">
        <v>45517</v>
      </c>
      <c r="D1027" s="97"/>
      <c r="E1027" s="97" t="s">
        <v>36</v>
      </c>
      <c r="F1027" s="101"/>
      <c r="G1027" s="97"/>
      <c r="H1027" s="113">
        <v>250</v>
      </c>
      <c r="I1027" s="114">
        <v>40.549999999999997</v>
      </c>
      <c r="J1027" s="115">
        <f t="shared" si="247"/>
        <v>10137.5</v>
      </c>
      <c r="K1027" s="115">
        <v>11137.5</v>
      </c>
      <c r="L1027" s="104">
        <v>11137.5</v>
      </c>
      <c r="M1027" s="107">
        <v>45560</v>
      </c>
      <c r="N1027" s="130">
        <f>+Table6[[#This Row],[стойност с ДДС]]-Table6[[#This Row],[плащане]]</f>
        <v>0</v>
      </c>
      <c r="O1027" s="208">
        <v>45522</v>
      </c>
    </row>
    <row r="1028" spans="1:15" x14ac:dyDescent="0.3">
      <c r="A1028" s="97" t="s">
        <v>1119</v>
      </c>
      <c r="B1028" s="393">
        <v>3100000530</v>
      </c>
      <c r="C1028" s="110">
        <v>45517</v>
      </c>
      <c r="D1028" s="97"/>
      <c r="E1028" s="97" t="s">
        <v>36</v>
      </c>
      <c r="F1028" s="101"/>
      <c r="G1028" s="97"/>
      <c r="H1028" s="113">
        <v>500</v>
      </c>
      <c r="I1028" s="114">
        <v>70.55</v>
      </c>
      <c r="J1028" s="115">
        <f t="shared" si="247"/>
        <v>35275</v>
      </c>
      <c r="K1028" s="115">
        <v>37275</v>
      </c>
      <c r="L1028" s="104">
        <v>37275</v>
      </c>
      <c r="M1028" s="107">
        <v>45560</v>
      </c>
      <c r="N1028" s="130">
        <f>+Table6[[#This Row],[стойност с ДДС]]-Table6[[#This Row],[плащане]]</f>
        <v>0</v>
      </c>
      <c r="O1028" s="208">
        <v>45522</v>
      </c>
    </row>
    <row r="1029" spans="1:15" x14ac:dyDescent="0.3">
      <c r="A1029" s="97" t="s">
        <v>1119</v>
      </c>
      <c r="B1029" s="393">
        <v>3100000530</v>
      </c>
      <c r="C1029" s="110">
        <v>45517</v>
      </c>
      <c r="D1029" s="97"/>
      <c r="E1029" s="97" t="s">
        <v>36</v>
      </c>
      <c r="F1029" s="101"/>
      <c r="G1029" s="97"/>
      <c r="H1029" s="113">
        <v>400</v>
      </c>
      <c r="I1029" s="114">
        <v>70.099999999999994</v>
      </c>
      <c r="J1029" s="115">
        <f t="shared" si="247"/>
        <v>28040</v>
      </c>
      <c r="K1029" s="115">
        <v>30540</v>
      </c>
      <c r="L1029" s="104">
        <v>30540</v>
      </c>
      <c r="M1029" s="107">
        <v>45560</v>
      </c>
      <c r="N1029" s="130">
        <f>+Table6[[#This Row],[стойност с ДДС]]-Table6[[#This Row],[плащане]]</f>
        <v>0</v>
      </c>
      <c r="O1029" s="208">
        <v>45522</v>
      </c>
    </row>
    <row r="1030" spans="1:15" x14ac:dyDescent="0.3">
      <c r="A1030" s="97" t="s">
        <v>1119</v>
      </c>
      <c r="B1030" s="393">
        <v>3100000530</v>
      </c>
      <c r="C1030" s="110">
        <v>45517</v>
      </c>
      <c r="D1030" s="97"/>
      <c r="E1030" s="97" t="s">
        <v>36</v>
      </c>
      <c r="F1030" s="101"/>
      <c r="G1030" s="97"/>
      <c r="H1030" s="113">
        <v>390</v>
      </c>
      <c r="I1030" s="114">
        <v>70.7</v>
      </c>
      <c r="J1030" s="115">
        <f t="shared" si="247"/>
        <v>27573</v>
      </c>
      <c r="K1030" s="115">
        <v>29573</v>
      </c>
      <c r="L1030" s="104">
        <v>29573</v>
      </c>
      <c r="M1030" s="107">
        <v>45560</v>
      </c>
      <c r="N1030" s="130">
        <f>+Table6[[#This Row],[стойност с ДДС]]-Table6[[#This Row],[плащане]]</f>
        <v>0</v>
      </c>
      <c r="O1030" s="208">
        <v>45522</v>
      </c>
    </row>
    <row r="1031" spans="1:15" x14ac:dyDescent="0.3">
      <c r="A1031" s="97" t="s">
        <v>37</v>
      </c>
      <c r="B1031" s="393">
        <v>3100000531</v>
      </c>
      <c r="C1031" s="110">
        <v>45517</v>
      </c>
      <c r="D1031" s="97"/>
      <c r="E1031" s="97" t="s">
        <v>36</v>
      </c>
      <c r="F1031" s="101"/>
      <c r="G1031" s="97"/>
      <c r="H1031" s="113">
        <v>500</v>
      </c>
      <c r="I1031" s="114">
        <v>70.5</v>
      </c>
      <c r="J1031" s="115">
        <f t="shared" si="247"/>
        <v>35250</v>
      </c>
      <c r="K1031" s="115">
        <f t="shared" ref="K1031:K1040" si="248">J1031*1.2</f>
        <v>42300</v>
      </c>
      <c r="L1031" s="104">
        <v>42300</v>
      </c>
      <c r="M1031" s="107">
        <v>45560</v>
      </c>
      <c r="N1031" s="130">
        <f>+Table6[[#This Row],[стойност с ДДС]]-Table6[[#This Row],[плащане]]</f>
        <v>0</v>
      </c>
      <c r="O1031" s="208">
        <v>45522</v>
      </c>
    </row>
    <row r="1032" spans="1:15" x14ac:dyDescent="0.3">
      <c r="A1032" s="97" t="s">
        <v>37</v>
      </c>
      <c r="B1032" s="393">
        <v>3100000531</v>
      </c>
      <c r="C1032" s="110">
        <v>45517</v>
      </c>
      <c r="D1032" s="97"/>
      <c r="E1032" s="97" t="s">
        <v>36</v>
      </c>
      <c r="F1032" s="101"/>
      <c r="G1032" s="97"/>
      <c r="H1032" s="113">
        <v>500</v>
      </c>
      <c r="I1032" s="114">
        <v>70.5</v>
      </c>
      <c r="J1032" s="115">
        <f t="shared" si="247"/>
        <v>35250</v>
      </c>
      <c r="K1032" s="115">
        <f t="shared" si="248"/>
        <v>42300</v>
      </c>
      <c r="L1032" s="104">
        <v>42300</v>
      </c>
      <c r="M1032" s="107">
        <v>45560</v>
      </c>
      <c r="N1032" s="130">
        <f>+Table6[[#This Row],[стойност с ДДС]]-Table6[[#This Row],[плащане]]</f>
        <v>0</v>
      </c>
      <c r="O1032" s="208">
        <v>45522</v>
      </c>
    </row>
    <row r="1033" spans="1:15" x14ac:dyDescent="0.3">
      <c r="A1033" s="97" t="s">
        <v>1602</v>
      </c>
      <c r="B1033" s="393">
        <v>3100000532</v>
      </c>
      <c r="C1033" s="110">
        <v>45517</v>
      </c>
      <c r="D1033" s="97"/>
      <c r="E1033" s="97" t="s">
        <v>36</v>
      </c>
      <c r="F1033" s="101"/>
      <c r="G1033" s="97"/>
      <c r="H1033" s="113">
        <v>100</v>
      </c>
      <c r="I1033" s="114">
        <v>70.5</v>
      </c>
      <c r="J1033" s="115">
        <f t="shared" si="247"/>
        <v>7050</v>
      </c>
      <c r="K1033" s="115">
        <f t="shared" si="248"/>
        <v>8460</v>
      </c>
      <c r="L1033" s="104">
        <v>8460</v>
      </c>
      <c r="M1033" s="107">
        <v>45560</v>
      </c>
      <c r="N1033" s="130">
        <f>+Table6[[#This Row],[стойност с ДДС]]-Table6[[#This Row],[плащане]]</f>
        <v>0</v>
      </c>
      <c r="O1033" s="208">
        <v>45522</v>
      </c>
    </row>
    <row r="1034" spans="1:15" x14ac:dyDescent="0.3">
      <c r="A1034" s="116" t="s">
        <v>105</v>
      </c>
      <c r="B1034" s="394">
        <v>3100000533</v>
      </c>
      <c r="C1034" s="117">
        <v>45517</v>
      </c>
      <c r="D1034" s="116"/>
      <c r="E1034" s="116" t="s">
        <v>36</v>
      </c>
      <c r="F1034" s="118"/>
      <c r="G1034" s="116"/>
      <c r="H1034" s="141">
        <v>110</v>
      </c>
      <c r="I1034" s="142">
        <v>70.400000000000006</v>
      </c>
      <c r="J1034" s="130">
        <f t="shared" si="247"/>
        <v>7744</v>
      </c>
      <c r="K1034" s="130">
        <f t="shared" si="248"/>
        <v>9292.7999999999993</v>
      </c>
      <c r="L1034" s="129">
        <v>9292.7999999999993</v>
      </c>
      <c r="M1034" s="152">
        <v>45560</v>
      </c>
      <c r="N1034" s="130">
        <f>+Table6[[#This Row],[стойност с ДДС]]-Table6[[#This Row],[плащане]]</f>
        <v>0</v>
      </c>
      <c r="O1034" s="208">
        <v>45522</v>
      </c>
    </row>
    <row r="1035" spans="1:15" x14ac:dyDescent="0.3">
      <c r="A1035" s="97" t="s">
        <v>48</v>
      </c>
      <c r="B1035" s="393">
        <v>3100000534</v>
      </c>
      <c r="C1035" s="110">
        <v>45518</v>
      </c>
      <c r="D1035" s="97"/>
      <c r="E1035" s="116" t="s">
        <v>36</v>
      </c>
      <c r="F1035" s="101"/>
      <c r="G1035" s="97"/>
      <c r="H1035" s="113">
        <v>11</v>
      </c>
      <c r="I1035" s="114">
        <v>68</v>
      </c>
      <c r="J1035" s="115">
        <f>ROUND(+H1035*I1035,2)</f>
        <v>748</v>
      </c>
      <c r="K1035" s="115">
        <v>1292.5439999999999</v>
      </c>
      <c r="L1035" s="115">
        <v>1292.5439999999999</v>
      </c>
      <c r="M1035" s="107">
        <v>45560</v>
      </c>
      <c r="N1035" s="115">
        <f>+Table6[[#This Row],[стойност с ДДС]]-Table6[[#This Row],[плащане]]</f>
        <v>0</v>
      </c>
      <c r="O1035" s="208"/>
    </row>
    <row r="1036" spans="1:15" x14ac:dyDescent="0.3">
      <c r="A1036" s="97" t="s">
        <v>1118</v>
      </c>
      <c r="B1036" s="393">
        <v>3100000535</v>
      </c>
      <c r="C1036" s="110">
        <v>45518</v>
      </c>
      <c r="D1036" s="97"/>
      <c r="E1036" s="97" t="s">
        <v>36</v>
      </c>
      <c r="F1036" s="101"/>
      <c r="G1036" s="97"/>
      <c r="H1036" s="113">
        <v>100</v>
      </c>
      <c r="I1036" s="114">
        <v>67.5</v>
      </c>
      <c r="J1036" s="115">
        <f>ROUND(+H1036*I1036,2)</f>
        <v>6750</v>
      </c>
      <c r="K1036" s="115">
        <f>J1036*1.2</f>
        <v>8100</v>
      </c>
      <c r="L1036" s="104">
        <v>8100</v>
      </c>
      <c r="M1036" s="107">
        <v>45560</v>
      </c>
      <c r="N1036" s="130">
        <f>+Table6[[#This Row],[стойност с ДДС]]-Table6[[#This Row],[плащане]]</f>
        <v>0</v>
      </c>
      <c r="O1036" s="208">
        <v>45523</v>
      </c>
    </row>
    <row r="1037" spans="1:15" x14ac:dyDescent="0.3">
      <c r="A1037" s="97" t="s">
        <v>37</v>
      </c>
      <c r="B1037" s="393">
        <v>3100000536</v>
      </c>
      <c r="C1037" s="110">
        <v>45518</v>
      </c>
      <c r="D1037" s="97"/>
      <c r="E1037" s="97" t="s">
        <v>36</v>
      </c>
      <c r="F1037" s="101"/>
      <c r="G1037" s="97"/>
      <c r="H1037" s="113">
        <v>1000</v>
      </c>
      <c r="I1037" s="114">
        <v>67</v>
      </c>
      <c r="J1037" s="115">
        <f t="shared" si="247"/>
        <v>67000</v>
      </c>
      <c r="K1037" s="115">
        <f t="shared" si="248"/>
        <v>80400</v>
      </c>
      <c r="L1037" s="104">
        <v>80400</v>
      </c>
      <c r="M1037" s="107">
        <v>45560</v>
      </c>
      <c r="N1037" s="130">
        <f>+Table6[[#This Row],[стойност с ДДС]]-Table6[[#This Row],[плащане]]</f>
        <v>0</v>
      </c>
      <c r="O1037" s="208">
        <v>45523</v>
      </c>
    </row>
    <row r="1038" spans="1:15" x14ac:dyDescent="0.3">
      <c r="A1038" s="97" t="s">
        <v>45</v>
      </c>
      <c r="B1038" s="393">
        <v>3100000537</v>
      </c>
      <c r="C1038" s="110">
        <v>45518</v>
      </c>
      <c r="D1038" s="97"/>
      <c r="E1038" s="97" t="s">
        <v>36</v>
      </c>
      <c r="F1038" s="101"/>
      <c r="G1038" s="97"/>
      <c r="H1038" s="113">
        <v>5</v>
      </c>
      <c r="I1038" s="114">
        <v>67.900000000000006</v>
      </c>
      <c r="J1038" s="115">
        <f t="shared" si="247"/>
        <v>339.5</v>
      </c>
      <c r="K1038" s="115">
        <f t="shared" si="248"/>
        <v>407.4</v>
      </c>
      <c r="L1038" s="104">
        <v>407.4</v>
      </c>
      <c r="M1038" s="107">
        <v>45560</v>
      </c>
      <c r="N1038" s="130">
        <f>+Table6[[#This Row],[стойност с ДДС]]-Table6[[#This Row],[плащане]]</f>
        <v>0</v>
      </c>
      <c r="O1038" s="208">
        <v>45523</v>
      </c>
    </row>
    <row r="1039" spans="1:15" x14ac:dyDescent="0.3">
      <c r="A1039" s="97" t="s">
        <v>1601</v>
      </c>
      <c r="B1039" s="393">
        <v>3100000538</v>
      </c>
      <c r="C1039" s="110">
        <v>45518</v>
      </c>
      <c r="D1039" s="97"/>
      <c r="E1039" s="97" t="s">
        <v>36</v>
      </c>
      <c r="F1039" s="101"/>
      <c r="G1039" s="97"/>
      <c r="H1039" s="113">
        <v>30</v>
      </c>
      <c r="I1039" s="114">
        <v>67.5</v>
      </c>
      <c r="J1039" s="115">
        <f t="shared" si="247"/>
        <v>2025</v>
      </c>
      <c r="K1039" s="115">
        <f t="shared" si="248"/>
        <v>2430</v>
      </c>
      <c r="L1039" s="104">
        <v>2430</v>
      </c>
      <c r="M1039" s="107">
        <v>45560</v>
      </c>
      <c r="N1039" s="130">
        <f>+Table6[[#This Row],[стойност с ДДС]]-Table6[[#This Row],[плащане]]</f>
        <v>0</v>
      </c>
      <c r="O1039" s="208">
        <v>45523</v>
      </c>
    </row>
    <row r="1040" spans="1:15" x14ac:dyDescent="0.3">
      <c r="A1040" s="97" t="s">
        <v>1605</v>
      </c>
      <c r="B1040" s="393">
        <v>3100000539</v>
      </c>
      <c r="C1040" s="110">
        <v>45518</v>
      </c>
      <c r="D1040" s="97"/>
      <c r="E1040" s="97" t="s">
        <v>36</v>
      </c>
      <c r="F1040" s="101"/>
      <c r="G1040" s="97"/>
      <c r="H1040" s="113">
        <v>200</v>
      </c>
      <c r="I1040" s="114">
        <v>68.900000000000006</v>
      </c>
      <c r="J1040" s="115">
        <f t="shared" si="247"/>
        <v>13780</v>
      </c>
      <c r="K1040" s="115">
        <f t="shared" si="248"/>
        <v>16536</v>
      </c>
      <c r="L1040" s="104">
        <v>16536</v>
      </c>
      <c r="M1040" s="107">
        <v>45560</v>
      </c>
      <c r="N1040" s="130">
        <f>+Table6[[#This Row],[стойност с ДДС]]-Table6[[#This Row],[плащане]]</f>
        <v>0</v>
      </c>
      <c r="O1040" s="208">
        <v>45523</v>
      </c>
    </row>
    <row r="1041" spans="1:15" x14ac:dyDescent="0.3">
      <c r="A1041" s="97" t="s">
        <v>1605</v>
      </c>
      <c r="B1041" s="393">
        <v>3100000539</v>
      </c>
      <c r="C1041" s="110">
        <v>45518</v>
      </c>
      <c r="D1041" s="97"/>
      <c r="E1041" s="97" t="s">
        <v>36</v>
      </c>
      <c r="F1041" s="101"/>
      <c r="G1041" s="97"/>
      <c r="H1041" s="113">
        <v>300</v>
      </c>
      <c r="I1041" s="114">
        <v>69</v>
      </c>
      <c r="J1041" s="115">
        <f t="shared" ref="J1041:J1053" si="249">ROUND(+H1041*I1041,2)</f>
        <v>20700</v>
      </c>
      <c r="K1041" s="115">
        <f t="shared" ref="K1041:K1054" si="250">J1041*1.2</f>
        <v>24840</v>
      </c>
      <c r="L1041" s="104">
        <v>24840</v>
      </c>
      <c r="M1041" s="107">
        <v>45560</v>
      </c>
      <c r="N1041" s="130">
        <f>+Table6[[#This Row],[стойност с ДДС]]-Table6[[#This Row],[плащане]]</f>
        <v>0</v>
      </c>
      <c r="O1041" s="208">
        <v>45523</v>
      </c>
    </row>
    <row r="1042" spans="1:15" x14ac:dyDescent="0.3">
      <c r="A1042" s="97" t="s">
        <v>1605</v>
      </c>
      <c r="B1042" s="393">
        <v>3100000539</v>
      </c>
      <c r="C1042" s="110">
        <v>45518</v>
      </c>
      <c r="D1042" s="97"/>
      <c r="E1042" s="97" t="s">
        <v>36</v>
      </c>
      <c r="F1042" s="101"/>
      <c r="G1042" s="97"/>
      <c r="H1042" s="113">
        <v>160</v>
      </c>
      <c r="I1042" s="114">
        <v>71</v>
      </c>
      <c r="J1042" s="115">
        <f t="shared" si="249"/>
        <v>11360</v>
      </c>
      <c r="K1042" s="115">
        <f t="shared" si="250"/>
        <v>13632</v>
      </c>
      <c r="L1042" s="104">
        <v>13632</v>
      </c>
      <c r="M1042" s="107">
        <v>45560</v>
      </c>
      <c r="N1042" s="130">
        <f>+Table6[[#This Row],[стойност с ДДС]]-Table6[[#This Row],[плащане]]</f>
        <v>0</v>
      </c>
      <c r="O1042" s="208">
        <v>45523</v>
      </c>
    </row>
    <row r="1043" spans="1:15" x14ac:dyDescent="0.3">
      <c r="A1043" s="97" t="s">
        <v>1605</v>
      </c>
      <c r="B1043" s="393">
        <v>3100000539</v>
      </c>
      <c r="C1043" s="110">
        <v>45518</v>
      </c>
      <c r="D1043" s="97"/>
      <c r="E1043" s="97" t="s">
        <v>36</v>
      </c>
      <c r="F1043" s="101"/>
      <c r="G1043" s="97"/>
      <c r="H1043" s="113">
        <v>700</v>
      </c>
      <c r="I1043" s="114">
        <v>68.010000000000005</v>
      </c>
      <c r="J1043" s="115">
        <f t="shared" si="249"/>
        <v>47607</v>
      </c>
      <c r="K1043" s="115">
        <f t="shared" si="250"/>
        <v>57128.4</v>
      </c>
      <c r="L1043" s="104">
        <v>57128.4</v>
      </c>
      <c r="M1043" s="107">
        <v>45560</v>
      </c>
      <c r="N1043" s="130">
        <f>+Table6[[#This Row],[стойност с ДДС]]-Table6[[#This Row],[плащане]]</f>
        <v>0</v>
      </c>
      <c r="O1043" s="208">
        <v>45523</v>
      </c>
    </row>
    <row r="1044" spans="1:15" x14ac:dyDescent="0.3">
      <c r="A1044" s="97" t="s">
        <v>101</v>
      </c>
      <c r="B1044" s="393">
        <v>3100000540</v>
      </c>
      <c r="C1044" s="110">
        <v>45518</v>
      </c>
      <c r="D1044" s="97"/>
      <c r="E1044" s="97" t="s">
        <v>36</v>
      </c>
      <c r="F1044" s="101"/>
      <c r="G1044" s="97"/>
      <c r="H1044" s="113">
        <v>160</v>
      </c>
      <c r="I1044" s="114">
        <v>67.55</v>
      </c>
      <c r="J1044" s="115">
        <f t="shared" si="249"/>
        <v>10808</v>
      </c>
      <c r="K1044" s="115">
        <f t="shared" si="250"/>
        <v>12969.6</v>
      </c>
      <c r="L1044" s="104">
        <v>12969.6</v>
      </c>
      <c r="M1044" s="107">
        <v>45560</v>
      </c>
      <c r="N1044" s="130">
        <f>+Table6[[#This Row],[стойност с ДДС]]-Table6[[#This Row],[плащане]]</f>
        <v>0</v>
      </c>
      <c r="O1044" s="208">
        <v>45523</v>
      </c>
    </row>
    <row r="1045" spans="1:15" x14ac:dyDescent="0.3">
      <c r="A1045" s="97" t="s">
        <v>101</v>
      </c>
      <c r="B1045" s="393">
        <v>3100000540</v>
      </c>
      <c r="C1045" s="110">
        <v>45518</v>
      </c>
      <c r="D1045" s="97"/>
      <c r="E1045" s="97" t="s">
        <v>36</v>
      </c>
      <c r="F1045" s="101"/>
      <c r="G1045" s="97"/>
      <c r="H1045" s="113">
        <v>200</v>
      </c>
      <c r="I1045" s="114">
        <v>69.5</v>
      </c>
      <c r="J1045" s="115">
        <f t="shared" si="249"/>
        <v>13900</v>
      </c>
      <c r="K1045" s="115">
        <f t="shared" si="250"/>
        <v>16680</v>
      </c>
      <c r="L1045" s="104">
        <v>16680</v>
      </c>
      <c r="M1045" s="107">
        <v>45560</v>
      </c>
      <c r="N1045" s="130">
        <f>+Table6[[#This Row],[стойност с ДДС]]-Table6[[#This Row],[плащане]]</f>
        <v>0</v>
      </c>
      <c r="O1045" s="208">
        <v>45523</v>
      </c>
    </row>
    <row r="1046" spans="1:15" x14ac:dyDescent="0.3">
      <c r="A1046" s="97" t="s">
        <v>1119</v>
      </c>
      <c r="B1046" s="393">
        <v>3100000541</v>
      </c>
      <c r="C1046" s="110">
        <v>45518</v>
      </c>
      <c r="D1046" s="97"/>
      <c r="E1046" s="97" t="s">
        <v>36</v>
      </c>
      <c r="F1046" s="101"/>
      <c r="G1046" s="97"/>
      <c r="H1046" s="113">
        <v>500</v>
      </c>
      <c r="I1046" s="114">
        <v>68.5</v>
      </c>
      <c r="J1046" s="115">
        <f t="shared" si="249"/>
        <v>34250</v>
      </c>
      <c r="K1046" s="115">
        <v>34250</v>
      </c>
      <c r="L1046" s="104">
        <v>34250</v>
      </c>
      <c r="M1046" s="107">
        <v>45560</v>
      </c>
      <c r="N1046" s="130">
        <f>+Table6[[#This Row],[стойност с ДДС]]-Table6[[#This Row],[плащане]]</f>
        <v>0</v>
      </c>
      <c r="O1046" s="208">
        <v>45523</v>
      </c>
    </row>
    <row r="1047" spans="1:15" x14ac:dyDescent="0.3">
      <c r="A1047" s="97" t="s">
        <v>1119</v>
      </c>
      <c r="B1047" s="393">
        <v>3100000541</v>
      </c>
      <c r="C1047" s="110">
        <v>45518</v>
      </c>
      <c r="D1047" s="97"/>
      <c r="E1047" s="97" t="s">
        <v>36</v>
      </c>
      <c r="F1047" s="101"/>
      <c r="G1047" s="97"/>
      <c r="H1047" s="113">
        <v>161</v>
      </c>
      <c r="I1047" s="114">
        <v>68.5</v>
      </c>
      <c r="J1047" s="115">
        <f t="shared" si="249"/>
        <v>11028.5</v>
      </c>
      <c r="K1047" s="115">
        <v>11028.5</v>
      </c>
      <c r="L1047" s="104">
        <v>11028.5</v>
      </c>
      <c r="M1047" s="107">
        <v>45560</v>
      </c>
      <c r="N1047" s="130">
        <f>+Table6[[#This Row],[стойност с ДДС]]-Table6[[#This Row],[плащане]]</f>
        <v>0</v>
      </c>
      <c r="O1047" s="208">
        <v>45523</v>
      </c>
    </row>
    <row r="1048" spans="1:15" x14ac:dyDescent="0.3">
      <c r="A1048" s="97" t="s">
        <v>1119</v>
      </c>
      <c r="B1048" s="393">
        <v>3100000542</v>
      </c>
      <c r="C1048" s="110">
        <v>45519</v>
      </c>
      <c r="D1048" s="97"/>
      <c r="E1048" s="97" t="s">
        <v>36</v>
      </c>
      <c r="F1048" s="101"/>
      <c r="G1048" s="97"/>
      <c r="H1048" s="113">
        <v>215</v>
      </c>
      <c r="I1048" s="114">
        <v>67.900000000000006</v>
      </c>
      <c r="J1048" s="115">
        <f t="shared" si="249"/>
        <v>14598.5</v>
      </c>
      <c r="K1048" s="115">
        <v>14598.5</v>
      </c>
      <c r="L1048" s="104">
        <v>14598.5</v>
      </c>
      <c r="M1048" s="107">
        <v>45560</v>
      </c>
      <c r="N1048" s="130">
        <f>+Table6[[#This Row],[стойност с ДДС]]-Table6[[#This Row],[плащане]]</f>
        <v>0</v>
      </c>
      <c r="O1048" s="208">
        <v>45524</v>
      </c>
    </row>
    <row r="1049" spans="1:15" x14ac:dyDescent="0.3">
      <c r="A1049" s="97" t="s">
        <v>45</v>
      </c>
      <c r="B1049" s="393">
        <v>3100000543</v>
      </c>
      <c r="C1049" s="110">
        <v>45519</v>
      </c>
      <c r="D1049" s="97"/>
      <c r="E1049" s="97" t="s">
        <v>36</v>
      </c>
      <c r="F1049" s="101"/>
      <c r="G1049" s="97"/>
      <c r="H1049" s="113">
        <v>5</v>
      </c>
      <c r="I1049" s="114">
        <v>67.900000000000006</v>
      </c>
      <c r="J1049" s="115">
        <f t="shared" si="249"/>
        <v>339.5</v>
      </c>
      <c r="K1049" s="115">
        <f t="shared" si="250"/>
        <v>407.4</v>
      </c>
      <c r="L1049" s="104">
        <v>407.4</v>
      </c>
      <c r="M1049" s="107">
        <v>45560</v>
      </c>
      <c r="N1049" s="130">
        <f>+Table6[[#This Row],[стойност с ДДС]]-Table6[[#This Row],[плащане]]</f>
        <v>0</v>
      </c>
      <c r="O1049" s="208">
        <v>45524</v>
      </c>
    </row>
    <row r="1050" spans="1:15" x14ac:dyDescent="0.3">
      <c r="A1050" s="97" t="s">
        <v>1601</v>
      </c>
      <c r="B1050" s="393">
        <v>3100000544</v>
      </c>
      <c r="C1050" s="110">
        <v>45519</v>
      </c>
      <c r="D1050" s="97"/>
      <c r="E1050" s="97" t="s">
        <v>36</v>
      </c>
      <c r="F1050" s="101"/>
      <c r="G1050" s="97"/>
      <c r="H1050" s="113">
        <v>50</v>
      </c>
      <c r="I1050" s="114">
        <v>67</v>
      </c>
      <c r="J1050" s="115">
        <f t="shared" si="249"/>
        <v>3350</v>
      </c>
      <c r="K1050" s="115">
        <f t="shared" si="250"/>
        <v>4020</v>
      </c>
      <c r="L1050" s="104">
        <v>4020</v>
      </c>
      <c r="M1050" s="107">
        <v>45560</v>
      </c>
      <c r="N1050" s="130">
        <f>+Table6[[#This Row],[стойност с ДДС]]-Table6[[#This Row],[плащане]]</f>
        <v>0</v>
      </c>
      <c r="O1050" s="208">
        <v>45524</v>
      </c>
    </row>
    <row r="1051" spans="1:15" x14ac:dyDescent="0.3">
      <c r="A1051" s="97" t="s">
        <v>1605</v>
      </c>
      <c r="B1051" s="393">
        <v>3100000545</v>
      </c>
      <c r="C1051" s="110">
        <v>45519</v>
      </c>
      <c r="D1051" s="97"/>
      <c r="E1051" s="97" t="s">
        <v>36</v>
      </c>
      <c r="F1051" s="101"/>
      <c r="G1051" s="97"/>
      <c r="H1051" s="113">
        <v>500</v>
      </c>
      <c r="I1051" s="114">
        <v>67</v>
      </c>
      <c r="J1051" s="115">
        <f t="shared" si="249"/>
        <v>33500</v>
      </c>
      <c r="K1051" s="115">
        <f t="shared" si="250"/>
        <v>40200</v>
      </c>
      <c r="L1051" s="104">
        <v>40200</v>
      </c>
      <c r="M1051" s="107">
        <v>45560</v>
      </c>
      <c r="N1051" s="130">
        <f>+Table6[[#This Row],[стойност с ДДС]]-Table6[[#This Row],[плащане]]</f>
        <v>0</v>
      </c>
      <c r="O1051" s="208">
        <v>45524</v>
      </c>
    </row>
    <row r="1052" spans="1:15" x14ac:dyDescent="0.3">
      <c r="A1052" s="97" t="s">
        <v>1605</v>
      </c>
      <c r="B1052" s="393">
        <v>3100000545</v>
      </c>
      <c r="C1052" s="110">
        <v>45519</v>
      </c>
      <c r="D1052" s="97"/>
      <c r="E1052" s="97" t="s">
        <v>36</v>
      </c>
      <c r="F1052" s="101"/>
      <c r="G1052" s="97"/>
      <c r="H1052" s="113">
        <v>500</v>
      </c>
      <c r="I1052" s="114">
        <v>67.5</v>
      </c>
      <c r="J1052" s="115">
        <f t="shared" si="249"/>
        <v>33750</v>
      </c>
      <c r="K1052" s="115">
        <f t="shared" si="250"/>
        <v>40500</v>
      </c>
      <c r="L1052" s="104">
        <v>40500</v>
      </c>
      <c r="M1052" s="107">
        <v>45560</v>
      </c>
      <c r="N1052" s="130">
        <f>+Table6[[#This Row],[стойност с ДДС]]-Table6[[#This Row],[плащане]]</f>
        <v>0</v>
      </c>
      <c r="O1052" s="208">
        <v>45524</v>
      </c>
    </row>
    <row r="1053" spans="1:15" x14ac:dyDescent="0.3">
      <c r="A1053" s="97" t="s">
        <v>1605</v>
      </c>
      <c r="B1053" s="393">
        <v>3100000545</v>
      </c>
      <c r="C1053" s="110">
        <v>45519</v>
      </c>
      <c r="D1053" s="97"/>
      <c r="E1053" s="97" t="s">
        <v>36</v>
      </c>
      <c r="F1053" s="101"/>
      <c r="G1053" s="97"/>
      <c r="H1053" s="113">
        <v>200</v>
      </c>
      <c r="I1053" s="114">
        <v>68.5</v>
      </c>
      <c r="J1053" s="115">
        <f t="shared" si="249"/>
        <v>13700</v>
      </c>
      <c r="K1053" s="115">
        <f t="shared" si="250"/>
        <v>16440</v>
      </c>
      <c r="L1053" s="104">
        <v>16440</v>
      </c>
      <c r="M1053" s="107">
        <v>45560</v>
      </c>
      <c r="N1053" s="115">
        <f>+Table6[[#This Row],[стойност с ДДС]]-Table6[[#This Row],[плащане]]</f>
        <v>0</v>
      </c>
      <c r="O1053" s="208">
        <v>45524</v>
      </c>
    </row>
    <row r="1054" spans="1:15" x14ac:dyDescent="0.3">
      <c r="A1054" s="97" t="s">
        <v>1605</v>
      </c>
      <c r="B1054" s="393">
        <v>3100000545</v>
      </c>
      <c r="C1054" s="110">
        <v>45519</v>
      </c>
      <c r="D1054" s="97"/>
      <c r="E1054" s="97" t="s">
        <v>36</v>
      </c>
      <c r="F1054" s="101"/>
      <c r="G1054" s="97"/>
      <c r="H1054" s="113">
        <v>50</v>
      </c>
      <c r="I1054" s="114">
        <v>70</v>
      </c>
      <c r="J1054" s="115">
        <f t="shared" ref="J1054:J1061" si="251">ROUND(+H1054*I1054,2)</f>
        <v>3500</v>
      </c>
      <c r="K1054" s="115">
        <f t="shared" si="250"/>
        <v>4200</v>
      </c>
      <c r="L1054" s="104">
        <v>4200</v>
      </c>
      <c r="M1054" s="107">
        <v>45560</v>
      </c>
      <c r="N1054" s="115">
        <f>+Table6[[#This Row],[стойност с ДДС]]-Table6[[#This Row],[плащане]]</f>
        <v>0</v>
      </c>
      <c r="O1054" s="208">
        <v>45524</v>
      </c>
    </row>
    <row r="1055" spans="1:15" x14ac:dyDescent="0.3">
      <c r="A1055" s="116" t="s">
        <v>101</v>
      </c>
      <c r="B1055" s="394">
        <v>3100000546</v>
      </c>
      <c r="C1055" s="117">
        <v>45519</v>
      </c>
      <c r="D1055" s="116"/>
      <c r="E1055" s="97" t="s">
        <v>36</v>
      </c>
      <c r="F1055" s="118"/>
      <c r="G1055" s="116"/>
      <c r="H1055" s="141">
        <v>100</v>
      </c>
      <c r="I1055" s="142">
        <v>67.5</v>
      </c>
      <c r="J1055" s="130">
        <f t="shared" si="251"/>
        <v>6750</v>
      </c>
      <c r="K1055" s="130">
        <f>J1055*1.2</f>
        <v>8100</v>
      </c>
      <c r="L1055" s="129">
        <v>8100</v>
      </c>
      <c r="M1055" s="152">
        <v>45560</v>
      </c>
      <c r="N1055" s="130">
        <f>+Table6[[#This Row],[стойност с ДДС]]-Table6[[#This Row],[плащане]]</f>
        <v>0</v>
      </c>
      <c r="O1055" s="208">
        <v>45524</v>
      </c>
    </row>
    <row r="1056" spans="1:15" x14ac:dyDescent="0.3">
      <c r="A1056" s="116" t="s">
        <v>101</v>
      </c>
      <c r="B1056" s="393">
        <v>3100000546</v>
      </c>
      <c r="C1056" s="110">
        <v>45519</v>
      </c>
      <c r="D1056" s="97"/>
      <c r="E1056" s="97" t="s">
        <v>36</v>
      </c>
      <c r="F1056" s="101"/>
      <c r="G1056" s="97"/>
      <c r="H1056" s="113">
        <v>500</v>
      </c>
      <c r="I1056" s="114">
        <v>67</v>
      </c>
      <c r="J1056" s="115">
        <f t="shared" si="251"/>
        <v>33500</v>
      </c>
      <c r="K1056" s="115">
        <f>J1056*1.2</f>
        <v>40200</v>
      </c>
      <c r="L1056" s="104">
        <v>40200</v>
      </c>
      <c r="M1056" s="107">
        <v>45560</v>
      </c>
      <c r="N1056" s="115">
        <f>+Table6[[#This Row],[стойност с ДДС]]-Table6[[#This Row],[плащане]]</f>
        <v>0</v>
      </c>
      <c r="O1056" s="208">
        <v>45524</v>
      </c>
    </row>
    <row r="1057" spans="1:15" x14ac:dyDescent="0.3">
      <c r="A1057" s="116" t="s">
        <v>1486</v>
      </c>
      <c r="B1057" s="394">
        <v>3100000547</v>
      </c>
      <c r="C1057" s="117">
        <v>45523</v>
      </c>
      <c r="D1057" s="116"/>
      <c r="E1057" s="97" t="s">
        <v>36</v>
      </c>
      <c r="F1057" s="118"/>
      <c r="G1057" s="116"/>
      <c r="H1057" s="141">
        <v>300</v>
      </c>
      <c r="I1057" s="142">
        <v>34.262</v>
      </c>
      <c r="J1057" s="130">
        <f t="shared" si="251"/>
        <v>10278.6</v>
      </c>
      <c r="K1057" s="130">
        <v>20103</v>
      </c>
      <c r="L1057" s="129">
        <v>20103</v>
      </c>
      <c r="M1057" s="152">
        <v>45560</v>
      </c>
      <c r="N1057" s="130">
        <f>+Table6[[#This Row],[стойност с ДДС]]-Table6[[#This Row],[плащане]]</f>
        <v>0</v>
      </c>
      <c r="O1057" s="208">
        <v>45524</v>
      </c>
    </row>
    <row r="1058" spans="1:15" x14ac:dyDescent="0.3">
      <c r="A1058" s="116" t="s">
        <v>1625</v>
      </c>
      <c r="B1058" s="394">
        <v>3100000548</v>
      </c>
      <c r="C1058" s="117">
        <v>45523</v>
      </c>
      <c r="D1058" s="116"/>
      <c r="E1058" s="97" t="s">
        <v>36</v>
      </c>
      <c r="F1058" s="118"/>
      <c r="G1058" s="116"/>
      <c r="H1058" s="141">
        <v>300</v>
      </c>
      <c r="I1058" s="142">
        <v>68.5</v>
      </c>
      <c r="J1058" s="130">
        <f t="shared" si="251"/>
        <v>20550</v>
      </c>
      <c r="K1058" s="130">
        <f>J1058*1.2</f>
        <v>24660</v>
      </c>
      <c r="L1058" s="129">
        <v>24660</v>
      </c>
      <c r="M1058" s="152">
        <v>45560</v>
      </c>
      <c r="N1058" s="130">
        <f>+Table6[[#This Row],[стойност с ДДС]]-Table6[[#This Row],[плащане]]</f>
        <v>0</v>
      </c>
      <c r="O1058" s="208">
        <v>45524</v>
      </c>
    </row>
    <row r="1059" spans="1:15" x14ac:dyDescent="0.3">
      <c r="A1059" s="116" t="s">
        <v>1605</v>
      </c>
      <c r="B1059" s="394">
        <v>3100000549</v>
      </c>
      <c r="C1059" s="117">
        <v>45523</v>
      </c>
      <c r="D1059" s="116"/>
      <c r="E1059" s="97" t="s">
        <v>36</v>
      </c>
      <c r="F1059" s="118"/>
      <c r="G1059" s="116"/>
      <c r="H1059" s="141">
        <v>100</v>
      </c>
      <c r="I1059" s="142">
        <v>67</v>
      </c>
      <c r="J1059" s="130">
        <f t="shared" si="251"/>
        <v>6700</v>
      </c>
      <c r="K1059" s="130">
        <f>J1059*1.2</f>
        <v>8040</v>
      </c>
      <c r="L1059" s="129">
        <v>8040</v>
      </c>
      <c r="M1059" s="152">
        <v>45560</v>
      </c>
      <c r="N1059" s="130">
        <f>+Table6[[#This Row],[стойност с ДДС]]-Table6[[#This Row],[плащане]]</f>
        <v>0</v>
      </c>
      <c r="O1059" s="208">
        <v>45524</v>
      </c>
    </row>
    <row r="1060" spans="1:15" x14ac:dyDescent="0.3">
      <c r="A1060" s="116" t="s">
        <v>1606</v>
      </c>
      <c r="B1060" s="394">
        <v>3100000550</v>
      </c>
      <c r="C1060" s="117">
        <v>45523</v>
      </c>
      <c r="D1060" s="116"/>
      <c r="E1060" s="97" t="s">
        <v>36</v>
      </c>
      <c r="F1060" s="118"/>
      <c r="G1060" s="116"/>
      <c r="H1060" s="141">
        <v>60</v>
      </c>
      <c r="I1060" s="142">
        <v>68.099999999999994</v>
      </c>
      <c r="J1060" s="130">
        <f t="shared" si="251"/>
        <v>4086</v>
      </c>
      <c r="K1060" s="130">
        <f>J1060*1.2</f>
        <v>4903.2</v>
      </c>
      <c r="L1060" s="129">
        <v>4903.2</v>
      </c>
      <c r="M1060" s="152">
        <v>45560</v>
      </c>
      <c r="N1060" s="130">
        <f>+Table6[[#This Row],[стойност с ДДС]]-Table6[[#This Row],[плащане]]</f>
        <v>0</v>
      </c>
      <c r="O1060" s="208">
        <v>45524</v>
      </c>
    </row>
    <row r="1061" spans="1:15" x14ac:dyDescent="0.3">
      <c r="A1061" s="116" t="s">
        <v>1118</v>
      </c>
      <c r="B1061" s="394">
        <v>3100000551</v>
      </c>
      <c r="C1061" s="117">
        <v>45523</v>
      </c>
      <c r="D1061" s="116"/>
      <c r="E1061" s="97" t="s">
        <v>36</v>
      </c>
      <c r="F1061" s="118"/>
      <c r="G1061" s="116"/>
      <c r="H1061" s="141">
        <v>500</v>
      </c>
      <c r="I1061" s="142">
        <v>67</v>
      </c>
      <c r="J1061" s="130">
        <f t="shared" si="251"/>
        <v>33500</v>
      </c>
      <c r="K1061" s="130">
        <v>33500</v>
      </c>
      <c r="L1061" s="129">
        <v>33500</v>
      </c>
      <c r="M1061" s="152">
        <v>45560</v>
      </c>
      <c r="N1061" s="130">
        <f>+Table6[[#This Row],[стойност с ДДС]]-Table6[[#This Row],[плащане]]</f>
        <v>0</v>
      </c>
      <c r="O1061" s="208">
        <v>45524</v>
      </c>
    </row>
    <row r="1062" spans="1:15" x14ac:dyDescent="0.3">
      <c r="A1062" s="97" t="s">
        <v>1118</v>
      </c>
      <c r="B1062" s="393">
        <v>3100000551</v>
      </c>
      <c r="C1062" s="110">
        <v>45523</v>
      </c>
      <c r="D1062" s="97"/>
      <c r="E1062" s="97" t="s">
        <v>36</v>
      </c>
      <c r="F1062" s="101"/>
      <c r="G1062" s="97"/>
      <c r="H1062" s="113">
        <v>500</v>
      </c>
      <c r="I1062" s="114">
        <v>67</v>
      </c>
      <c r="J1062" s="115">
        <f t="shared" ref="J1062:J1064" si="252">ROUND(+H1062*I1062,2)</f>
        <v>33500</v>
      </c>
      <c r="K1062" s="115">
        <v>33500</v>
      </c>
      <c r="L1062" s="104">
        <v>33500</v>
      </c>
      <c r="M1062" s="107">
        <v>45560</v>
      </c>
      <c r="N1062" s="115">
        <f>+Table6[[#This Row],[стойност с ДДС]]-Table6[[#This Row],[плащане]]</f>
        <v>0</v>
      </c>
      <c r="O1062" s="208">
        <v>45524</v>
      </c>
    </row>
    <row r="1063" spans="1:15" x14ac:dyDescent="0.3">
      <c r="A1063" s="97" t="s">
        <v>1118</v>
      </c>
      <c r="B1063" s="393">
        <v>3100000551</v>
      </c>
      <c r="C1063" s="110">
        <v>45523</v>
      </c>
      <c r="D1063" s="97"/>
      <c r="E1063" s="97" t="s">
        <v>36</v>
      </c>
      <c r="F1063" s="101"/>
      <c r="G1063" s="97"/>
      <c r="H1063" s="113">
        <v>500</v>
      </c>
      <c r="I1063" s="114">
        <v>67</v>
      </c>
      <c r="J1063" s="115">
        <f t="shared" si="252"/>
        <v>33500</v>
      </c>
      <c r="K1063" s="115">
        <v>33500</v>
      </c>
      <c r="L1063" s="104">
        <v>33500</v>
      </c>
      <c r="M1063" s="107">
        <v>45560</v>
      </c>
      <c r="N1063" s="115">
        <f>+Table6[[#This Row],[стойност с ДДС]]-Table6[[#This Row],[плащане]]</f>
        <v>0</v>
      </c>
      <c r="O1063" s="208">
        <v>45524</v>
      </c>
    </row>
    <row r="1064" spans="1:15" x14ac:dyDescent="0.3">
      <c r="A1064" s="116" t="s">
        <v>1118</v>
      </c>
      <c r="B1064" s="394">
        <v>3100000551</v>
      </c>
      <c r="C1064" s="117">
        <v>45523</v>
      </c>
      <c r="D1064" s="116"/>
      <c r="E1064" s="97" t="s">
        <v>36</v>
      </c>
      <c r="F1064" s="118"/>
      <c r="G1064" s="116"/>
      <c r="H1064" s="141">
        <v>280</v>
      </c>
      <c r="I1064" s="142">
        <v>67</v>
      </c>
      <c r="J1064" s="130">
        <f t="shared" si="252"/>
        <v>18760</v>
      </c>
      <c r="K1064" s="130">
        <v>18760</v>
      </c>
      <c r="L1064" s="129">
        <v>18760</v>
      </c>
      <c r="M1064" s="152">
        <v>45560</v>
      </c>
      <c r="N1064" s="130">
        <f>+Table6[[#This Row],[стойност с ДДС]]-Table6[[#This Row],[плащане]]</f>
        <v>0</v>
      </c>
      <c r="O1064" s="208">
        <v>45524</v>
      </c>
    </row>
    <row r="1065" spans="1:15" x14ac:dyDescent="0.3">
      <c r="A1065" s="116" t="s">
        <v>1605</v>
      </c>
      <c r="B1065" s="394">
        <v>3100000552</v>
      </c>
      <c r="C1065" s="117">
        <v>45523</v>
      </c>
      <c r="D1065" s="116"/>
      <c r="E1065" s="97" t="s">
        <v>36</v>
      </c>
      <c r="F1065" s="118"/>
      <c r="G1065" s="116"/>
      <c r="H1065" s="141">
        <v>100</v>
      </c>
      <c r="I1065" s="142">
        <v>69.900000000000006</v>
      </c>
      <c r="J1065" s="130">
        <f t="shared" ref="J1065:J1083" si="253">ROUND(+H1065*I1065,2)</f>
        <v>6990</v>
      </c>
      <c r="K1065" s="130">
        <f t="shared" ref="K1065:K1083" si="254">J1065*1.2</f>
        <v>8388</v>
      </c>
      <c r="L1065" s="129">
        <v>8388</v>
      </c>
      <c r="M1065" s="152">
        <v>45560</v>
      </c>
      <c r="N1065" s="130">
        <f>+Table6[[#This Row],[стойност с ДДС]]-Table6[[#This Row],[плащане]]</f>
        <v>0</v>
      </c>
      <c r="O1065" s="208">
        <v>45524</v>
      </c>
    </row>
    <row r="1066" spans="1:15" x14ac:dyDescent="0.3">
      <c r="A1066" s="116" t="s">
        <v>1605</v>
      </c>
      <c r="B1066" s="394">
        <v>3100000559</v>
      </c>
      <c r="C1066" s="117">
        <v>45525</v>
      </c>
      <c r="D1066" s="116"/>
      <c r="E1066" s="97" t="s">
        <v>36</v>
      </c>
      <c r="F1066" s="118"/>
      <c r="G1066" s="116"/>
      <c r="H1066" s="141">
        <v>200</v>
      </c>
      <c r="I1066" s="142">
        <v>70.5</v>
      </c>
      <c r="J1066" s="130">
        <f t="shared" si="253"/>
        <v>14100</v>
      </c>
      <c r="K1066" s="130">
        <f t="shared" si="254"/>
        <v>16920</v>
      </c>
      <c r="L1066" s="129"/>
      <c r="M1066" s="152">
        <v>45560</v>
      </c>
      <c r="N1066" s="130">
        <f>+Table6[[#This Row],[стойност с ДДС]]-Table6[[#This Row],[плащане]]</f>
        <v>16920</v>
      </c>
      <c r="O1066" s="208">
        <v>45524</v>
      </c>
    </row>
    <row r="1067" spans="1:15" x14ac:dyDescent="0.3">
      <c r="A1067" s="116" t="s">
        <v>1206</v>
      </c>
      <c r="B1067" s="394">
        <v>3100000560</v>
      </c>
      <c r="C1067" s="117">
        <v>45525</v>
      </c>
      <c r="D1067" s="116"/>
      <c r="E1067" s="97" t="s">
        <v>36</v>
      </c>
      <c r="F1067" s="118"/>
      <c r="G1067" s="116"/>
      <c r="H1067" s="141">
        <v>76</v>
      </c>
      <c r="I1067" s="142">
        <v>70.099999999999994</v>
      </c>
      <c r="J1067" s="130">
        <f t="shared" si="253"/>
        <v>5327.6</v>
      </c>
      <c r="K1067" s="130">
        <f t="shared" si="254"/>
        <v>6393.12</v>
      </c>
      <c r="L1067" s="129">
        <v>6393.12</v>
      </c>
      <c r="M1067" s="152">
        <v>45560</v>
      </c>
      <c r="N1067" s="130">
        <f>+Table6[[#This Row],[стойност с ДДС]]-Table6[[#This Row],[плащане]]</f>
        <v>0</v>
      </c>
      <c r="O1067" s="208">
        <v>45524</v>
      </c>
    </row>
    <row r="1068" spans="1:15" x14ac:dyDescent="0.3">
      <c r="A1068" s="116" t="s">
        <v>1119</v>
      </c>
      <c r="B1068" s="394">
        <v>3100000561</v>
      </c>
      <c r="C1068" s="117">
        <v>45525</v>
      </c>
      <c r="D1068" s="116"/>
      <c r="E1068" s="97" t="s">
        <v>36</v>
      </c>
      <c r="F1068" s="118"/>
      <c r="G1068" s="116"/>
      <c r="H1068" s="141">
        <v>300</v>
      </c>
      <c r="I1068" s="142">
        <v>70.2</v>
      </c>
      <c r="J1068" s="130">
        <f t="shared" si="253"/>
        <v>21060</v>
      </c>
      <c r="K1068" s="130">
        <f t="shared" si="254"/>
        <v>25272</v>
      </c>
      <c r="L1068" s="129">
        <v>25272</v>
      </c>
      <c r="M1068" s="152">
        <v>45560</v>
      </c>
      <c r="N1068" s="130">
        <f>+Table6[[#This Row],[стойност с ДДС]]-Table6[[#This Row],[плащане]]</f>
        <v>0</v>
      </c>
      <c r="O1068" s="208">
        <v>45524</v>
      </c>
    </row>
    <row r="1069" spans="1:15" x14ac:dyDescent="0.3">
      <c r="A1069" s="116" t="s">
        <v>1119</v>
      </c>
      <c r="B1069" s="394">
        <v>3100000561</v>
      </c>
      <c r="C1069" s="117">
        <v>45525</v>
      </c>
      <c r="D1069" s="116"/>
      <c r="E1069" s="97" t="s">
        <v>36</v>
      </c>
      <c r="F1069" s="118"/>
      <c r="G1069" s="116"/>
      <c r="H1069" s="141">
        <v>200</v>
      </c>
      <c r="I1069" s="142">
        <v>70.5</v>
      </c>
      <c r="J1069" s="130">
        <f t="shared" si="253"/>
        <v>14100</v>
      </c>
      <c r="K1069" s="130">
        <f t="shared" si="254"/>
        <v>16920</v>
      </c>
      <c r="L1069" s="129">
        <v>16920</v>
      </c>
      <c r="M1069" s="152">
        <v>45560</v>
      </c>
      <c r="N1069" s="130">
        <f>+Table6[[#This Row],[стойност с ДДС]]-Table6[[#This Row],[плащане]]</f>
        <v>0</v>
      </c>
      <c r="O1069" s="208">
        <v>45524</v>
      </c>
    </row>
    <row r="1070" spans="1:15" x14ac:dyDescent="0.3">
      <c r="A1070" s="116" t="s">
        <v>50</v>
      </c>
      <c r="B1070" s="394">
        <v>3000002930</v>
      </c>
      <c r="C1070" s="117">
        <v>45526</v>
      </c>
      <c r="D1070" s="116"/>
      <c r="E1070" s="97" t="s">
        <v>36</v>
      </c>
      <c r="F1070" s="118"/>
      <c r="G1070" s="116"/>
      <c r="H1070" s="141">
        <v>625</v>
      </c>
      <c r="I1070" s="142">
        <v>60.75</v>
      </c>
      <c r="J1070" s="130">
        <f t="shared" si="253"/>
        <v>37968.75</v>
      </c>
      <c r="K1070" s="130">
        <f t="shared" si="254"/>
        <v>45562.5</v>
      </c>
      <c r="L1070" s="129"/>
      <c r="M1070" s="152">
        <v>45560</v>
      </c>
      <c r="N1070" s="130">
        <f>+Table6[[#This Row],[стойност с ДДС]]-Table6[[#This Row],[плащане]]</f>
        <v>45562.5</v>
      </c>
      <c r="O1070" s="208">
        <v>45524</v>
      </c>
    </row>
    <row r="1071" spans="1:15" x14ac:dyDescent="0.3">
      <c r="A1071" s="116" t="s">
        <v>64</v>
      </c>
      <c r="B1071" s="394">
        <v>3000002931</v>
      </c>
      <c r="C1071" s="117">
        <v>45526</v>
      </c>
      <c r="D1071" s="116"/>
      <c r="E1071" s="97" t="s">
        <v>36</v>
      </c>
      <c r="F1071" s="118"/>
      <c r="G1071" s="116"/>
      <c r="H1071" s="141">
        <v>351.04</v>
      </c>
      <c r="I1071" s="142">
        <v>60.75</v>
      </c>
      <c r="J1071" s="130">
        <f t="shared" si="253"/>
        <v>21325.68</v>
      </c>
      <c r="K1071" s="130">
        <f t="shared" si="254"/>
        <v>25590.815999999999</v>
      </c>
      <c r="L1071" s="129"/>
      <c r="M1071" s="152">
        <v>45560</v>
      </c>
      <c r="N1071" s="130">
        <f>+Table6[[#This Row],[стойност с ДДС]]-Table6[[#This Row],[плащане]]</f>
        <v>25590.815999999999</v>
      </c>
      <c r="O1071" s="208">
        <v>45524</v>
      </c>
    </row>
    <row r="1072" spans="1:15" x14ac:dyDescent="0.3">
      <c r="A1072" s="116" t="s">
        <v>64</v>
      </c>
      <c r="B1072" s="394">
        <v>3000002931</v>
      </c>
      <c r="C1072" s="117">
        <v>45526</v>
      </c>
      <c r="D1072" s="116"/>
      <c r="E1072" s="97" t="s">
        <v>36</v>
      </c>
      <c r="F1072" s="118"/>
      <c r="G1072" s="116"/>
      <c r="H1072" s="141">
        <v>301.233</v>
      </c>
      <c r="I1072" s="142">
        <v>60.75</v>
      </c>
      <c r="J1072" s="130">
        <f t="shared" si="253"/>
        <v>18299.900000000001</v>
      </c>
      <c r="K1072" s="130">
        <f t="shared" si="254"/>
        <v>21959.88</v>
      </c>
      <c r="L1072" s="129"/>
      <c r="M1072" s="152">
        <v>45560</v>
      </c>
      <c r="N1072" s="130">
        <f>+Table6[[#This Row],[стойност с ДДС]]-Table6[[#This Row],[плащане]]</f>
        <v>21959.88</v>
      </c>
      <c r="O1072" s="208">
        <v>45524</v>
      </c>
    </row>
    <row r="1073" spans="1:15" x14ac:dyDescent="0.3">
      <c r="A1073" s="116" t="s">
        <v>62</v>
      </c>
      <c r="B1073" s="394">
        <v>3000002932</v>
      </c>
      <c r="C1073" s="117">
        <v>45526</v>
      </c>
      <c r="D1073" s="116"/>
      <c r="E1073" s="97" t="s">
        <v>36</v>
      </c>
      <c r="F1073" s="118"/>
      <c r="G1073" s="116"/>
      <c r="H1073" s="141">
        <v>10510.828</v>
      </c>
      <c r="I1073" s="142">
        <v>60.75</v>
      </c>
      <c r="J1073" s="130">
        <f t="shared" si="253"/>
        <v>638532.80000000005</v>
      </c>
      <c r="K1073" s="130">
        <f t="shared" si="254"/>
        <v>766239.36</v>
      </c>
      <c r="L1073" s="129"/>
      <c r="M1073" s="152">
        <v>45560</v>
      </c>
      <c r="N1073" s="130">
        <f>+Table6[[#This Row],[стойност с ДДС]]-Table6[[#This Row],[плащане]]</f>
        <v>766239.36</v>
      </c>
      <c r="O1073" s="208">
        <v>45524</v>
      </c>
    </row>
    <row r="1074" spans="1:15" x14ac:dyDescent="0.3">
      <c r="A1074" s="116" t="s">
        <v>67</v>
      </c>
      <c r="B1074" s="394">
        <v>3000002933</v>
      </c>
      <c r="C1074" s="117">
        <v>45526</v>
      </c>
      <c r="D1074" s="116"/>
      <c r="E1074" s="97" t="s">
        <v>36</v>
      </c>
      <c r="F1074" s="118"/>
      <c r="G1074" s="116"/>
      <c r="H1074" s="141">
        <v>5683.3050000000003</v>
      </c>
      <c r="I1074" s="142">
        <v>60.75</v>
      </c>
      <c r="J1074" s="130">
        <f t="shared" si="253"/>
        <v>345260.78</v>
      </c>
      <c r="K1074" s="130">
        <f t="shared" si="254"/>
        <v>414312.93600000005</v>
      </c>
      <c r="L1074" s="129"/>
      <c r="M1074" s="152">
        <v>45560</v>
      </c>
      <c r="N1074" s="130">
        <f>+Table6[[#This Row],[стойност с ДДС]]-Table6[[#This Row],[плащане]]</f>
        <v>414312.93600000005</v>
      </c>
      <c r="O1074" s="208">
        <v>45524</v>
      </c>
    </row>
    <row r="1075" spans="1:15" x14ac:dyDescent="0.3">
      <c r="A1075" s="116" t="s">
        <v>83</v>
      </c>
      <c r="B1075" s="394">
        <v>3000002934</v>
      </c>
      <c r="C1075" s="117">
        <v>45526</v>
      </c>
      <c r="D1075" s="116"/>
      <c r="E1075" s="97" t="s">
        <v>36</v>
      </c>
      <c r="F1075" s="118"/>
      <c r="G1075" s="116"/>
      <c r="H1075" s="141">
        <v>321.16399999999999</v>
      </c>
      <c r="I1075" s="142">
        <v>60.75</v>
      </c>
      <c r="J1075" s="130">
        <f t="shared" si="253"/>
        <v>19510.71</v>
      </c>
      <c r="K1075" s="130">
        <f t="shared" si="254"/>
        <v>23412.851999999999</v>
      </c>
      <c r="L1075" s="129"/>
      <c r="M1075" s="152">
        <v>45560</v>
      </c>
      <c r="N1075" s="130">
        <f>+Table6[[#This Row],[стойност с ДДС]]-Table6[[#This Row],[плащане]]</f>
        <v>23412.851999999999</v>
      </c>
      <c r="O1075" s="208">
        <v>45524</v>
      </c>
    </row>
    <row r="1076" spans="1:15" x14ac:dyDescent="0.3">
      <c r="A1076" s="116" t="s">
        <v>77</v>
      </c>
      <c r="B1076" s="394">
        <v>3000002935</v>
      </c>
      <c r="C1076" s="117">
        <v>45526</v>
      </c>
      <c r="D1076" s="116"/>
      <c r="E1076" s="97" t="s">
        <v>36</v>
      </c>
      <c r="F1076" s="118"/>
      <c r="G1076" s="116"/>
      <c r="H1076" s="141">
        <v>3972.2040000000002</v>
      </c>
      <c r="I1076" s="142">
        <v>60.75</v>
      </c>
      <c r="J1076" s="130">
        <f t="shared" si="253"/>
        <v>241311.39</v>
      </c>
      <c r="K1076" s="130">
        <f t="shared" si="254"/>
        <v>289573.66800000001</v>
      </c>
      <c r="L1076" s="129"/>
      <c r="M1076" s="152">
        <v>45560</v>
      </c>
      <c r="N1076" s="130">
        <f>+Table6[[#This Row],[стойност с ДДС]]-Table6[[#This Row],[плащане]]</f>
        <v>289573.66800000001</v>
      </c>
      <c r="O1076" s="208">
        <v>45524</v>
      </c>
    </row>
    <row r="1077" spans="1:15" x14ac:dyDescent="0.3">
      <c r="A1077" s="116" t="s">
        <v>1184</v>
      </c>
      <c r="B1077" s="394">
        <v>3000002936</v>
      </c>
      <c r="C1077" s="117">
        <v>45526</v>
      </c>
      <c r="D1077" s="116"/>
      <c r="E1077" s="97" t="s">
        <v>36</v>
      </c>
      <c r="F1077" s="118"/>
      <c r="G1077" s="116"/>
      <c r="H1077" s="141">
        <v>1</v>
      </c>
      <c r="I1077" s="142">
        <v>9156</v>
      </c>
      <c r="J1077" s="130">
        <f t="shared" si="253"/>
        <v>9156</v>
      </c>
      <c r="K1077" s="130">
        <f t="shared" si="254"/>
        <v>10987.199999999999</v>
      </c>
      <c r="L1077" s="129">
        <v>10987.199999999999</v>
      </c>
      <c r="M1077" s="152">
        <v>45560</v>
      </c>
      <c r="N1077" s="130">
        <f>+Table6[[#This Row],[стойност с ДДС]]-Table6[[#This Row],[плащане]]</f>
        <v>0</v>
      </c>
      <c r="O1077" s="208">
        <v>45524</v>
      </c>
    </row>
    <row r="1078" spans="1:15" x14ac:dyDescent="0.3">
      <c r="A1078" s="116" t="s">
        <v>72</v>
      </c>
      <c r="B1078" s="394">
        <v>3000002937</v>
      </c>
      <c r="C1078" s="117">
        <v>45526</v>
      </c>
      <c r="D1078" s="116"/>
      <c r="E1078" s="97" t="s">
        <v>36</v>
      </c>
      <c r="F1078" s="118"/>
      <c r="G1078" s="116"/>
      <c r="H1078" s="141">
        <v>1</v>
      </c>
      <c r="I1078" s="142">
        <v>13672.96</v>
      </c>
      <c r="J1078" s="130">
        <f t="shared" si="253"/>
        <v>13672.96</v>
      </c>
      <c r="K1078" s="130">
        <f t="shared" si="254"/>
        <v>16407.552</v>
      </c>
      <c r="L1078" s="129">
        <v>16407.552</v>
      </c>
      <c r="M1078" s="152">
        <v>45560</v>
      </c>
      <c r="N1078" s="130">
        <f>+Table6[[#This Row],[стойност с ДДС]]-Table6[[#This Row],[плащане]]</f>
        <v>0</v>
      </c>
      <c r="O1078" s="208">
        <v>45524</v>
      </c>
    </row>
    <row r="1079" spans="1:15" x14ac:dyDescent="0.3">
      <c r="A1079" s="116" t="s">
        <v>82</v>
      </c>
      <c r="B1079" s="394">
        <v>3000002938</v>
      </c>
      <c r="C1079" s="117">
        <v>45526</v>
      </c>
      <c r="D1079" s="116"/>
      <c r="E1079" s="97" t="s">
        <v>36</v>
      </c>
      <c r="F1079" s="118"/>
      <c r="G1079" s="116"/>
      <c r="H1079" s="141">
        <v>1</v>
      </c>
      <c r="I1079" s="142">
        <v>2147.48</v>
      </c>
      <c r="J1079" s="130">
        <f t="shared" si="253"/>
        <v>2147.48</v>
      </c>
      <c r="K1079" s="130">
        <f t="shared" si="254"/>
        <v>2576.9760000000001</v>
      </c>
      <c r="L1079" s="129">
        <v>-29223.707999999999</v>
      </c>
      <c r="M1079" s="152">
        <v>45560</v>
      </c>
      <c r="N1079" s="130">
        <f>+Table6[[#This Row],[стойност с ДДС]]-Table6[[#This Row],[плащане]]</f>
        <v>31800.683999999997</v>
      </c>
      <c r="O1079" s="208">
        <v>45524</v>
      </c>
    </row>
    <row r="1080" spans="1:15" x14ac:dyDescent="0.3">
      <c r="A1080" s="116" t="s">
        <v>82</v>
      </c>
      <c r="B1080" s="394">
        <v>3000002938</v>
      </c>
      <c r="C1080" s="117">
        <v>45526</v>
      </c>
      <c r="D1080" s="116"/>
      <c r="E1080" s="97" t="s">
        <v>36</v>
      </c>
      <c r="F1080" s="118"/>
      <c r="G1080" s="116"/>
      <c r="H1080" s="141">
        <v>1</v>
      </c>
      <c r="I1080" s="142">
        <v>18.5</v>
      </c>
      <c r="J1080" s="130">
        <f t="shared" si="253"/>
        <v>18.5</v>
      </c>
      <c r="K1080" s="130">
        <f t="shared" si="254"/>
        <v>22.2</v>
      </c>
      <c r="L1080" s="129">
        <v>29223.707999999999</v>
      </c>
      <c r="M1080" s="152">
        <v>45560</v>
      </c>
      <c r="N1080" s="130">
        <f>+Table6[[#This Row],[стойност с ДДС]]-Table6[[#This Row],[плащане]]</f>
        <v>-29201.507999999998</v>
      </c>
      <c r="O1080" s="208">
        <v>45524</v>
      </c>
    </row>
    <row r="1081" spans="1:15" x14ac:dyDescent="0.3">
      <c r="A1081" s="116" t="s">
        <v>82</v>
      </c>
      <c r="B1081" s="394">
        <v>3000002938</v>
      </c>
      <c r="C1081" s="117">
        <v>45526</v>
      </c>
      <c r="D1081" s="116"/>
      <c r="E1081" s="97" t="s">
        <v>36</v>
      </c>
      <c r="F1081" s="118"/>
      <c r="G1081" s="116"/>
      <c r="H1081" s="141">
        <v>1</v>
      </c>
      <c r="I1081" s="142">
        <v>19.350000000000001</v>
      </c>
      <c r="J1081" s="130">
        <f t="shared" si="253"/>
        <v>19.350000000000001</v>
      </c>
      <c r="K1081" s="130">
        <f t="shared" si="254"/>
        <v>23.220000000000002</v>
      </c>
      <c r="L1081" s="129">
        <v>23.220000000000002</v>
      </c>
      <c r="M1081" s="152">
        <v>45560</v>
      </c>
      <c r="N1081" s="130">
        <f>+Table6[[#This Row],[стойност с ДДС]]-Table6[[#This Row],[плащане]]</f>
        <v>0</v>
      </c>
      <c r="O1081" s="208">
        <v>45524</v>
      </c>
    </row>
    <row r="1082" spans="1:15" x14ac:dyDescent="0.3">
      <c r="A1082" s="116" t="s">
        <v>49</v>
      </c>
      <c r="B1082" s="394">
        <v>3000002939</v>
      </c>
      <c r="C1082" s="117">
        <v>45526</v>
      </c>
      <c r="D1082" s="116"/>
      <c r="E1082" s="97" t="s">
        <v>36</v>
      </c>
      <c r="F1082" s="118"/>
      <c r="G1082" s="116"/>
      <c r="H1082" s="141">
        <v>1</v>
      </c>
      <c r="I1082" s="142">
        <v>1632.8</v>
      </c>
      <c r="J1082" s="130">
        <f t="shared" si="253"/>
        <v>1632.8</v>
      </c>
      <c r="K1082" s="130">
        <f t="shared" si="254"/>
        <v>1959.36</v>
      </c>
      <c r="L1082" s="129">
        <v>-3565.8719999999998</v>
      </c>
      <c r="M1082" s="152">
        <v>45560</v>
      </c>
      <c r="N1082" s="130">
        <f>+Table6[[#This Row],[стойност с ДДС]]-Table6[[#This Row],[плащане]]</f>
        <v>5525.232</v>
      </c>
      <c r="O1082" s="208">
        <v>45524</v>
      </c>
    </row>
    <row r="1083" spans="1:15" x14ac:dyDescent="0.3">
      <c r="A1083" s="116" t="s">
        <v>92</v>
      </c>
      <c r="B1083" s="394">
        <v>3000002940</v>
      </c>
      <c r="C1083" s="117">
        <v>45526</v>
      </c>
      <c r="D1083" s="116"/>
      <c r="E1083" s="97" t="s">
        <v>36</v>
      </c>
      <c r="F1083" s="118"/>
      <c r="G1083" s="116"/>
      <c r="H1083" s="141">
        <v>1</v>
      </c>
      <c r="I1083" s="142">
        <v>824.04</v>
      </c>
      <c r="J1083" s="130">
        <f t="shared" si="253"/>
        <v>824.04</v>
      </c>
      <c r="K1083" s="130">
        <f t="shared" si="254"/>
        <v>988.84799999999996</v>
      </c>
      <c r="L1083" s="129">
        <v>-30.071999999999996</v>
      </c>
      <c r="M1083" s="152">
        <v>45560</v>
      </c>
      <c r="N1083" s="130">
        <f>+Table6[[#This Row],[стойност с ДДС]]-Table6[[#This Row],[плащане]]</f>
        <v>1018.92</v>
      </c>
      <c r="O1083" s="208">
        <v>45524</v>
      </c>
    </row>
    <row r="1084" spans="1:15" x14ac:dyDescent="0.3">
      <c r="A1084" s="116" t="s">
        <v>1182</v>
      </c>
      <c r="B1084" s="394">
        <v>3100000553</v>
      </c>
      <c r="C1084" s="117">
        <v>45524</v>
      </c>
      <c r="D1084" s="116"/>
      <c r="E1084" s="97" t="s">
        <v>36</v>
      </c>
      <c r="F1084" s="118"/>
      <c r="G1084" s="116"/>
      <c r="H1084" s="141">
        <v>195</v>
      </c>
      <c r="I1084" s="142">
        <v>36.198999999999998</v>
      </c>
      <c r="J1084" s="130">
        <f t="shared" ref="J1084:J1085" si="255">ROUND(+H1084*I1084,2)</f>
        <v>7058.81</v>
      </c>
      <c r="K1084" s="130">
        <v>13805.99</v>
      </c>
      <c r="L1084" s="129">
        <v>-31.451999999999998</v>
      </c>
      <c r="M1084" s="152">
        <v>45560</v>
      </c>
      <c r="N1084" s="130">
        <f>+Table6[[#This Row],[стойност с ДДС]]-Table6[[#This Row],[плащане]]</f>
        <v>13837.441999999999</v>
      </c>
      <c r="O1084" s="208">
        <v>45524</v>
      </c>
    </row>
    <row r="1085" spans="1:15" x14ac:dyDescent="0.3">
      <c r="A1085" s="116" t="s">
        <v>1486</v>
      </c>
      <c r="B1085" s="394">
        <v>3100000554</v>
      </c>
      <c r="C1085" s="117">
        <v>45524</v>
      </c>
      <c r="D1085" s="116"/>
      <c r="E1085" s="97" t="s">
        <v>36</v>
      </c>
      <c r="F1085" s="118"/>
      <c r="G1085" s="116"/>
      <c r="H1085" s="141">
        <v>100</v>
      </c>
      <c r="I1085" s="142">
        <v>36.045999999999999</v>
      </c>
      <c r="J1085" s="130">
        <f t="shared" si="255"/>
        <v>3604.6</v>
      </c>
      <c r="K1085" s="130">
        <v>7050</v>
      </c>
      <c r="L1085" s="129">
        <v>3565.8719999999998</v>
      </c>
      <c r="M1085" s="152">
        <v>45560</v>
      </c>
      <c r="N1085" s="130">
        <f>+Table6[[#This Row],[стойност с ДДС]]-Table6[[#This Row],[плащане]]</f>
        <v>3484.1280000000002</v>
      </c>
      <c r="O1085" s="208">
        <v>45524</v>
      </c>
    </row>
    <row r="1086" spans="1:15" x14ac:dyDescent="0.3">
      <c r="A1086" s="116" t="s">
        <v>1119</v>
      </c>
      <c r="B1086" s="394">
        <v>3100000555</v>
      </c>
      <c r="C1086" s="117">
        <v>45524</v>
      </c>
      <c r="D1086" s="116"/>
      <c r="E1086" s="116" t="s">
        <v>36</v>
      </c>
      <c r="F1086" s="118"/>
      <c r="G1086" s="116"/>
      <c r="H1086" s="141">
        <v>80</v>
      </c>
      <c r="I1086" s="142">
        <v>36.045999999999999</v>
      </c>
      <c r="J1086" s="130">
        <f t="shared" ref="J1086:J1092" si="256">ROUND(+H1086*I1086,2)</f>
        <v>2883.68</v>
      </c>
      <c r="K1086" s="130">
        <v>5639.99</v>
      </c>
      <c r="L1086" s="129">
        <v>31.451999999999998</v>
      </c>
      <c r="M1086" s="152">
        <v>45560</v>
      </c>
      <c r="N1086" s="130">
        <f>+Table6[[#This Row],[стойност с ДДС]]-Table6[[#This Row],[плащане]]</f>
        <v>5608.5379999999996</v>
      </c>
      <c r="O1086" s="208">
        <v>45524</v>
      </c>
    </row>
    <row r="1087" spans="1:15" x14ac:dyDescent="0.3">
      <c r="A1087" s="116" t="s">
        <v>1625</v>
      </c>
      <c r="B1087" s="394">
        <v>3100000556</v>
      </c>
      <c r="C1087" s="117">
        <v>45524</v>
      </c>
      <c r="D1087" s="116"/>
      <c r="E1087" s="116" t="s">
        <v>36</v>
      </c>
      <c r="F1087" s="118"/>
      <c r="G1087" s="116"/>
      <c r="H1087" s="141">
        <v>5</v>
      </c>
      <c r="I1087" s="142">
        <v>70.8</v>
      </c>
      <c r="J1087" s="130">
        <f t="shared" si="256"/>
        <v>354</v>
      </c>
      <c r="K1087" s="130">
        <f>J1087*1.2</f>
        <v>424.8</v>
      </c>
      <c r="L1087" s="129">
        <v>30.071999999999996</v>
      </c>
      <c r="M1087" s="152">
        <v>45560</v>
      </c>
      <c r="N1087" s="130">
        <f>+Table6[[#This Row],[стойност с ДДС]]-Table6[[#This Row],[плащане]]</f>
        <v>394.72800000000001</v>
      </c>
      <c r="O1087" s="208">
        <v>45524</v>
      </c>
    </row>
    <row r="1088" spans="1:15" x14ac:dyDescent="0.3">
      <c r="A1088" s="116" t="s">
        <v>101</v>
      </c>
      <c r="B1088" s="394">
        <v>3100000557</v>
      </c>
      <c r="C1088" s="117">
        <v>45524</v>
      </c>
      <c r="D1088" s="116"/>
      <c r="E1088" s="116" t="s">
        <v>36</v>
      </c>
      <c r="F1088" s="118"/>
      <c r="G1088" s="116"/>
      <c r="H1088" s="141">
        <v>24</v>
      </c>
      <c r="I1088" s="142">
        <v>71</v>
      </c>
      <c r="J1088" s="130">
        <f t="shared" si="256"/>
        <v>1704</v>
      </c>
      <c r="K1088" s="130">
        <f>J1088*1.2</f>
        <v>2044.8</v>
      </c>
      <c r="L1088" s="129">
        <v>129.91200000000001</v>
      </c>
      <c r="M1088" s="152">
        <v>45560</v>
      </c>
      <c r="N1088" s="130">
        <f>+Table6[[#This Row],[стойност с ДДС]]-Table6[[#This Row],[плащане]]</f>
        <v>1914.8879999999999</v>
      </c>
      <c r="O1088" s="208">
        <v>45524</v>
      </c>
    </row>
    <row r="1089" spans="1:15" x14ac:dyDescent="0.3">
      <c r="A1089" s="116" t="s">
        <v>1605</v>
      </c>
      <c r="B1089" s="394">
        <v>3100000558</v>
      </c>
      <c r="C1089" s="117">
        <v>45524</v>
      </c>
      <c r="D1089" s="116"/>
      <c r="E1089" s="116" t="s">
        <v>36</v>
      </c>
      <c r="F1089" s="118"/>
      <c r="G1089" s="116"/>
      <c r="H1089" s="141">
        <v>150</v>
      </c>
      <c r="I1089" s="142">
        <v>69.3</v>
      </c>
      <c r="J1089" s="130">
        <f t="shared" si="256"/>
        <v>10395</v>
      </c>
      <c r="K1089" s="130">
        <f>J1089*1.2</f>
        <v>12474</v>
      </c>
      <c r="L1089" s="129">
        <v>1617.396</v>
      </c>
      <c r="M1089" s="152">
        <v>45560</v>
      </c>
      <c r="N1089" s="130">
        <f>+Table6[[#This Row],[стойност с ДДС]]-Table6[[#This Row],[плащане]]</f>
        <v>10856.603999999999</v>
      </c>
      <c r="O1089" s="208">
        <v>45524</v>
      </c>
    </row>
    <row r="1090" spans="1:15" x14ac:dyDescent="0.3">
      <c r="A1090" s="97" t="s">
        <v>1182</v>
      </c>
      <c r="B1090" s="393">
        <v>3100000562</v>
      </c>
      <c r="C1090" s="110">
        <v>45527</v>
      </c>
      <c r="D1090" s="97"/>
      <c r="E1090" s="97" t="s">
        <v>36</v>
      </c>
      <c r="F1090" s="101"/>
      <c r="G1090" s="97"/>
      <c r="H1090" s="113">
        <v>200</v>
      </c>
      <c r="I1090" s="114">
        <v>34.256999999999998</v>
      </c>
      <c r="J1090" s="115">
        <f t="shared" si="256"/>
        <v>6851.4</v>
      </c>
      <c r="K1090" s="115">
        <v>13400</v>
      </c>
      <c r="L1090" s="104">
        <v>5081.0879999999997</v>
      </c>
      <c r="M1090" s="107">
        <v>45560</v>
      </c>
      <c r="N1090" s="115">
        <f>+Table6[[#This Row],[стойност с ДДС]]-Table6[[#This Row],[плащане]]</f>
        <v>8318.9120000000003</v>
      </c>
      <c r="O1090" s="208">
        <v>45524</v>
      </c>
    </row>
    <row r="1091" spans="1:15" x14ac:dyDescent="0.3">
      <c r="A1091" s="116" t="s">
        <v>1118</v>
      </c>
      <c r="B1091" s="394">
        <v>3100000563</v>
      </c>
      <c r="C1091" s="117">
        <v>45527</v>
      </c>
      <c r="D1091" s="116"/>
      <c r="E1091" s="116" t="s">
        <v>36</v>
      </c>
      <c r="F1091" s="118"/>
      <c r="G1091" s="116"/>
      <c r="H1091" s="141">
        <v>40</v>
      </c>
      <c r="I1091" s="142">
        <v>67</v>
      </c>
      <c r="J1091" s="130">
        <f t="shared" si="256"/>
        <v>2680</v>
      </c>
      <c r="K1091" s="130">
        <f>J1091*1.2</f>
        <v>3216</v>
      </c>
      <c r="L1091" s="129">
        <v>38.4</v>
      </c>
      <c r="M1091" s="152">
        <v>45560</v>
      </c>
      <c r="N1091" s="130">
        <f>+Table6[[#This Row],[стойност с ДДС]]-Table6[[#This Row],[плащане]]</f>
        <v>3177.6</v>
      </c>
      <c r="O1091" s="208">
        <v>45524</v>
      </c>
    </row>
    <row r="1092" spans="1:15" x14ac:dyDescent="0.3">
      <c r="A1092" s="116" t="s">
        <v>1654</v>
      </c>
      <c r="B1092" s="394">
        <v>3100000564</v>
      </c>
      <c r="C1092" s="117">
        <v>45527</v>
      </c>
      <c r="D1092" s="116"/>
      <c r="E1092" s="116" t="s">
        <v>36</v>
      </c>
      <c r="F1092" s="118"/>
      <c r="G1092" s="116"/>
      <c r="H1092" s="141">
        <v>4</v>
      </c>
      <c r="I1092" s="142">
        <v>68.2</v>
      </c>
      <c r="J1092" s="130">
        <f t="shared" si="256"/>
        <v>272.8</v>
      </c>
      <c r="K1092" s="130">
        <f>J1092*1.2</f>
        <v>327.36</v>
      </c>
      <c r="L1092" s="129">
        <v>40.175999999999995</v>
      </c>
      <c r="M1092" s="152">
        <v>45560</v>
      </c>
      <c r="N1092" s="130">
        <f>+Table6[[#This Row],[стойност с ДДС]]-Table6[[#This Row],[плащане]]</f>
        <v>287.18400000000003</v>
      </c>
      <c r="O1092" s="208">
        <v>45524</v>
      </c>
    </row>
    <row r="1093" spans="1:15" x14ac:dyDescent="0.3">
      <c r="A1093" s="116" t="s">
        <v>1601</v>
      </c>
      <c r="B1093" s="393">
        <v>3100000565</v>
      </c>
      <c r="C1093" s="110">
        <v>45530</v>
      </c>
      <c r="D1093" s="97"/>
      <c r="E1093" s="116" t="s">
        <v>36</v>
      </c>
      <c r="F1093" s="101"/>
      <c r="G1093" s="97"/>
      <c r="H1093" s="113">
        <v>130</v>
      </c>
      <c r="I1093" s="114">
        <v>63</v>
      </c>
      <c r="J1093" s="115">
        <f>ROUND(+H1093*I1093,2)</f>
        <v>8190</v>
      </c>
      <c r="K1093" s="115">
        <f>J1093*1.2</f>
        <v>9828</v>
      </c>
      <c r="L1093" s="104">
        <v>89.387999999999991</v>
      </c>
      <c r="M1093" s="107">
        <v>45560</v>
      </c>
      <c r="N1093" s="115">
        <f>+Table6[[#This Row],[стойност с ДДС]]-Table6[[#This Row],[плащане]]</f>
        <v>9738.6119999999992</v>
      </c>
      <c r="O1093" s="208"/>
    </row>
    <row r="1094" spans="1:15" x14ac:dyDescent="0.3">
      <c r="A1094" s="116" t="s">
        <v>1601</v>
      </c>
      <c r="B1094" s="394">
        <v>3100000566</v>
      </c>
      <c r="C1094" s="117">
        <v>45533</v>
      </c>
      <c r="D1094" s="116"/>
      <c r="E1094" s="116" t="s">
        <v>36</v>
      </c>
      <c r="F1094" s="118"/>
      <c r="G1094" s="116"/>
      <c r="H1094" s="141">
        <v>40</v>
      </c>
      <c r="I1094" s="142">
        <v>64.3</v>
      </c>
      <c r="J1094" s="130">
        <f>ROUND(+H1094*I1094,2)</f>
        <v>2572</v>
      </c>
      <c r="K1094" s="130">
        <f>J1094*1.2</f>
        <v>3086.4</v>
      </c>
      <c r="L1094" s="129">
        <v>61.572000000000003</v>
      </c>
      <c r="M1094" s="152">
        <v>45560</v>
      </c>
      <c r="N1094" s="130">
        <f>+Table6[[#This Row],[стойност с ДДС]]-Table6[[#This Row],[плащане]]</f>
        <v>3024.828</v>
      </c>
      <c r="O1094" s="209"/>
    </row>
    <row r="1095" spans="1:15" x14ac:dyDescent="0.3">
      <c r="A1095" s="116" t="s">
        <v>1607</v>
      </c>
      <c r="B1095" s="394">
        <v>3100000567</v>
      </c>
      <c r="C1095" s="117">
        <v>45535</v>
      </c>
      <c r="D1095" s="116"/>
      <c r="E1095" s="116" t="s">
        <v>36</v>
      </c>
      <c r="F1095" s="118"/>
      <c r="G1095" s="116"/>
      <c r="H1095" s="141">
        <v>1</v>
      </c>
      <c r="I1095" s="142">
        <v>21.59</v>
      </c>
      <c r="J1095" s="130">
        <f>ROUND(+H1095*I1095,2)</f>
        <v>21.59</v>
      </c>
      <c r="K1095" s="130">
        <f>J1095*1.2</f>
        <v>25.907999999999998</v>
      </c>
      <c r="L1095" s="129">
        <v>25.907999999999998</v>
      </c>
      <c r="M1095" s="152">
        <v>45560</v>
      </c>
      <c r="N1095" s="130">
        <f>+Table6[[#This Row],[стойност с ДДС]]-Table6[[#This Row],[плащане]]</f>
        <v>0</v>
      </c>
      <c r="O1095" s="209"/>
    </row>
    <row r="1096" spans="1:15" x14ac:dyDescent="0.3">
      <c r="A1096" s="116" t="s">
        <v>67</v>
      </c>
      <c r="B1096" s="394" t="s">
        <v>1688</v>
      </c>
      <c r="C1096" s="117">
        <v>45513</v>
      </c>
      <c r="D1096" s="116"/>
      <c r="E1096" s="97" t="s">
        <v>53</v>
      </c>
      <c r="F1096" s="118"/>
      <c r="G1096" s="116"/>
      <c r="H1096" s="141">
        <v>356</v>
      </c>
      <c r="I1096" s="142">
        <v>49.877899999999997</v>
      </c>
      <c r="J1096" s="130">
        <f t="shared" ref="J1096:J1099" si="257">ROUND(+H1096*I1096,2)</f>
        <v>17756.53</v>
      </c>
      <c r="K1096" s="130">
        <f t="shared" ref="K1096:K1099" si="258">J1096*1.2</f>
        <v>21307.835999999999</v>
      </c>
      <c r="L1096" s="129"/>
      <c r="M1096" s="152">
        <v>45560</v>
      </c>
      <c r="N1096" s="130">
        <f>+Table6[[#This Row],[стойност с ДДС]]-Table6[[#This Row],[плащане]]</f>
        <v>21307.835999999999</v>
      </c>
      <c r="O1096" s="209"/>
    </row>
    <row r="1097" spans="1:15" x14ac:dyDescent="0.3">
      <c r="A1097" s="116" t="s">
        <v>1184</v>
      </c>
      <c r="B1097" s="393" t="s">
        <v>1689</v>
      </c>
      <c r="C1097" s="110">
        <v>45535</v>
      </c>
      <c r="D1097" s="97"/>
      <c r="E1097" s="97" t="s">
        <v>53</v>
      </c>
      <c r="F1097" s="101"/>
      <c r="G1097" s="97"/>
      <c r="H1097" s="113">
        <v>-1</v>
      </c>
      <c r="I1097" s="114">
        <v>18312</v>
      </c>
      <c r="J1097" s="130">
        <f t="shared" si="257"/>
        <v>-18312</v>
      </c>
      <c r="K1097" s="130">
        <f t="shared" si="258"/>
        <v>-21974.399999999998</v>
      </c>
      <c r="L1097" s="129">
        <v>-21974.399999999998</v>
      </c>
      <c r="M1097" s="152">
        <v>45560</v>
      </c>
      <c r="N1097" s="130">
        <f>+Table6[[#This Row],[стойност с ДДС]]-Table6[[#This Row],[плащане]]</f>
        <v>0</v>
      </c>
      <c r="O1097" s="209"/>
    </row>
    <row r="1098" spans="1:15" x14ac:dyDescent="0.3">
      <c r="A1098" s="116" t="s">
        <v>1184</v>
      </c>
      <c r="B1098" s="393" t="s">
        <v>1689</v>
      </c>
      <c r="C1098" s="110">
        <v>45535</v>
      </c>
      <c r="D1098" s="97"/>
      <c r="E1098" s="97" t="s">
        <v>53</v>
      </c>
      <c r="F1098" s="101"/>
      <c r="G1098" s="97"/>
      <c r="H1098" s="113">
        <v>412.44200000000001</v>
      </c>
      <c r="I1098" s="114">
        <v>61.29</v>
      </c>
      <c r="J1098" s="130">
        <f t="shared" si="257"/>
        <v>25278.57</v>
      </c>
      <c r="K1098" s="130">
        <f t="shared" si="258"/>
        <v>30334.284</v>
      </c>
      <c r="L1098" s="129">
        <v>30334.284</v>
      </c>
      <c r="M1098" s="152">
        <v>45560</v>
      </c>
      <c r="N1098" s="130">
        <f>+Table6[[#This Row],[стойност с ДДС]]-Table6[[#This Row],[плащане]]</f>
        <v>0</v>
      </c>
      <c r="O1098" s="209"/>
    </row>
    <row r="1099" spans="1:15" x14ac:dyDescent="0.3">
      <c r="A1099" s="116" t="s">
        <v>1184</v>
      </c>
      <c r="B1099" s="393" t="s">
        <v>1689</v>
      </c>
      <c r="C1099" s="110">
        <v>45535</v>
      </c>
      <c r="D1099" s="97"/>
      <c r="E1099" s="8" t="s">
        <v>120</v>
      </c>
      <c r="F1099" s="101"/>
      <c r="G1099" s="97"/>
      <c r="H1099" s="113">
        <v>7</v>
      </c>
      <c r="I1099" s="114">
        <v>1.135</v>
      </c>
      <c r="J1099" s="130">
        <f t="shared" si="257"/>
        <v>7.95</v>
      </c>
      <c r="K1099" s="130">
        <f t="shared" si="258"/>
        <v>9.5399999999999991</v>
      </c>
      <c r="L1099" s="129">
        <v>9.5399999999999991</v>
      </c>
      <c r="M1099" s="152">
        <v>45560</v>
      </c>
      <c r="N1099" s="130">
        <f>+Table6[[#This Row],[стойност с ДДС]]-Table6[[#This Row],[плащане]]</f>
        <v>0</v>
      </c>
      <c r="O1099" s="209"/>
    </row>
    <row r="1100" spans="1:15" x14ac:dyDescent="0.3">
      <c r="A1100" s="116" t="s">
        <v>1184</v>
      </c>
      <c r="B1100" s="393" t="s">
        <v>1689</v>
      </c>
      <c r="C1100" s="110">
        <v>45535</v>
      </c>
      <c r="D1100" s="116"/>
      <c r="E1100" s="145" t="s">
        <v>57</v>
      </c>
      <c r="F1100" s="118"/>
      <c r="G1100" s="116"/>
      <c r="H1100" s="141">
        <v>85</v>
      </c>
      <c r="I1100" s="142">
        <v>0.90800000000000003</v>
      </c>
      <c r="J1100" s="130">
        <f>ROUND(+H1100*I1100,2)</f>
        <v>77.180000000000007</v>
      </c>
      <c r="K1100" s="130">
        <f>J1100*1.2</f>
        <v>92.616</v>
      </c>
      <c r="L1100" s="129">
        <v>92.616</v>
      </c>
      <c r="M1100" s="152">
        <v>45560</v>
      </c>
      <c r="N1100" s="130">
        <f>+Table6[[#This Row],[стойност с ДДС]]-Table6[[#This Row],[плащане]]</f>
        <v>0</v>
      </c>
      <c r="O1100" s="209"/>
    </row>
    <row r="1101" spans="1:15" x14ac:dyDescent="0.3">
      <c r="A1101" s="116" t="s">
        <v>1184</v>
      </c>
      <c r="B1101" s="393" t="s">
        <v>1689</v>
      </c>
      <c r="C1101" s="110">
        <v>45535</v>
      </c>
      <c r="D1101" s="97"/>
      <c r="E1101" s="8" t="s">
        <v>56</v>
      </c>
      <c r="F1101" s="118"/>
      <c r="G1101" s="116"/>
      <c r="H1101" s="141">
        <v>28.315000000000001</v>
      </c>
      <c r="I1101" s="142">
        <v>3.3016999999999999</v>
      </c>
      <c r="J1101" s="130">
        <f>ROUND(+H1101*I1101,2)</f>
        <v>93.49</v>
      </c>
      <c r="K1101" s="130">
        <f>J1101*1.2</f>
        <v>112.18799999999999</v>
      </c>
      <c r="L1101" s="129">
        <v>112.18799999999999</v>
      </c>
      <c r="M1101" s="152">
        <v>45560</v>
      </c>
      <c r="N1101" s="130">
        <f>+Table6[[#This Row],[стойност с ДДС]]-Table6[[#This Row],[плащане]]</f>
        <v>0</v>
      </c>
      <c r="O1101" s="209"/>
    </row>
    <row r="1102" spans="1:15" x14ac:dyDescent="0.3">
      <c r="A1102" s="116" t="s">
        <v>1184</v>
      </c>
      <c r="B1102" s="393" t="s">
        <v>1689</v>
      </c>
      <c r="C1102" s="110">
        <v>45535</v>
      </c>
      <c r="D1102" s="97"/>
      <c r="E1102" s="139" t="s">
        <v>58</v>
      </c>
      <c r="F1102" s="118"/>
      <c r="G1102" s="116"/>
      <c r="H1102" s="141">
        <v>412.44200000000001</v>
      </c>
      <c r="I1102" s="142">
        <v>0.52290000000000003</v>
      </c>
      <c r="J1102" s="130">
        <f>ROUND(+H1102*I1102,2)</f>
        <v>215.67</v>
      </c>
      <c r="K1102" s="130">
        <f>J1102*1.2</f>
        <v>258.80399999999997</v>
      </c>
      <c r="L1102" s="129">
        <v>258.80399999999997</v>
      </c>
      <c r="M1102" s="152">
        <v>45560</v>
      </c>
      <c r="N1102" s="130">
        <f>+Table6[[#This Row],[стойност с ДДС]]-Table6[[#This Row],[плащане]]</f>
        <v>0</v>
      </c>
      <c r="O1102" s="209"/>
    </row>
    <row r="1103" spans="1:15" x14ac:dyDescent="0.3">
      <c r="A1103" s="116" t="s">
        <v>1184</v>
      </c>
      <c r="B1103" s="393" t="s">
        <v>1689</v>
      </c>
      <c r="C1103" s="110">
        <v>45535</v>
      </c>
      <c r="D1103" s="97"/>
      <c r="E1103" s="97" t="s">
        <v>59</v>
      </c>
      <c r="F1103" s="118"/>
      <c r="G1103" s="116"/>
      <c r="H1103" s="141">
        <v>1484.7909999999999</v>
      </c>
      <c r="I1103" s="142">
        <v>0.6</v>
      </c>
      <c r="J1103" s="130">
        <f>ROUND(+H1103*I1103,2)</f>
        <v>890.87</v>
      </c>
      <c r="K1103" s="130">
        <f>J1103*1.2</f>
        <v>1069.0439999999999</v>
      </c>
      <c r="L1103" s="129">
        <v>1069.0439999999999</v>
      </c>
      <c r="M1103" s="152">
        <v>45560</v>
      </c>
      <c r="N1103" s="130">
        <f>+Table6[[#This Row],[стойност с ДДС]]-Table6[[#This Row],[плащане]]</f>
        <v>0</v>
      </c>
      <c r="O1103" s="209"/>
    </row>
    <row r="1104" spans="1:15" x14ac:dyDescent="0.3">
      <c r="A1104" s="116" t="s">
        <v>49</v>
      </c>
      <c r="B1104" s="394" t="s">
        <v>1690</v>
      </c>
      <c r="C1104" s="117">
        <v>45535</v>
      </c>
      <c r="D1104" s="116"/>
      <c r="E1104" s="97" t="s">
        <v>33</v>
      </c>
      <c r="F1104" s="118"/>
      <c r="G1104" s="116"/>
      <c r="H1104" s="141">
        <v>-1</v>
      </c>
      <c r="I1104" s="142">
        <v>2726</v>
      </c>
      <c r="J1104" s="130">
        <f>ROUND(+H1104*I1104,2)</f>
        <v>-2726</v>
      </c>
      <c r="K1104" s="130">
        <f>J1104*1.2</f>
        <v>-3271.2</v>
      </c>
      <c r="L1104" s="129"/>
      <c r="M1104" s="152">
        <v>45560</v>
      </c>
      <c r="N1104" s="130">
        <f>+Table6[[#This Row],[стойност с ДДС]]-Table6[[#This Row],[плащане]]</f>
        <v>-3271.2</v>
      </c>
      <c r="O1104" s="209">
        <v>45540</v>
      </c>
    </row>
    <row r="1105" spans="1:15" x14ac:dyDescent="0.3">
      <c r="A1105" s="97" t="s">
        <v>49</v>
      </c>
      <c r="B1105" s="393" t="s">
        <v>1690</v>
      </c>
      <c r="C1105" s="110">
        <v>45535</v>
      </c>
      <c r="D1105" s="97"/>
      <c r="E1105" s="97" t="s">
        <v>33</v>
      </c>
      <c r="F1105" s="101"/>
      <c r="G1105" s="97"/>
      <c r="H1105" s="113">
        <v>44.476999999999997</v>
      </c>
      <c r="I1105" s="114">
        <v>61.29</v>
      </c>
      <c r="J1105" s="115">
        <f t="shared" ref="J1105:J1109" si="259">ROUND(+H1105*I1105,2)</f>
        <v>2726</v>
      </c>
      <c r="K1105" s="115">
        <f t="shared" ref="K1105:K1109" si="260">J1105*1.2</f>
        <v>3271.2</v>
      </c>
      <c r="L1105" s="104"/>
      <c r="M1105" s="107">
        <v>45560</v>
      </c>
      <c r="N1105" s="115">
        <f>+Table6[[#This Row],[стойност с ДДС]]-Table6[[#This Row],[плащане]]</f>
        <v>3271.2</v>
      </c>
      <c r="O1105" s="209">
        <v>45540</v>
      </c>
    </row>
    <row r="1106" spans="1:15" x14ac:dyDescent="0.3">
      <c r="A1106" s="97" t="s">
        <v>49</v>
      </c>
      <c r="B1106" s="393" t="s">
        <v>1690</v>
      </c>
      <c r="C1106" s="110">
        <v>45535</v>
      </c>
      <c r="D1106" s="97"/>
      <c r="E1106" s="8" t="s">
        <v>56</v>
      </c>
      <c r="F1106" s="101"/>
      <c r="G1106" s="97"/>
      <c r="H1106" s="113">
        <v>1.877</v>
      </c>
      <c r="I1106" s="114">
        <v>3.3016999999999999</v>
      </c>
      <c r="J1106" s="115">
        <f t="shared" si="259"/>
        <v>6.2</v>
      </c>
      <c r="K1106" s="115">
        <f t="shared" si="260"/>
        <v>7.4399999999999995</v>
      </c>
      <c r="L1106" s="104"/>
      <c r="M1106" s="107">
        <v>45560</v>
      </c>
      <c r="N1106" s="115">
        <f>+Table6[[#This Row],[стойност с ДДС]]-Table6[[#This Row],[плащане]]</f>
        <v>7.4399999999999995</v>
      </c>
      <c r="O1106" s="209">
        <v>45540</v>
      </c>
    </row>
    <row r="1107" spans="1:15" x14ac:dyDescent="0.3">
      <c r="A1107" s="97" t="s">
        <v>49</v>
      </c>
      <c r="B1107" s="393" t="s">
        <v>1690</v>
      </c>
      <c r="C1107" s="110">
        <v>45535</v>
      </c>
      <c r="D1107" s="97"/>
      <c r="E1107" s="139" t="s">
        <v>58</v>
      </c>
      <c r="F1107" s="101"/>
      <c r="G1107" s="97"/>
      <c r="H1107" s="113">
        <v>44.476999999999997</v>
      </c>
      <c r="I1107" s="114">
        <v>0.52290000000000003</v>
      </c>
      <c r="J1107" s="115">
        <f t="shared" si="259"/>
        <v>23.26</v>
      </c>
      <c r="K1107" s="115">
        <f t="shared" si="260"/>
        <v>27.912000000000003</v>
      </c>
      <c r="L1107" s="104"/>
      <c r="M1107" s="107">
        <v>45560</v>
      </c>
      <c r="N1107" s="115">
        <f>+Table6[[#This Row],[стойност с ДДС]]-Table6[[#This Row],[плащане]]</f>
        <v>27.912000000000003</v>
      </c>
      <c r="O1107" s="209">
        <v>45540</v>
      </c>
    </row>
    <row r="1108" spans="1:15" x14ac:dyDescent="0.3">
      <c r="A1108" s="97" t="s">
        <v>49</v>
      </c>
      <c r="B1108" s="393" t="s">
        <v>1690</v>
      </c>
      <c r="C1108" s="110">
        <v>45535</v>
      </c>
      <c r="D1108" s="97"/>
      <c r="E1108" s="97" t="s">
        <v>59</v>
      </c>
      <c r="F1108" s="101"/>
      <c r="G1108" s="97"/>
      <c r="H1108" s="113">
        <v>160.11699999999999</v>
      </c>
      <c r="I1108" s="114">
        <v>0.6</v>
      </c>
      <c r="J1108" s="115">
        <f t="shared" si="259"/>
        <v>96.07</v>
      </c>
      <c r="K1108" s="115">
        <f t="shared" si="260"/>
        <v>115.28399999999999</v>
      </c>
      <c r="L1108" s="104"/>
      <c r="M1108" s="107">
        <v>45560</v>
      </c>
      <c r="N1108" s="115">
        <f>+Table6[[#This Row],[стойност с ДДС]]-Table6[[#This Row],[плащане]]</f>
        <v>115.28399999999999</v>
      </c>
      <c r="O1108" s="209">
        <v>45540</v>
      </c>
    </row>
    <row r="1109" spans="1:15" x14ac:dyDescent="0.3">
      <c r="A1109" s="97" t="s">
        <v>49</v>
      </c>
      <c r="B1109" s="394" t="s">
        <v>1691</v>
      </c>
      <c r="C1109" s="117">
        <v>45535</v>
      </c>
      <c r="D1109" s="116"/>
      <c r="E1109" s="97" t="s">
        <v>33</v>
      </c>
      <c r="F1109" s="118" t="s">
        <v>85</v>
      </c>
      <c r="G1109" s="116"/>
      <c r="H1109" s="141">
        <v>1</v>
      </c>
      <c r="I1109" s="142">
        <v>539.64</v>
      </c>
      <c r="J1109" s="130">
        <f t="shared" si="259"/>
        <v>539.64</v>
      </c>
      <c r="K1109" s="130">
        <f t="shared" si="260"/>
        <v>647.56799999999998</v>
      </c>
      <c r="L1109" s="129">
        <v>647.56799999999998</v>
      </c>
      <c r="M1109" s="152">
        <v>45560</v>
      </c>
      <c r="N1109" s="130">
        <f>+Table6[[#This Row],[стойност с ДДС]]-Table6[[#This Row],[плащане]]</f>
        <v>0</v>
      </c>
      <c r="O1109" s="209">
        <v>45540</v>
      </c>
    </row>
    <row r="1110" spans="1:15" x14ac:dyDescent="0.3">
      <c r="A1110" s="116" t="s">
        <v>72</v>
      </c>
      <c r="B1110" s="394" t="s">
        <v>1692</v>
      </c>
      <c r="C1110" s="117">
        <v>45535</v>
      </c>
      <c r="D1110" s="116"/>
      <c r="E1110" s="97" t="s">
        <v>33</v>
      </c>
      <c r="F1110" s="118"/>
      <c r="G1110" s="116"/>
      <c r="H1110" s="141">
        <v>-1</v>
      </c>
      <c r="I1110" s="142">
        <v>24353.09</v>
      </c>
      <c r="J1110" s="130">
        <f t="shared" ref="J1110:J1116" si="261">ROUND(+H1110*I1110,2)</f>
        <v>-24353.09</v>
      </c>
      <c r="K1110" s="130">
        <f t="shared" ref="K1110:K1116" si="262">J1110*1.2</f>
        <v>-29223.707999999999</v>
      </c>
      <c r="L1110" s="129">
        <v>1740.528</v>
      </c>
      <c r="M1110" s="152">
        <v>45560</v>
      </c>
      <c r="N1110" s="130">
        <f>+Table6[[#This Row],[стойност с ДДС]]-Table6[[#This Row],[плащане]]</f>
        <v>-30964.235999999997</v>
      </c>
      <c r="O1110" s="209"/>
    </row>
    <row r="1111" spans="1:15" x14ac:dyDescent="0.3">
      <c r="A1111" s="116" t="s">
        <v>72</v>
      </c>
      <c r="B1111" s="394" t="s">
        <v>1692</v>
      </c>
      <c r="C1111" s="117">
        <v>45535</v>
      </c>
      <c r="D1111" s="97"/>
      <c r="E1111" s="97" t="s">
        <v>33</v>
      </c>
      <c r="F1111" s="101"/>
      <c r="G1111" s="97"/>
      <c r="H1111" s="113">
        <v>397.34199999999998</v>
      </c>
      <c r="I1111" s="114">
        <v>61.29</v>
      </c>
      <c r="J1111" s="115">
        <f t="shared" si="261"/>
        <v>24353.09</v>
      </c>
      <c r="K1111" s="115">
        <f t="shared" si="262"/>
        <v>29223.707999999999</v>
      </c>
      <c r="L1111" s="104">
        <v>43.716000000000001</v>
      </c>
      <c r="M1111" s="152"/>
      <c r="N1111" s="115">
        <f>+Table6[[#This Row],[стойност с ДДС]]-Table6[[#This Row],[плащане]]</f>
        <v>29179.991999999998</v>
      </c>
      <c r="O1111" s="208"/>
    </row>
    <row r="1112" spans="1:15" x14ac:dyDescent="0.3">
      <c r="A1112" s="116" t="s">
        <v>72</v>
      </c>
      <c r="B1112" s="394" t="s">
        <v>1692</v>
      </c>
      <c r="C1112" s="117">
        <v>45535</v>
      </c>
      <c r="D1112" s="116"/>
      <c r="E1112" s="145" t="s">
        <v>56</v>
      </c>
      <c r="F1112" s="118"/>
      <c r="G1112" s="116"/>
      <c r="H1112" s="141">
        <v>0.27300000000000002</v>
      </c>
      <c r="I1112" s="142">
        <v>3.3016999999999999</v>
      </c>
      <c r="J1112" s="130">
        <f t="shared" si="261"/>
        <v>0.9</v>
      </c>
      <c r="K1112" s="130">
        <f t="shared" si="262"/>
        <v>1.08</v>
      </c>
      <c r="L1112" s="129"/>
      <c r="M1112" s="152"/>
      <c r="N1112" s="130">
        <f>+Table6[[#This Row],[стойност с ДДС]]-Table6[[#This Row],[плащане]]</f>
        <v>1.08</v>
      </c>
      <c r="O1112" s="209"/>
    </row>
    <row r="1113" spans="1:15" x14ac:dyDescent="0.3">
      <c r="A1113" s="116" t="s">
        <v>72</v>
      </c>
      <c r="B1113" s="394" t="s">
        <v>1692</v>
      </c>
      <c r="C1113" s="117">
        <v>45535</v>
      </c>
      <c r="D1113" s="116"/>
      <c r="E1113" s="145" t="s">
        <v>58</v>
      </c>
      <c r="F1113" s="118"/>
      <c r="G1113" s="116"/>
      <c r="H1113" s="141">
        <v>397.34199999999998</v>
      </c>
      <c r="I1113" s="142">
        <v>0.52290000000000003</v>
      </c>
      <c r="J1113" s="130">
        <f t="shared" si="261"/>
        <v>207.77</v>
      </c>
      <c r="K1113" s="130">
        <f t="shared" si="262"/>
        <v>249.32400000000001</v>
      </c>
      <c r="L1113" s="129"/>
      <c r="M1113" s="152"/>
      <c r="N1113" s="130">
        <f>+Table6[[#This Row],[стойност с ДДС]]-Table6[[#This Row],[плащане]]</f>
        <v>249.32400000000001</v>
      </c>
      <c r="O1113" s="209"/>
    </row>
    <row r="1114" spans="1:15" x14ac:dyDescent="0.3">
      <c r="A1114" s="116" t="s">
        <v>72</v>
      </c>
      <c r="B1114" s="394" t="s">
        <v>1692</v>
      </c>
      <c r="C1114" s="117">
        <v>45535</v>
      </c>
      <c r="D1114" s="116"/>
      <c r="E1114" s="116" t="s">
        <v>59</v>
      </c>
      <c r="F1114" s="118"/>
      <c r="G1114" s="116"/>
      <c r="H1114" s="141">
        <v>1430.431</v>
      </c>
      <c r="I1114" s="142">
        <v>0.6</v>
      </c>
      <c r="J1114" s="130">
        <f t="shared" si="261"/>
        <v>858.26</v>
      </c>
      <c r="K1114" s="130">
        <f t="shared" si="262"/>
        <v>1029.912</v>
      </c>
      <c r="L1114" s="129"/>
      <c r="M1114" s="152"/>
      <c r="N1114" s="130">
        <f>+Table6[[#This Row],[стойност с ДДС]]-Table6[[#This Row],[плащане]]</f>
        <v>1029.912</v>
      </c>
      <c r="O1114" s="209"/>
    </row>
    <row r="1115" spans="1:15" x14ac:dyDescent="0.3">
      <c r="A1115" s="116" t="s">
        <v>72</v>
      </c>
      <c r="B1115" s="393" t="s">
        <v>1693</v>
      </c>
      <c r="C1115" s="110">
        <v>45535</v>
      </c>
      <c r="D1115" s="97"/>
      <c r="E1115" s="97" t="s">
        <v>33</v>
      </c>
      <c r="F1115" s="101" t="s">
        <v>85</v>
      </c>
      <c r="G1115" s="97"/>
      <c r="H1115" s="113">
        <v>-1</v>
      </c>
      <c r="I1115" s="114">
        <v>2992.83</v>
      </c>
      <c r="J1115" s="115">
        <f t="shared" si="261"/>
        <v>-2992.83</v>
      </c>
      <c r="K1115" s="115">
        <f t="shared" si="262"/>
        <v>-3591.3959999999997</v>
      </c>
      <c r="L1115" s="104"/>
      <c r="M1115" s="107"/>
      <c r="N1115" s="115">
        <f>+Table6[[#This Row],[стойност с ДДС]]-Table6[[#This Row],[плащане]]</f>
        <v>-3591.3959999999997</v>
      </c>
      <c r="O1115" s="208"/>
    </row>
    <row r="1116" spans="1:15" x14ac:dyDescent="0.3">
      <c r="A1116" s="116" t="s">
        <v>82</v>
      </c>
      <c r="B1116" s="394" t="s">
        <v>1694</v>
      </c>
      <c r="C1116" s="110">
        <v>45535</v>
      </c>
      <c r="D1116" s="116"/>
      <c r="E1116" s="97" t="s">
        <v>33</v>
      </c>
      <c r="F1116" s="118"/>
      <c r="G1116" s="116"/>
      <c r="H1116" s="141">
        <v>-1</v>
      </c>
      <c r="I1116" s="142">
        <v>2971.56</v>
      </c>
      <c r="J1116" s="130">
        <f t="shared" si="261"/>
        <v>-2971.56</v>
      </c>
      <c r="K1116" s="130">
        <f t="shared" si="262"/>
        <v>-3565.8719999999998</v>
      </c>
      <c r="L1116" s="129">
        <v>-3565.8719999999998</v>
      </c>
      <c r="M1116" s="152">
        <v>45555</v>
      </c>
      <c r="N1116" s="130">
        <f>+Table6[[#This Row],[стойност с ДДС]]-Table6[[#This Row],[плащане]]</f>
        <v>0</v>
      </c>
      <c r="O1116" s="209"/>
    </row>
    <row r="1117" spans="1:15" x14ac:dyDescent="0.3">
      <c r="A1117" s="116" t="s">
        <v>82</v>
      </c>
      <c r="B1117" s="394" t="s">
        <v>1694</v>
      </c>
      <c r="C1117" s="110">
        <v>45535</v>
      </c>
      <c r="D1117" s="97"/>
      <c r="E1117" s="97" t="s">
        <v>33</v>
      </c>
      <c r="F1117" s="101"/>
      <c r="G1117" s="97"/>
      <c r="H1117" s="113">
        <v>-1</v>
      </c>
      <c r="I1117" s="114">
        <v>25.06</v>
      </c>
      <c r="J1117" s="115">
        <f t="shared" ref="J1117:J1118" si="263">ROUND(+H1117*I1117,2)</f>
        <v>-25.06</v>
      </c>
      <c r="K1117" s="115">
        <f t="shared" ref="K1117:K1118" si="264">J1117*1.2</f>
        <v>-30.071999999999996</v>
      </c>
      <c r="L1117" s="104">
        <v>-30.071999999999996</v>
      </c>
      <c r="M1117" s="152">
        <v>45555</v>
      </c>
      <c r="N1117" s="115">
        <f>+Table6[[#This Row],[стойност с ДДС]]-Table6[[#This Row],[плащане]]</f>
        <v>0</v>
      </c>
      <c r="O1117" s="208"/>
    </row>
    <row r="1118" spans="1:15" x14ac:dyDescent="0.3">
      <c r="A1118" s="116" t="s">
        <v>82</v>
      </c>
      <c r="B1118" s="394" t="s">
        <v>1694</v>
      </c>
      <c r="C1118" s="110">
        <v>45535</v>
      </c>
      <c r="D1118" s="97"/>
      <c r="E1118" s="97" t="s">
        <v>33</v>
      </c>
      <c r="F1118" s="101"/>
      <c r="G1118" s="97"/>
      <c r="H1118" s="113">
        <v>-1</v>
      </c>
      <c r="I1118" s="114">
        <v>26.21</v>
      </c>
      <c r="J1118" s="115">
        <f t="shared" si="263"/>
        <v>-26.21</v>
      </c>
      <c r="K1118" s="115">
        <f t="shared" si="264"/>
        <v>-31.451999999999998</v>
      </c>
      <c r="L1118" s="104">
        <v>-31.451999999999998</v>
      </c>
      <c r="M1118" s="152">
        <v>45555</v>
      </c>
      <c r="N1118" s="115">
        <f>+Table6[[#This Row],[стойност с ДДС]]-Table6[[#This Row],[плащане]]</f>
        <v>0</v>
      </c>
      <c r="O1118" s="208"/>
    </row>
    <row r="1119" spans="1:15" x14ac:dyDescent="0.3">
      <c r="A1119" s="116" t="s">
        <v>82</v>
      </c>
      <c r="B1119" s="394" t="s">
        <v>1694</v>
      </c>
      <c r="C1119" s="110">
        <v>45535</v>
      </c>
      <c r="D1119" s="97"/>
      <c r="E1119" s="97" t="s">
        <v>33</v>
      </c>
      <c r="F1119" s="101"/>
      <c r="G1119" s="97"/>
      <c r="H1119" s="113">
        <v>50.119</v>
      </c>
      <c r="I1119" s="114">
        <v>59.29</v>
      </c>
      <c r="J1119" s="115">
        <f t="shared" ref="J1119:J1125" si="265">ROUND(+H1119*I1119,2)</f>
        <v>2971.56</v>
      </c>
      <c r="K1119" s="115">
        <f t="shared" ref="K1119:K1125" si="266">J1119*1.2</f>
        <v>3565.8719999999998</v>
      </c>
      <c r="L1119" s="104">
        <v>3565.8719999999998</v>
      </c>
      <c r="M1119" s="152">
        <v>45555</v>
      </c>
      <c r="N1119" s="115">
        <f>+Table6[[#This Row],[стойност с ДДС]]-Table6[[#This Row],[плащане]]</f>
        <v>0</v>
      </c>
      <c r="O1119" s="208"/>
    </row>
    <row r="1120" spans="1:15" x14ac:dyDescent="0.3">
      <c r="A1120" s="116" t="s">
        <v>82</v>
      </c>
      <c r="B1120" s="394" t="s">
        <v>1694</v>
      </c>
      <c r="C1120" s="110">
        <v>45535</v>
      </c>
      <c r="D1120" s="116"/>
      <c r="E1120" s="145" t="s">
        <v>58</v>
      </c>
      <c r="F1120" s="118"/>
      <c r="G1120" s="116"/>
      <c r="H1120" s="141">
        <v>50.119</v>
      </c>
      <c r="I1120" s="142">
        <v>0.52290000000000003</v>
      </c>
      <c r="J1120" s="130">
        <f t="shared" si="265"/>
        <v>26.21</v>
      </c>
      <c r="K1120" s="130">
        <f t="shared" si="266"/>
        <v>31.451999999999998</v>
      </c>
      <c r="L1120" s="129">
        <v>31.451999999999998</v>
      </c>
      <c r="M1120" s="152">
        <v>45555</v>
      </c>
      <c r="N1120" s="130">
        <f>+Table6[[#This Row],[стойност с ДДС]]-Table6[[#This Row],[плащане]]</f>
        <v>0</v>
      </c>
      <c r="O1120" s="209"/>
    </row>
    <row r="1121" spans="1:15" x14ac:dyDescent="0.3">
      <c r="A1121" s="116" t="s">
        <v>82</v>
      </c>
      <c r="B1121" s="394" t="s">
        <v>1694</v>
      </c>
      <c r="C1121" s="110">
        <v>45535</v>
      </c>
      <c r="D1121" s="116"/>
      <c r="E1121" s="116" t="s">
        <v>33</v>
      </c>
      <c r="F1121" s="118"/>
      <c r="G1121" s="116"/>
      <c r="H1121" s="141">
        <v>50.119</v>
      </c>
      <c r="I1121" s="142">
        <v>0.5</v>
      </c>
      <c r="J1121" s="130">
        <f t="shared" si="265"/>
        <v>25.06</v>
      </c>
      <c r="K1121" s="130">
        <f t="shared" si="266"/>
        <v>30.071999999999996</v>
      </c>
      <c r="L1121" s="129">
        <v>30.071999999999996</v>
      </c>
      <c r="M1121" s="152">
        <v>45555</v>
      </c>
      <c r="N1121" s="130">
        <f>+Table6[[#This Row],[стойност с ДДС]]-Table6[[#This Row],[плащане]]</f>
        <v>0</v>
      </c>
      <c r="O1121" s="209"/>
    </row>
    <row r="1122" spans="1:15" x14ac:dyDescent="0.3">
      <c r="A1122" s="116" t="s">
        <v>82</v>
      </c>
      <c r="B1122" s="394" t="s">
        <v>1694</v>
      </c>
      <c r="C1122" s="110">
        <v>45535</v>
      </c>
      <c r="D1122" s="116"/>
      <c r="E1122" s="116" t="s">
        <v>59</v>
      </c>
      <c r="F1122" s="118"/>
      <c r="G1122" s="116"/>
      <c r="H1122" s="141">
        <v>180.428</v>
      </c>
      <c r="I1122" s="142">
        <v>0.6</v>
      </c>
      <c r="J1122" s="130">
        <f t="shared" si="265"/>
        <v>108.26</v>
      </c>
      <c r="K1122" s="130">
        <f t="shared" si="266"/>
        <v>129.91200000000001</v>
      </c>
      <c r="L1122" s="129">
        <v>129.91200000000001</v>
      </c>
      <c r="M1122" s="152">
        <v>45555</v>
      </c>
      <c r="N1122" s="130">
        <f>+Table6[[#This Row],[стойност с ДДС]]-Table6[[#This Row],[плащане]]</f>
        <v>0</v>
      </c>
      <c r="O1122" s="209"/>
    </row>
    <row r="1123" spans="1:15" x14ac:dyDescent="0.3">
      <c r="A1123" s="116" t="s">
        <v>82</v>
      </c>
      <c r="B1123" s="393" t="s">
        <v>1695</v>
      </c>
      <c r="C1123" s="110">
        <v>45535</v>
      </c>
      <c r="D1123" s="97"/>
      <c r="E1123" s="116" t="s">
        <v>33</v>
      </c>
      <c r="F1123" s="101" t="s">
        <v>85</v>
      </c>
      <c r="G1123" s="97"/>
      <c r="H1123" s="113">
        <v>1</v>
      </c>
      <c r="I1123" s="114">
        <v>1347.83</v>
      </c>
      <c r="J1123" s="115">
        <f t="shared" si="265"/>
        <v>1347.83</v>
      </c>
      <c r="K1123" s="115">
        <f t="shared" si="266"/>
        <v>1617.396</v>
      </c>
      <c r="L1123" s="104">
        <v>1617.396</v>
      </c>
      <c r="M1123" s="107">
        <v>45558</v>
      </c>
      <c r="N1123" s="115">
        <f>+Table6[[#This Row],[стойност с ДДС]]-Table6[[#This Row],[плащане]]</f>
        <v>0</v>
      </c>
      <c r="O1123" s="208"/>
    </row>
    <row r="1124" spans="1:15" x14ac:dyDescent="0.3">
      <c r="A1124" s="116" t="s">
        <v>92</v>
      </c>
      <c r="B1124" s="394" t="s">
        <v>1696</v>
      </c>
      <c r="C1124" s="117">
        <v>45535</v>
      </c>
      <c r="D1124" s="116"/>
      <c r="E1124" s="116" t="s">
        <v>33</v>
      </c>
      <c r="F1124" s="118"/>
      <c r="G1124" s="116"/>
      <c r="H1124" s="141">
        <v>-1</v>
      </c>
      <c r="I1124" s="142">
        <v>790.7</v>
      </c>
      <c r="J1124" s="130">
        <f t="shared" si="265"/>
        <v>-790.7</v>
      </c>
      <c r="K1124" s="130">
        <f t="shared" si="266"/>
        <v>-948.84</v>
      </c>
      <c r="L1124" s="129">
        <v>5081.0879999999997</v>
      </c>
      <c r="M1124" s="152">
        <v>45513</v>
      </c>
      <c r="N1124" s="130">
        <f>+Table6[[#This Row],[стойност с ДДС]]-Table6[[#This Row],[плащане]]</f>
        <v>-6029.9279999999999</v>
      </c>
      <c r="O1124" s="209"/>
    </row>
    <row r="1125" spans="1:15" x14ac:dyDescent="0.3">
      <c r="A1125" s="116" t="s">
        <v>92</v>
      </c>
      <c r="B1125" s="394" t="s">
        <v>1696</v>
      </c>
      <c r="C1125" s="117">
        <v>45535</v>
      </c>
      <c r="D1125" s="97"/>
      <c r="E1125" s="116" t="s">
        <v>33</v>
      </c>
      <c r="F1125" s="101"/>
      <c r="G1125" s="97"/>
      <c r="H1125" s="113">
        <v>12.901</v>
      </c>
      <c r="I1125" s="114">
        <v>61.29</v>
      </c>
      <c r="J1125" s="115">
        <f t="shared" si="265"/>
        <v>790.7</v>
      </c>
      <c r="K1125" s="115">
        <f t="shared" si="266"/>
        <v>948.84</v>
      </c>
      <c r="L1125" s="104">
        <v>38.4</v>
      </c>
      <c r="M1125" s="107">
        <v>45513</v>
      </c>
      <c r="N1125" s="115">
        <f>+Table6[[#This Row],[стойност с ДДС]]-Table6[[#This Row],[плащане]]</f>
        <v>910.44</v>
      </c>
      <c r="O1125" s="208"/>
    </row>
    <row r="1126" spans="1:15" x14ac:dyDescent="0.3">
      <c r="A1126" s="116" t="s">
        <v>92</v>
      </c>
      <c r="B1126" s="394" t="s">
        <v>1696</v>
      </c>
      <c r="C1126" s="117">
        <v>45535</v>
      </c>
      <c r="D1126" s="97"/>
      <c r="E1126" s="145" t="s">
        <v>58</v>
      </c>
      <c r="F1126" s="101"/>
      <c r="G1126" s="97"/>
      <c r="H1126" s="113">
        <v>12.901</v>
      </c>
      <c r="I1126" s="114">
        <v>1.0194000000000001</v>
      </c>
      <c r="J1126" s="115">
        <f t="shared" ref="J1126:J1127" si="267">ROUND(+H1126*I1126,2)</f>
        <v>13.15</v>
      </c>
      <c r="K1126" s="115">
        <f t="shared" ref="K1126:K1127" si="268">J1126*1.2</f>
        <v>15.78</v>
      </c>
      <c r="L1126" s="104">
        <v>40.175999999999995</v>
      </c>
      <c r="M1126" s="107">
        <v>45513</v>
      </c>
      <c r="N1126" s="115">
        <f>+Table6[[#This Row],[стойност с ДДС]]-Table6[[#This Row],[плащане]]</f>
        <v>-24.395999999999994</v>
      </c>
      <c r="O1126" s="208"/>
    </row>
    <row r="1127" spans="1:15" x14ac:dyDescent="0.3">
      <c r="A1127" s="116" t="s">
        <v>92</v>
      </c>
      <c r="B1127" s="394" t="s">
        <v>1696</v>
      </c>
      <c r="C1127" s="117">
        <v>45535</v>
      </c>
      <c r="D1127" s="97"/>
      <c r="E1127" s="116" t="s">
        <v>59</v>
      </c>
      <c r="F1127" s="101"/>
      <c r="G1127" s="97"/>
      <c r="H1127" s="113">
        <v>46.444000000000003</v>
      </c>
      <c r="I1127" s="114">
        <v>0.6</v>
      </c>
      <c r="J1127" s="115">
        <f t="shared" si="267"/>
        <v>27.87</v>
      </c>
      <c r="K1127" s="115">
        <f t="shared" si="268"/>
        <v>33.444000000000003</v>
      </c>
      <c r="L1127" s="104">
        <v>89.387999999999991</v>
      </c>
      <c r="M1127" s="107">
        <v>45513</v>
      </c>
      <c r="N1127" s="115">
        <f>+Table6[[#This Row],[стойност с ДДС]]-Table6[[#This Row],[плащане]]</f>
        <v>-55.943999999999988</v>
      </c>
      <c r="O1127" s="208"/>
    </row>
    <row r="1128" spans="1:15" x14ac:dyDescent="0.3">
      <c r="A1128" s="116" t="s">
        <v>92</v>
      </c>
      <c r="B1128" s="393" t="s">
        <v>1697</v>
      </c>
      <c r="C1128" s="110">
        <v>45535</v>
      </c>
      <c r="D1128" s="97"/>
      <c r="E1128" s="116" t="s">
        <v>33</v>
      </c>
      <c r="F1128" s="101"/>
      <c r="G1128" s="97"/>
      <c r="H1128" s="113">
        <v>1</v>
      </c>
      <c r="I1128" s="114">
        <v>857.38</v>
      </c>
      <c r="J1128" s="115">
        <f t="shared" ref="J1128:J1141" si="269">ROUND(+H1128*I1128,2)</f>
        <v>857.38</v>
      </c>
      <c r="K1128" s="115">
        <f t="shared" ref="K1128:K1152" si="270">J1128*1.2</f>
        <v>1028.856</v>
      </c>
      <c r="L1128" s="104">
        <v>61.572000000000003</v>
      </c>
      <c r="M1128" s="107">
        <v>45513</v>
      </c>
      <c r="N1128" s="115">
        <f>+Table6[[#This Row],[стойност с ДДС]]-Table6[[#This Row],[плащане]]</f>
        <v>967.28399999999999</v>
      </c>
      <c r="O1128" s="208"/>
    </row>
    <row r="1129" spans="1:15" x14ac:dyDescent="0.3">
      <c r="A1129" s="116" t="s">
        <v>1599</v>
      </c>
      <c r="B1129" s="394" t="s">
        <v>1698</v>
      </c>
      <c r="C1129" s="117">
        <v>45535</v>
      </c>
      <c r="D1129" s="116"/>
      <c r="E1129" s="116" t="s">
        <v>33</v>
      </c>
      <c r="F1129" s="118"/>
      <c r="G1129" s="116"/>
      <c r="H1129" s="141">
        <v>2530.6759999999999</v>
      </c>
      <c r="I1129" s="142">
        <v>66.849999999999994</v>
      </c>
      <c r="J1129" s="130">
        <f t="shared" si="269"/>
        <v>169175.69</v>
      </c>
      <c r="K1129" s="130">
        <f t="shared" si="270"/>
        <v>203010.82800000001</v>
      </c>
      <c r="L1129" s="129"/>
      <c r="M1129" s="152"/>
      <c r="N1129" s="130">
        <f>+Table6[[#This Row],[стойност с ДДС]]-Table6[[#This Row],[плащане]]</f>
        <v>203010.82800000001</v>
      </c>
      <c r="O1129" s="209"/>
    </row>
    <row r="1130" spans="1:15" x14ac:dyDescent="0.3">
      <c r="A1130" s="116" t="s">
        <v>1599</v>
      </c>
      <c r="B1130" s="394" t="s">
        <v>1698</v>
      </c>
      <c r="C1130" s="117">
        <v>45535</v>
      </c>
      <c r="D1130" s="116"/>
      <c r="E1130" s="145" t="s">
        <v>120</v>
      </c>
      <c r="F1130" s="118"/>
      <c r="G1130" s="116"/>
      <c r="H1130" s="141">
        <v>2178.3389999999999</v>
      </c>
      <c r="I1130" s="142">
        <v>2.8732000000000002</v>
      </c>
      <c r="J1130" s="130">
        <f t="shared" si="269"/>
        <v>6258.8</v>
      </c>
      <c r="K1130" s="130">
        <f t="shared" si="270"/>
        <v>7510.5599999999995</v>
      </c>
      <c r="L1130" s="129"/>
      <c r="M1130" s="152"/>
      <c r="N1130" s="130">
        <f>+Table6[[#This Row],[стойност с ДДС]]-Table6[[#This Row],[плащане]]</f>
        <v>7510.5599999999995</v>
      </c>
      <c r="O1130" s="209"/>
    </row>
    <row r="1131" spans="1:15" x14ac:dyDescent="0.3">
      <c r="A1131" s="116" t="s">
        <v>1599</v>
      </c>
      <c r="B1131" s="394" t="s">
        <v>1698</v>
      </c>
      <c r="C1131" s="117">
        <v>45535</v>
      </c>
      <c r="D1131" s="116"/>
      <c r="E1131" s="145" t="s">
        <v>57</v>
      </c>
      <c r="F1131" s="118"/>
      <c r="G1131" s="116"/>
      <c r="H1131" s="141">
        <v>612</v>
      </c>
      <c r="I1131" s="142">
        <v>2.2986</v>
      </c>
      <c r="J1131" s="130">
        <f t="shared" si="269"/>
        <v>1406.74</v>
      </c>
      <c r="K1131" s="130">
        <f t="shared" si="270"/>
        <v>1688.088</v>
      </c>
      <c r="L1131" s="129"/>
      <c r="M1131" s="152"/>
      <c r="N1131" s="130">
        <f>+Table6[[#This Row],[стойност с ДДС]]-Table6[[#This Row],[плащане]]</f>
        <v>1688.088</v>
      </c>
      <c r="O1131" s="209"/>
    </row>
    <row r="1132" spans="1:15" x14ac:dyDescent="0.3">
      <c r="A1132" s="116" t="s">
        <v>1599</v>
      </c>
      <c r="B1132" s="394" t="s">
        <v>1698</v>
      </c>
      <c r="C1132" s="117">
        <v>45535</v>
      </c>
      <c r="D1132" s="116"/>
      <c r="E1132" s="145" t="s">
        <v>56</v>
      </c>
      <c r="F1132" s="118"/>
      <c r="G1132" s="116"/>
      <c r="H1132" s="141">
        <v>370.79899999999998</v>
      </c>
      <c r="I1132" s="142">
        <v>8.3582999999999998</v>
      </c>
      <c r="J1132" s="130">
        <f t="shared" si="269"/>
        <v>3099.25</v>
      </c>
      <c r="K1132" s="130">
        <f t="shared" si="270"/>
        <v>3719.1</v>
      </c>
      <c r="L1132" s="129"/>
      <c r="M1132" s="152"/>
      <c r="N1132" s="130">
        <f>+Table6[[#This Row],[стойност с ДДС]]-Table6[[#This Row],[плащане]]</f>
        <v>3719.1</v>
      </c>
      <c r="O1132" s="209"/>
    </row>
    <row r="1133" spans="1:15" x14ac:dyDescent="0.3">
      <c r="A1133" s="116" t="s">
        <v>1599</v>
      </c>
      <c r="B1133" s="394" t="s">
        <v>1698</v>
      </c>
      <c r="C1133" s="117">
        <v>45535</v>
      </c>
      <c r="D1133" s="116"/>
      <c r="E1133" s="145" t="s">
        <v>58</v>
      </c>
      <c r="F1133" s="118"/>
      <c r="G1133" s="116"/>
      <c r="H1133" s="141">
        <v>2530.6759999999999</v>
      </c>
      <c r="I1133" s="142">
        <v>1.0194000000000001</v>
      </c>
      <c r="J1133" s="130">
        <f t="shared" si="269"/>
        <v>2579.77</v>
      </c>
      <c r="K1133" s="130">
        <f t="shared" si="270"/>
        <v>3095.7239999999997</v>
      </c>
      <c r="L1133" s="129"/>
      <c r="M1133" s="152"/>
      <c r="N1133" s="130">
        <f>+Table6[[#This Row],[стойност с ДДС]]-Table6[[#This Row],[плащане]]</f>
        <v>3095.7239999999997</v>
      </c>
      <c r="O1133" s="209"/>
    </row>
    <row r="1134" spans="1:15" x14ac:dyDescent="0.3">
      <c r="A1134" s="116" t="s">
        <v>83</v>
      </c>
      <c r="B1134" s="394" t="s">
        <v>1699</v>
      </c>
      <c r="C1134" s="117">
        <v>45535</v>
      </c>
      <c r="D1134" s="116"/>
      <c r="E1134" s="97" t="s">
        <v>53</v>
      </c>
      <c r="F1134" s="118"/>
      <c r="G1134" s="116"/>
      <c r="H1134" s="141">
        <v>1</v>
      </c>
      <c r="I1134" s="142">
        <v>4761.99</v>
      </c>
      <c r="J1134" s="130">
        <f t="shared" si="269"/>
        <v>4761.99</v>
      </c>
      <c r="K1134" s="130">
        <f t="shared" si="270"/>
        <v>5714.3879999999999</v>
      </c>
      <c r="L1134" s="129"/>
      <c r="M1134" s="152"/>
      <c r="N1134" s="130">
        <f>+Table6[[#This Row],[стойност с ДДС]]-Table6[[#This Row],[плащане]]</f>
        <v>5714.3879999999999</v>
      </c>
      <c r="O1134" s="209"/>
    </row>
    <row r="1135" spans="1:15" x14ac:dyDescent="0.3">
      <c r="A1135" s="116" t="s">
        <v>83</v>
      </c>
      <c r="B1135" s="394" t="s">
        <v>1699</v>
      </c>
      <c r="C1135" s="117">
        <v>45535</v>
      </c>
      <c r="D1135" s="97"/>
      <c r="E1135" s="97" t="s">
        <v>53</v>
      </c>
      <c r="F1135" s="101"/>
      <c r="G1135" s="97"/>
      <c r="H1135" s="113">
        <v>5.7869999999999999</v>
      </c>
      <c r="I1135" s="114">
        <v>60.75</v>
      </c>
      <c r="J1135" s="115">
        <f t="shared" si="269"/>
        <v>351.56</v>
      </c>
      <c r="K1135" s="115">
        <f t="shared" si="270"/>
        <v>421.87200000000001</v>
      </c>
      <c r="L1135" s="104"/>
      <c r="M1135" s="107"/>
      <c r="N1135" s="115">
        <f>+Table6[[#This Row],[стойност с ДДС]]-Table6[[#This Row],[плащане]]</f>
        <v>421.87200000000001</v>
      </c>
      <c r="O1135" s="208"/>
    </row>
    <row r="1136" spans="1:15" x14ac:dyDescent="0.3">
      <c r="A1136" s="116" t="s">
        <v>83</v>
      </c>
      <c r="B1136" s="394" t="s">
        <v>1699</v>
      </c>
      <c r="C1136" s="117">
        <v>45535</v>
      </c>
      <c r="D1136" s="116"/>
      <c r="E1136" s="145" t="s">
        <v>120</v>
      </c>
      <c r="F1136" s="118"/>
      <c r="G1136" s="116"/>
      <c r="H1136" s="141">
        <v>80</v>
      </c>
      <c r="I1136" s="142">
        <v>2.8732000000000002</v>
      </c>
      <c r="J1136" s="130">
        <f t="shared" si="269"/>
        <v>229.86</v>
      </c>
      <c r="K1136" s="130">
        <f t="shared" si="270"/>
        <v>275.83199999999999</v>
      </c>
      <c r="L1136" s="129"/>
      <c r="M1136" s="152"/>
      <c r="N1136" s="130">
        <f>+Table6[[#This Row],[стойност с ДДС]]-Table6[[#This Row],[плащане]]</f>
        <v>275.83199999999999</v>
      </c>
      <c r="O1136" s="209"/>
    </row>
    <row r="1137" spans="1:15" x14ac:dyDescent="0.3">
      <c r="A1137" s="116" t="s">
        <v>83</v>
      </c>
      <c r="B1137" s="394" t="s">
        <v>1699</v>
      </c>
      <c r="C1137" s="117">
        <v>45535</v>
      </c>
      <c r="D1137" s="116"/>
      <c r="E1137" s="145" t="s">
        <v>58</v>
      </c>
      <c r="F1137" s="118"/>
      <c r="G1137" s="116"/>
      <c r="H1137" s="141">
        <v>326.95100000000002</v>
      </c>
      <c r="I1137" s="142">
        <v>1.0194000000000001</v>
      </c>
      <c r="J1137" s="130">
        <f t="shared" si="269"/>
        <v>333.29</v>
      </c>
      <c r="K1137" s="130">
        <f t="shared" si="270"/>
        <v>399.94800000000004</v>
      </c>
      <c r="L1137" s="129"/>
      <c r="M1137" s="152"/>
      <c r="N1137" s="130">
        <f>+Table6[[#This Row],[стойност с ДДС]]-Table6[[#This Row],[плащане]]</f>
        <v>399.94800000000004</v>
      </c>
      <c r="O1137" s="209"/>
    </row>
    <row r="1138" spans="1:15" x14ac:dyDescent="0.3">
      <c r="A1138" s="116" t="s">
        <v>83</v>
      </c>
      <c r="B1138" s="394" t="s">
        <v>1699</v>
      </c>
      <c r="C1138" s="117">
        <v>45535</v>
      </c>
      <c r="D1138" s="116"/>
      <c r="E1138" s="116" t="s">
        <v>59</v>
      </c>
      <c r="F1138" s="118"/>
      <c r="G1138" s="116"/>
      <c r="H1138" s="141">
        <v>1177.0239999999999</v>
      </c>
      <c r="I1138" s="142">
        <v>0</v>
      </c>
      <c r="J1138" s="130">
        <f t="shared" si="269"/>
        <v>0</v>
      </c>
      <c r="K1138" s="130">
        <f t="shared" si="270"/>
        <v>0</v>
      </c>
      <c r="L1138" s="129"/>
      <c r="M1138" s="152"/>
      <c r="N1138" s="130">
        <f>+Table6[[#This Row],[стойност с ДДС]]-Table6[[#This Row],[плащане]]</f>
        <v>0</v>
      </c>
      <c r="O1138" s="209"/>
    </row>
    <row r="1139" spans="1:15" x14ac:dyDescent="0.3">
      <c r="A1139" s="116" t="s">
        <v>77</v>
      </c>
      <c r="B1139" s="394" t="s">
        <v>1700</v>
      </c>
      <c r="C1139" s="117">
        <v>45535</v>
      </c>
      <c r="D1139" s="116"/>
      <c r="E1139" s="97" t="s">
        <v>53</v>
      </c>
      <c r="F1139" s="118"/>
      <c r="G1139" s="116"/>
      <c r="H1139" s="141">
        <v>1</v>
      </c>
      <c r="I1139" s="142">
        <v>23809.95</v>
      </c>
      <c r="J1139" s="130">
        <f t="shared" si="269"/>
        <v>23809.95</v>
      </c>
      <c r="K1139" s="130">
        <f t="shared" si="270"/>
        <v>28571.94</v>
      </c>
      <c r="L1139" s="129"/>
      <c r="M1139" s="152"/>
      <c r="N1139" s="130">
        <f>+Table6[[#This Row],[стойност с ДДС]]-Table6[[#This Row],[плащане]]</f>
        <v>28571.94</v>
      </c>
      <c r="O1139" s="209"/>
    </row>
    <row r="1140" spans="1:15" x14ac:dyDescent="0.3">
      <c r="A1140" s="116" t="s">
        <v>77</v>
      </c>
      <c r="B1140" s="394" t="s">
        <v>1700</v>
      </c>
      <c r="C1140" s="117">
        <v>45535</v>
      </c>
      <c r="D1140" s="97"/>
      <c r="E1140" s="97" t="s">
        <v>53</v>
      </c>
      <c r="F1140" s="101"/>
      <c r="G1140" s="97"/>
      <c r="H1140" s="113">
        <v>100.80800000000001</v>
      </c>
      <c r="I1140" s="114">
        <v>60.75</v>
      </c>
      <c r="J1140" s="115">
        <f t="shared" si="269"/>
        <v>6124.09</v>
      </c>
      <c r="K1140" s="115">
        <f t="shared" si="270"/>
        <v>7348.9080000000004</v>
      </c>
      <c r="L1140" s="104"/>
      <c r="M1140" s="107"/>
      <c r="N1140" s="115">
        <f>+Table6[[#This Row],[стойност с ДДС]]-Table6[[#This Row],[плащане]]</f>
        <v>7348.9080000000004</v>
      </c>
      <c r="O1140" s="208"/>
    </row>
    <row r="1141" spans="1:15" x14ac:dyDescent="0.3">
      <c r="A1141" s="116" t="s">
        <v>77</v>
      </c>
      <c r="B1141" s="394" t="s">
        <v>1700</v>
      </c>
      <c r="C1141" s="117">
        <v>45535</v>
      </c>
      <c r="D1141" s="116"/>
      <c r="E1141" s="145" t="s">
        <v>120</v>
      </c>
      <c r="F1141" s="118"/>
      <c r="G1141" s="116"/>
      <c r="H1141" s="141">
        <v>8.0009999999999994</v>
      </c>
      <c r="I1141" s="142">
        <v>2.8732000000000002</v>
      </c>
      <c r="J1141" s="130">
        <f t="shared" si="269"/>
        <v>22.99</v>
      </c>
      <c r="K1141" s="130">
        <f t="shared" si="270"/>
        <v>27.587999999999997</v>
      </c>
      <c r="L1141" s="129"/>
      <c r="M1141" s="152"/>
      <c r="N1141" s="130">
        <f>+Table6[[#This Row],[стойност с ДДС]]-Table6[[#This Row],[плащане]]</f>
        <v>27.587999999999997</v>
      </c>
      <c r="O1141" s="209"/>
    </row>
    <row r="1142" spans="1:15" x14ac:dyDescent="0.3">
      <c r="A1142" s="116" t="s">
        <v>77</v>
      </c>
      <c r="B1142" s="394" t="s">
        <v>1700</v>
      </c>
      <c r="C1142" s="117">
        <v>45535</v>
      </c>
      <c r="D1142" s="116"/>
      <c r="E1142" s="145" t="s">
        <v>57</v>
      </c>
      <c r="F1142" s="118"/>
      <c r="G1142" s="116"/>
      <c r="H1142" s="141">
        <v>1333</v>
      </c>
      <c r="I1142" s="142">
        <v>2.2986</v>
      </c>
      <c r="J1142" s="130" t="e">
        <f>ROUND(+#REF!*I1142,2)</f>
        <v>#REF!</v>
      </c>
      <c r="K1142" s="130" t="e">
        <f t="shared" si="270"/>
        <v>#REF!</v>
      </c>
      <c r="L1142" s="129"/>
      <c r="M1142" s="152"/>
      <c r="N1142" s="130" t="e">
        <f>+Table6[[#This Row],[стойност с ДДС]]-Table6[[#This Row],[плащане]]</f>
        <v>#REF!</v>
      </c>
      <c r="O1142" s="209"/>
    </row>
    <row r="1143" spans="1:15" x14ac:dyDescent="0.3">
      <c r="A1143" s="116" t="s">
        <v>77</v>
      </c>
      <c r="B1143" s="394" t="s">
        <v>1700</v>
      </c>
      <c r="C1143" s="117">
        <v>45535</v>
      </c>
      <c r="D1143" s="116"/>
      <c r="E1143" s="145" t="s">
        <v>56</v>
      </c>
      <c r="F1143" s="118"/>
      <c r="G1143" s="116"/>
      <c r="H1143" s="113">
        <v>12.087</v>
      </c>
      <c r="I1143" s="142">
        <v>8.3582999999999998</v>
      </c>
      <c r="J1143" s="130">
        <f>ROUND(+H1142*I1143,2)</f>
        <v>11141.61</v>
      </c>
      <c r="K1143" s="130">
        <f t="shared" si="270"/>
        <v>13369.932000000001</v>
      </c>
      <c r="L1143" s="129"/>
      <c r="M1143" s="152"/>
      <c r="N1143" s="130">
        <f>+Table6[[#This Row],[стойност с ДДС]]-Table6[[#This Row],[плащане]]</f>
        <v>13369.932000000001</v>
      </c>
      <c r="O1143" s="209"/>
    </row>
    <row r="1144" spans="1:15" x14ac:dyDescent="0.3">
      <c r="A1144" s="116" t="s">
        <v>77</v>
      </c>
      <c r="B1144" s="394" t="s">
        <v>1700</v>
      </c>
      <c r="C1144" s="117">
        <v>45535</v>
      </c>
      <c r="D1144" s="116"/>
      <c r="E1144" s="145" t="s">
        <v>58</v>
      </c>
      <c r="F1144" s="118"/>
      <c r="G1144" s="116"/>
      <c r="H1144" s="113">
        <v>4073.0120000000002</v>
      </c>
      <c r="I1144" s="142">
        <v>1.0194000000000001</v>
      </c>
      <c r="J1144" s="130">
        <f>ROUND(+H1143*I1144,2)</f>
        <v>12.32</v>
      </c>
      <c r="K1144" s="130">
        <f t="shared" si="270"/>
        <v>14.783999999999999</v>
      </c>
      <c r="L1144" s="129"/>
      <c r="M1144" s="152"/>
      <c r="N1144" s="130">
        <f>+Table6[[#This Row],[стойност с ДДС]]-Table6[[#This Row],[плащане]]</f>
        <v>14.783999999999999</v>
      </c>
      <c r="O1144" s="209"/>
    </row>
    <row r="1145" spans="1:15" x14ac:dyDescent="0.3">
      <c r="A1145" s="116" t="s">
        <v>77</v>
      </c>
      <c r="B1145" s="394" t="s">
        <v>1700</v>
      </c>
      <c r="C1145" s="117">
        <v>45535</v>
      </c>
      <c r="D1145" s="116"/>
      <c r="E1145" s="116" t="s">
        <v>59</v>
      </c>
      <c r="F1145" s="118"/>
      <c r="G1145" s="116"/>
      <c r="H1145" s="113">
        <v>14662.843000000001</v>
      </c>
      <c r="I1145" s="142">
        <v>0</v>
      </c>
      <c r="J1145" s="130">
        <f>ROUND(+H1144*I1145,2)</f>
        <v>0</v>
      </c>
      <c r="K1145" s="130">
        <f t="shared" si="270"/>
        <v>0</v>
      </c>
      <c r="L1145" s="129"/>
      <c r="M1145" s="152"/>
      <c r="N1145" s="130">
        <f>+Table6[[#This Row],[стойност с ДДС]]-Table6[[#This Row],[плащане]]</f>
        <v>0</v>
      </c>
      <c r="O1145" s="209"/>
    </row>
    <row r="1146" spans="1:15" x14ac:dyDescent="0.3">
      <c r="A1146" s="116" t="s">
        <v>99</v>
      </c>
      <c r="B1146" s="394" t="s">
        <v>1701</v>
      </c>
      <c r="C1146" s="117">
        <v>45535</v>
      </c>
      <c r="D1146" s="116"/>
      <c r="E1146" s="417" t="s">
        <v>119</v>
      </c>
      <c r="F1146" s="118"/>
      <c r="G1146" s="116"/>
      <c r="H1146" s="141">
        <v>729.94899999999996</v>
      </c>
      <c r="I1146" s="142">
        <v>60.837249999999997</v>
      </c>
      <c r="J1146" s="130">
        <v>44408.09</v>
      </c>
      <c r="K1146" s="130">
        <f t="shared" si="270"/>
        <v>53289.707999999991</v>
      </c>
      <c r="L1146" s="129"/>
      <c r="M1146" s="152"/>
      <c r="N1146" s="130">
        <f>+Table6[[#This Row],[стойност с ДДС]]-Table6[[#This Row],[плащане]]</f>
        <v>53289.707999999991</v>
      </c>
      <c r="O1146" s="209"/>
    </row>
    <row r="1147" spans="1:15" x14ac:dyDescent="0.3">
      <c r="A1147" s="116" t="s">
        <v>50</v>
      </c>
      <c r="B1147" s="394" t="s">
        <v>1702</v>
      </c>
      <c r="C1147" s="117">
        <v>45535</v>
      </c>
      <c r="D1147" s="116"/>
      <c r="E1147" s="97" t="s">
        <v>53</v>
      </c>
      <c r="F1147" s="118"/>
      <c r="G1147" s="116"/>
      <c r="H1147" s="141">
        <v>1</v>
      </c>
      <c r="I1147" s="142">
        <v>20635.29</v>
      </c>
      <c r="J1147" s="130">
        <f t="shared" ref="J1147:J1152" si="271">ROUND(+H1147*I1147,2)</f>
        <v>20635.29</v>
      </c>
      <c r="K1147" s="130">
        <f t="shared" si="270"/>
        <v>24762.348000000002</v>
      </c>
      <c r="L1147" s="129"/>
      <c r="M1147" s="152"/>
      <c r="N1147" s="130">
        <f>+Table6[[#This Row],[стойност с ДДС]]-Table6[[#This Row],[плащане]]</f>
        <v>24762.348000000002</v>
      </c>
      <c r="O1147" s="209"/>
    </row>
    <row r="1148" spans="1:15" x14ac:dyDescent="0.3">
      <c r="A1148" s="116" t="s">
        <v>50</v>
      </c>
      <c r="B1148" s="394" t="s">
        <v>1702</v>
      </c>
      <c r="C1148" s="117">
        <v>45535</v>
      </c>
      <c r="D1148" s="97"/>
      <c r="E1148" s="97" t="s">
        <v>53</v>
      </c>
      <c r="F1148" s="101"/>
      <c r="G1148" s="97"/>
      <c r="H1148" s="113">
        <v>128.22800000000001</v>
      </c>
      <c r="I1148" s="114">
        <v>60.75</v>
      </c>
      <c r="J1148" s="115">
        <f t="shared" si="271"/>
        <v>7789.85</v>
      </c>
      <c r="K1148" s="115">
        <f t="shared" si="270"/>
        <v>9347.82</v>
      </c>
      <c r="L1148" s="104"/>
      <c r="M1148" s="107"/>
      <c r="N1148" s="115">
        <f>+Table6[[#This Row],[стойност с ДДС]]-Table6[[#This Row],[плащане]]</f>
        <v>9347.82</v>
      </c>
      <c r="O1148" s="208"/>
    </row>
    <row r="1149" spans="1:15" x14ac:dyDescent="0.3">
      <c r="A1149" s="116" t="s">
        <v>50</v>
      </c>
      <c r="B1149" s="394" t="s">
        <v>1702</v>
      </c>
      <c r="C1149" s="117">
        <v>45535</v>
      </c>
      <c r="D1149" s="116"/>
      <c r="E1149" s="145" t="s">
        <v>58</v>
      </c>
      <c r="F1149" s="118"/>
      <c r="G1149" s="116"/>
      <c r="H1149" s="141">
        <v>753.23699999999997</v>
      </c>
      <c r="I1149" s="142">
        <v>1.0194000000000001</v>
      </c>
      <c r="J1149" s="130">
        <f t="shared" si="271"/>
        <v>767.85</v>
      </c>
      <c r="K1149" s="130">
        <f t="shared" si="270"/>
        <v>921.42</v>
      </c>
      <c r="L1149" s="129"/>
      <c r="M1149" s="152"/>
      <c r="N1149" s="130">
        <f>+Table6[[#This Row],[стойност с ДДС]]-Table6[[#This Row],[плащане]]</f>
        <v>921.42</v>
      </c>
      <c r="O1149" s="209"/>
    </row>
    <row r="1150" spans="1:15" x14ac:dyDescent="0.3">
      <c r="A1150" s="116" t="s">
        <v>50</v>
      </c>
      <c r="B1150" s="394" t="s">
        <v>1702</v>
      </c>
      <c r="C1150" s="117">
        <v>45535</v>
      </c>
      <c r="D1150" s="116"/>
      <c r="E1150" s="116" t="s">
        <v>59</v>
      </c>
      <c r="F1150" s="118"/>
      <c r="G1150" s="116"/>
      <c r="H1150" s="141">
        <v>9.2089999999999996</v>
      </c>
      <c r="I1150" s="142">
        <v>0.6</v>
      </c>
      <c r="J1150" s="130">
        <f t="shared" si="271"/>
        <v>5.53</v>
      </c>
      <c r="K1150" s="130">
        <f t="shared" si="270"/>
        <v>6.6360000000000001</v>
      </c>
      <c r="L1150" s="129"/>
      <c r="M1150" s="152"/>
      <c r="N1150" s="130">
        <f>+Table6[[#This Row],[стойност с ДДС]]-Table6[[#This Row],[плащане]]</f>
        <v>6.6360000000000001</v>
      </c>
      <c r="O1150" s="209"/>
    </row>
    <row r="1151" spans="1:15" x14ac:dyDescent="0.3">
      <c r="A1151" s="116" t="s">
        <v>50</v>
      </c>
      <c r="B1151" s="394" t="s">
        <v>1702</v>
      </c>
      <c r="C1151" s="117">
        <v>45535</v>
      </c>
      <c r="D1151" s="116"/>
      <c r="E1151" s="116" t="s">
        <v>59</v>
      </c>
      <c r="F1151" s="118"/>
      <c r="G1151" s="116"/>
      <c r="H1151" s="141">
        <v>2702.444</v>
      </c>
      <c r="I1151" s="142">
        <v>0</v>
      </c>
      <c r="J1151" s="130">
        <f t="shared" si="271"/>
        <v>0</v>
      </c>
      <c r="K1151" s="130">
        <f t="shared" si="270"/>
        <v>0</v>
      </c>
      <c r="L1151" s="129"/>
      <c r="M1151" s="152"/>
      <c r="N1151" s="130">
        <f>+Table6[[#This Row],[стойност с ДДС]]-Table6[[#This Row],[плащане]]</f>
        <v>0</v>
      </c>
      <c r="O1151" s="209"/>
    </row>
    <row r="1152" spans="1:15" x14ac:dyDescent="0.3">
      <c r="A1152" s="116" t="s">
        <v>64</v>
      </c>
      <c r="B1152" s="394" t="s">
        <v>1703</v>
      </c>
      <c r="C1152" s="117">
        <v>45535</v>
      </c>
      <c r="D1152" s="116"/>
      <c r="E1152" s="97" t="s">
        <v>53</v>
      </c>
      <c r="F1152" s="118"/>
      <c r="G1152" s="116"/>
      <c r="H1152" s="141">
        <v>1</v>
      </c>
      <c r="I1152" s="142">
        <v>12698.64</v>
      </c>
      <c r="J1152" s="130">
        <f t="shared" si="271"/>
        <v>12698.64</v>
      </c>
      <c r="K1152" s="130">
        <f t="shared" si="270"/>
        <v>15238.367999999999</v>
      </c>
      <c r="L1152" s="129"/>
      <c r="M1152" s="152"/>
      <c r="N1152" s="130">
        <f>+Table6[[#This Row],[стойност с ДДС]]-Table6[[#This Row],[плащане]]</f>
        <v>15238.367999999999</v>
      </c>
      <c r="O1152" s="209"/>
    </row>
    <row r="1153" spans="1:15" x14ac:dyDescent="0.3">
      <c r="A1153" s="116" t="s">
        <v>64</v>
      </c>
      <c r="B1153" s="394" t="s">
        <v>1703</v>
      </c>
      <c r="C1153" s="117">
        <v>45535</v>
      </c>
      <c r="D1153" s="97"/>
      <c r="E1153" s="97" t="s">
        <v>53</v>
      </c>
      <c r="F1153" s="101"/>
      <c r="G1153" s="97"/>
      <c r="H1153" s="113">
        <v>33.177999999999997</v>
      </c>
      <c r="I1153" s="114">
        <v>60.75</v>
      </c>
      <c r="J1153" s="115">
        <f t="shared" ref="J1153:J1154" si="272">ROUND(+H1153*I1153,2)</f>
        <v>2015.56</v>
      </c>
      <c r="K1153" s="115">
        <f t="shared" ref="K1153:K1154" si="273">J1153*1.2</f>
        <v>2418.672</v>
      </c>
      <c r="L1153" s="104"/>
      <c r="M1153" s="107"/>
      <c r="N1153" s="115">
        <f>+Table6[[#This Row],[стойност с ДДС]]-Table6[[#This Row],[плащане]]</f>
        <v>2418.672</v>
      </c>
      <c r="O1153" s="208"/>
    </row>
    <row r="1154" spans="1:15" x14ac:dyDescent="0.3">
      <c r="A1154" s="116" t="s">
        <v>64</v>
      </c>
      <c r="B1154" s="394" t="s">
        <v>1703</v>
      </c>
      <c r="C1154" s="117">
        <v>45535</v>
      </c>
      <c r="D1154" s="97"/>
      <c r="E1154" s="97" t="s">
        <v>53</v>
      </c>
      <c r="F1154" s="101"/>
      <c r="G1154" s="97"/>
      <c r="H1154" s="113">
        <v>25.577999999999999</v>
      </c>
      <c r="I1154" s="114">
        <v>60.75</v>
      </c>
      <c r="J1154" s="115">
        <f t="shared" si="272"/>
        <v>1553.86</v>
      </c>
      <c r="K1154" s="115">
        <f t="shared" si="273"/>
        <v>1864.6319999999998</v>
      </c>
      <c r="L1154" s="104"/>
      <c r="M1154" s="107"/>
      <c r="N1154" s="115">
        <f>+Table6[[#This Row],[стойност с ДДС]]-Table6[[#This Row],[плащане]]</f>
        <v>1864.6319999999998</v>
      </c>
      <c r="O1154" s="208"/>
    </row>
    <row r="1155" spans="1:15" x14ac:dyDescent="0.3">
      <c r="A1155" s="116" t="s">
        <v>64</v>
      </c>
      <c r="B1155" s="394" t="s">
        <v>1703</v>
      </c>
      <c r="C1155" s="117">
        <v>45535</v>
      </c>
      <c r="D1155" s="116"/>
      <c r="E1155" s="145" t="s">
        <v>120</v>
      </c>
      <c r="F1155" s="118"/>
      <c r="G1155" s="116"/>
      <c r="H1155" s="141">
        <v>60</v>
      </c>
      <c r="I1155" s="142">
        <v>2.8732000000000002</v>
      </c>
      <c r="J1155" s="130">
        <f t="shared" ref="J1155:J1165" si="274">ROUND(+H1155*I1155,2)</f>
        <v>172.39</v>
      </c>
      <c r="K1155" s="130">
        <f t="shared" ref="K1155:K1165" si="275">J1155*1.2</f>
        <v>206.86799999999997</v>
      </c>
      <c r="L1155" s="129"/>
      <c r="M1155" s="152"/>
      <c r="N1155" s="130">
        <f>+Table6[[#This Row],[стойност с ДДС]]-Table6[[#This Row],[плащане]]</f>
        <v>206.86799999999997</v>
      </c>
      <c r="O1155" s="209"/>
    </row>
    <row r="1156" spans="1:15" x14ac:dyDescent="0.3">
      <c r="A1156" s="116" t="s">
        <v>64</v>
      </c>
      <c r="B1156" s="394" t="s">
        <v>1703</v>
      </c>
      <c r="C1156" s="117">
        <v>45535</v>
      </c>
      <c r="D1156" s="116"/>
      <c r="E1156" s="145" t="s">
        <v>57</v>
      </c>
      <c r="F1156" s="118"/>
      <c r="G1156" s="116"/>
      <c r="H1156" s="141">
        <v>95</v>
      </c>
      <c r="I1156" s="142">
        <v>2.2986</v>
      </c>
      <c r="J1156" s="130">
        <f t="shared" si="274"/>
        <v>218.37</v>
      </c>
      <c r="K1156" s="130">
        <f t="shared" si="275"/>
        <v>262.04399999999998</v>
      </c>
      <c r="L1156" s="129"/>
      <c r="M1156" s="152"/>
      <c r="N1156" s="130">
        <f>+Table6[[#This Row],[стойност с ДДС]]-Table6[[#This Row],[плащане]]</f>
        <v>262.04399999999998</v>
      </c>
      <c r="O1156" s="209"/>
    </row>
    <row r="1157" spans="1:15" x14ac:dyDescent="0.3">
      <c r="A1157" s="116" t="s">
        <v>64</v>
      </c>
      <c r="B1157" s="394" t="s">
        <v>1703</v>
      </c>
      <c r="C1157" s="117">
        <v>45535</v>
      </c>
      <c r="D1157" s="116"/>
      <c r="E1157" s="145" t="s">
        <v>58</v>
      </c>
      <c r="F1157" s="118"/>
      <c r="G1157" s="116"/>
      <c r="H1157" s="141">
        <v>711.029</v>
      </c>
      <c r="I1157" s="142">
        <v>1.0194000000000001</v>
      </c>
      <c r="J1157" s="130">
        <f t="shared" si="274"/>
        <v>724.82</v>
      </c>
      <c r="K1157" s="130">
        <f t="shared" si="275"/>
        <v>869.78399999999999</v>
      </c>
      <c r="L1157" s="129"/>
      <c r="M1157" s="152"/>
      <c r="N1157" s="130">
        <f>+Table6[[#This Row],[стойност с ДДС]]-Table6[[#This Row],[плащане]]</f>
        <v>869.78399999999999</v>
      </c>
      <c r="O1157" s="209"/>
    </row>
    <row r="1158" spans="1:15" x14ac:dyDescent="0.3">
      <c r="A1158" s="116" t="s">
        <v>64</v>
      </c>
      <c r="B1158" s="394" t="s">
        <v>1703</v>
      </c>
      <c r="C1158" s="117">
        <v>45535</v>
      </c>
      <c r="D1158" s="116"/>
      <c r="E1158" s="116" t="s">
        <v>59</v>
      </c>
      <c r="F1158" s="118"/>
      <c r="G1158" s="116"/>
      <c r="H1158" s="141">
        <v>10.156000000000001</v>
      </c>
      <c r="I1158" s="142">
        <v>0.6</v>
      </c>
      <c r="J1158" s="130">
        <f t="shared" si="274"/>
        <v>6.09</v>
      </c>
      <c r="K1158" s="130">
        <f t="shared" si="275"/>
        <v>7.3079999999999998</v>
      </c>
      <c r="L1158" s="129"/>
      <c r="M1158" s="152"/>
      <c r="N1158" s="130">
        <f>+Table6[[#This Row],[стойност с ДДС]]-Table6[[#This Row],[плащане]]</f>
        <v>7.3079999999999998</v>
      </c>
      <c r="O1158" s="209"/>
    </row>
    <row r="1159" spans="1:15" x14ac:dyDescent="0.3">
      <c r="A1159" s="116" t="s">
        <v>64</v>
      </c>
      <c r="B1159" s="394" t="s">
        <v>1703</v>
      </c>
      <c r="C1159" s="117">
        <v>45535</v>
      </c>
      <c r="D1159" s="116"/>
      <c r="E1159" s="116" t="s">
        <v>59</v>
      </c>
      <c r="F1159" s="118"/>
      <c r="G1159" s="116"/>
      <c r="H1159" s="141">
        <v>2549.549</v>
      </c>
      <c r="I1159" s="142">
        <v>0</v>
      </c>
      <c r="J1159" s="130">
        <f t="shared" si="274"/>
        <v>0</v>
      </c>
      <c r="K1159" s="130">
        <f t="shared" si="275"/>
        <v>0</v>
      </c>
      <c r="L1159" s="129"/>
      <c r="M1159" s="152"/>
      <c r="N1159" s="130">
        <f>+Table6[[#This Row],[стойност с ДДС]]-Table6[[#This Row],[плащане]]</f>
        <v>0</v>
      </c>
      <c r="O1159" s="209"/>
    </row>
    <row r="1160" spans="1:15" x14ac:dyDescent="0.3">
      <c r="A1160" s="116" t="s">
        <v>62</v>
      </c>
      <c r="B1160" s="394" t="s">
        <v>1704</v>
      </c>
      <c r="C1160" s="117">
        <v>45535</v>
      </c>
      <c r="D1160" s="116"/>
      <c r="E1160" s="97" t="s">
        <v>53</v>
      </c>
      <c r="F1160" s="118"/>
      <c r="G1160" s="116"/>
      <c r="H1160" s="141">
        <v>1</v>
      </c>
      <c r="I1160" s="142">
        <v>61905.87</v>
      </c>
      <c r="J1160" s="130">
        <f t="shared" si="274"/>
        <v>61905.87</v>
      </c>
      <c r="K1160" s="130">
        <f t="shared" si="275"/>
        <v>74287.043999999994</v>
      </c>
      <c r="L1160" s="129"/>
      <c r="M1160" s="152"/>
      <c r="N1160" s="130">
        <f>+Table6[[#This Row],[стойност с ДДС]]-Table6[[#This Row],[плащане]]</f>
        <v>74287.043999999994</v>
      </c>
      <c r="O1160" s="209"/>
    </row>
    <row r="1161" spans="1:15" x14ac:dyDescent="0.3">
      <c r="A1161" s="116" t="s">
        <v>62</v>
      </c>
      <c r="B1161" s="394" t="s">
        <v>1704</v>
      </c>
      <c r="C1161" s="117">
        <v>45535</v>
      </c>
      <c r="D1161" s="97"/>
      <c r="E1161" s="97" t="s">
        <v>53</v>
      </c>
      <c r="F1161" s="101"/>
      <c r="G1161" s="97"/>
      <c r="H1161" s="113">
        <v>5704.3630000000003</v>
      </c>
      <c r="I1161" s="114">
        <v>60.75</v>
      </c>
      <c r="J1161" s="115">
        <f t="shared" si="274"/>
        <v>346540.05</v>
      </c>
      <c r="K1161" s="115">
        <f t="shared" si="275"/>
        <v>415848.06</v>
      </c>
      <c r="L1161" s="104"/>
      <c r="M1161" s="107"/>
      <c r="N1161" s="115">
        <f>+Table6[[#This Row],[стойност с ДДС]]-Table6[[#This Row],[плащане]]</f>
        <v>415848.06</v>
      </c>
      <c r="O1161" s="208"/>
    </row>
    <row r="1162" spans="1:15" x14ac:dyDescent="0.3">
      <c r="A1162" s="116" t="s">
        <v>62</v>
      </c>
      <c r="B1162" s="394" t="s">
        <v>1704</v>
      </c>
      <c r="C1162" s="117">
        <v>45535</v>
      </c>
      <c r="D1162" s="116"/>
      <c r="E1162" s="145" t="s">
        <v>120</v>
      </c>
      <c r="F1162" s="118"/>
      <c r="G1162" s="116"/>
      <c r="H1162" s="141">
        <v>278</v>
      </c>
      <c r="I1162" s="142">
        <v>2.8732000000000002</v>
      </c>
      <c r="J1162" s="130">
        <f t="shared" si="274"/>
        <v>798.75</v>
      </c>
      <c r="K1162" s="130">
        <f t="shared" si="275"/>
        <v>958.5</v>
      </c>
      <c r="L1162" s="129"/>
      <c r="M1162" s="152"/>
      <c r="N1162" s="130">
        <f>+Table6[[#This Row],[стойност с ДДС]]-Table6[[#This Row],[плащане]]</f>
        <v>958.5</v>
      </c>
      <c r="O1162" s="209"/>
    </row>
    <row r="1163" spans="1:15" x14ac:dyDescent="0.3">
      <c r="A1163" s="116" t="s">
        <v>62</v>
      </c>
      <c r="B1163" s="394" t="s">
        <v>1704</v>
      </c>
      <c r="C1163" s="117">
        <v>45535</v>
      </c>
      <c r="D1163" s="116"/>
      <c r="E1163" s="145" t="s">
        <v>57</v>
      </c>
      <c r="F1163" s="118"/>
      <c r="G1163" s="116"/>
      <c r="H1163" s="141">
        <v>1870</v>
      </c>
      <c r="I1163" s="142">
        <v>2.2986</v>
      </c>
      <c r="J1163" s="130">
        <f t="shared" si="274"/>
        <v>4298.38</v>
      </c>
      <c r="K1163" s="130">
        <f t="shared" si="275"/>
        <v>5158.0559999999996</v>
      </c>
      <c r="L1163" s="129"/>
      <c r="M1163" s="152"/>
      <c r="N1163" s="130">
        <f>+Table6[[#This Row],[стойност с ДДС]]-Table6[[#This Row],[плащане]]</f>
        <v>5158.0559999999996</v>
      </c>
      <c r="O1163" s="209"/>
    </row>
    <row r="1164" spans="1:15" x14ac:dyDescent="0.3">
      <c r="A1164" s="116" t="s">
        <v>62</v>
      </c>
      <c r="B1164" s="394" t="s">
        <v>1704</v>
      </c>
      <c r="C1164" s="117">
        <v>45535</v>
      </c>
      <c r="D1164" s="116"/>
      <c r="E1164" s="145" t="s">
        <v>56</v>
      </c>
      <c r="F1164" s="118"/>
      <c r="G1164" s="116"/>
      <c r="H1164" s="141">
        <v>30.501999999999999</v>
      </c>
      <c r="I1164" s="142">
        <v>8.3582999999999998</v>
      </c>
      <c r="J1164" s="130">
        <f t="shared" si="274"/>
        <v>254.94</v>
      </c>
      <c r="K1164" s="130">
        <f t="shared" si="275"/>
        <v>305.928</v>
      </c>
      <c r="L1164" s="129"/>
      <c r="M1164" s="152"/>
      <c r="N1164" s="130">
        <f>+Table6[[#This Row],[стойност с ДДС]]-Table6[[#This Row],[плащане]]</f>
        <v>305.928</v>
      </c>
      <c r="O1164" s="209"/>
    </row>
    <row r="1165" spans="1:15" x14ac:dyDescent="0.3">
      <c r="A1165" s="116" t="s">
        <v>62</v>
      </c>
      <c r="B1165" s="394" t="s">
        <v>1704</v>
      </c>
      <c r="C1165" s="117">
        <v>45535</v>
      </c>
      <c r="D1165" s="116"/>
      <c r="E1165" s="145" t="s">
        <v>58</v>
      </c>
      <c r="F1165" s="118"/>
      <c r="G1165" s="116"/>
      <c r="H1165" s="141">
        <v>16215.191000000001</v>
      </c>
      <c r="I1165" s="142">
        <v>1.0194000000000001</v>
      </c>
      <c r="J1165" s="130">
        <f t="shared" si="274"/>
        <v>16529.77</v>
      </c>
      <c r="K1165" s="130">
        <f t="shared" si="275"/>
        <v>19835.723999999998</v>
      </c>
      <c r="L1165" s="129"/>
      <c r="M1165" s="152"/>
      <c r="N1165" s="130">
        <f>+Table6[[#This Row],[стойност с ДДС]]-Table6[[#This Row],[плащане]]</f>
        <v>19835.723999999998</v>
      </c>
      <c r="O1165" s="209"/>
    </row>
    <row r="1166" spans="1:15" x14ac:dyDescent="0.3">
      <c r="A1166" s="116" t="s">
        <v>62</v>
      </c>
      <c r="B1166" s="394" t="s">
        <v>1704</v>
      </c>
      <c r="C1166" s="117">
        <v>45535</v>
      </c>
      <c r="D1166" s="97"/>
      <c r="E1166" s="97" t="s">
        <v>59</v>
      </c>
      <c r="F1166" s="101"/>
      <c r="G1166" s="97"/>
      <c r="H1166" s="113">
        <v>58374.688000000002</v>
      </c>
      <c r="I1166" s="114">
        <v>0</v>
      </c>
      <c r="J1166" s="115">
        <f t="shared" ref="J1166:J1167" si="276">ROUND(+H1166*I1166,2)</f>
        <v>0</v>
      </c>
      <c r="K1166" s="115">
        <f t="shared" ref="K1166:K1167" si="277">J1166*1.2</f>
        <v>0</v>
      </c>
      <c r="L1166" s="104"/>
      <c r="M1166" s="107"/>
      <c r="N1166" s="115">
        <f>+Table6[[#This Row],[стойност с ДДС]]-Table6[[#This Row],[плащане]]</f>
        <v>0</v>
      </c>
      <c r="O1166" s="208"/>
    </row>
    <row r="1167" spans="1:15" x14ac:dyDescent="0.3">
      <c r="A1167" s="116" t="s">
        <v>62</v>
      </c>
      <c r="B1167" s="394" t="s">
        <v>1704</v>
      </c>
      <c r="C1167" s="117">
        <v>45535</v>
      </c>
      <c r="D1167" s="116"/>
      <c r="E1167" s="116" t="s">
        <v>59</v>
      </c>
      <c r="F1167" s="118"/>
      <c r="G1167" s="116"/>
      <c r="H1167" s="141">
        <v>0</v>
      </c>
      <c r="I1167" s="142"/>
      <c r="J1167" s="130">
        <f t="shared" si="276"/>
        <v>0</v>
      </c>
      <c r="K1167" s="130">
        <f t="shared" si="277"/>
        <v>0</v>
      </c>
      <c r="L1167" s="129"/>
      <c r="M1167" s="152"/>
      <c r="N1167" s="130">
        <f>+Table6[[#This Row],[стойност с ДДС]]-Table6[[#This Row],[плащане]]</f>
        <v>0</v>
      </c>
      <c r="O1167" s="209"/>
    </row>
    <row r="1168" spans="1:15" x14ac:dyDescent="0.3">
      <c r="A1168" s="116" t="s">
        <v>67</v>
      </c>
      <c r="B1168" s="394" t="s">
        <v>1705</v>
      </c>
      <c r="C1168" s="117">
        <v>45535</v>
      </c>
      <c r="D1168" s="116"/>
      <c r="E1168" s="97" t="s">
        <v>53</v>
      </c>
      <c r="F1168" s="118"/>
      <c r="G1168" s="116"/>
      <c r="H1168" s="141">
        <v>1</v>
      </c>
      <c r="I1168" s="142">
        <v>25397.279999999999</v>
      </c>
      <c r="J1168" s="130">
        <f t="shared" ref="J1168:J1174" si="278">ROUND(+H1168*I1168,2)</f>
        <v>25397.279999999999</v>
      </c>
      <c r="K1168" s="130">
        <f t="shared" ref="K1168:K1174" si="279">J1168*1.2</f>
        <v>30476.735999999997</v>
      </c>
      <c r="L1168" s="129"/>
      <c r="M1168" s="152"/>
      <c r="N1168" s="130">
        <f>+Table6[[#This Row],[стойност с ДДС]]-Table6[[#This Row],[плащане]]</f>
        <v>30476.735999999997</v>
      </c>
      <c r="O1168" s="209"/>
    </row>
    <row r="1169" spans="1:15" x14ac:dyDescent="0.3">
      <c r="A1169" s="116" t="s">
        <v>67</v>
      </c>
      <c r="B1169" s="394" t="s">
        <v>1705</v>
      </c>
      <c r="C1169" s="117">
        <v>45535</v>
      </c>
      <c r="D1169" s="97"/>
      <c r="E1169" s="97" t="s">
        <v>53</v>
      </c>
      <c r="F1169" s="101"/>
      <c r="G1169" s="97"/>
      <c r="H1169" s="113">
        <v>4309.88</v>
      </c>
      <c r="I1169" s="114">
        <v>60.75</v>
      </c>
      <c r="J1169" s="115">
        <f t="shared" si="278"/>
        <v>261825.21</v>
      </c>
      <c r="K1169" s="115">
        <f t="shared" si="279"/>
        <v>314190.25199999998</v>
      </c>
      <c r="L1169" s="104"/>
      <c r="M1169" s="107"/>
      <c r="N1169" s="115">
        <f>+Table6[[#This Row],[стойност с ДДС]]-Table6[[#This Row],[плащане]]</f>
        <v>314190.25199999998</v>
      </c>
      <c r="O1169" s="208"/>
    </row>
    <row r="1170" spans="1:15" x14ac:dyDescent="0.3">
      <c r="A1170" s="116" t="s">
        <v>67</v>
      </c>
      <c r="B1170" s="394" t="s">
        <v>1705</v>
      </c>
      <c r="C1170" s="117">
        <v>45535</v>
      </c>
      <c r="D1170" s="116"/>
      <c r="E1170" s="145" t="s">
        <v>120</v>
      </c>
      <c r="F1170" s="118"/>
      <c r="G1170" s="116"/>
      <c r="H1170" s="141">
        <v>1227.383</v>
      </c>
      <c r="I1170" s="142">
        <v>2.8732000000000002</v>
      </c>
      <c r="J1170" s="130">
        <f t="shared" si="278"/>
        <v>3526.52</v>
      </c>
      <c r="K1170" s="130">
        <f t="shared" si="279"/>
        <v>4231.8239999999996</v>
      </c>
      <c r="L1170" s="129"/>
      <c r="M1170" s="152"/>
      <c r="N1170" s="130">
        <f>+Table6[[#This Row],[стойност с ДДС]]-Table6[[#This Row],[плащане]]</f>
        <v>4231.8239999999996</v>
      </c>
      <c r="O1170" s="209"/>
    </row>
    <row r="1171" spans="1:15" x14ac:dyDescent="0.3">
      <c r="A1171" s="116" t="s">
        <v>67</v>
      </c>
      <c r="B1171" s="394" t="s">
        <v>1705</v>
      </c>
      <c r="C1171" s="117">
        <v>45535</v>
      </c>
      <c r="D1171" s="116"/>
      <c r="E1171" s="145" t="s">
        <v>57</v>
      </c>
      <c r="F1171" s="118"/>
      <c r="G1171" s="116"/>
      <c r="H1171" s="141">
        <v>740</v>
      </c>
      <c r="I1171" s="142">
        <v>2.2986</v>
      </c>
      <c r="J1171" s="130">
        <f t="shared" si="278"/>
        <v>1700.96</v>
      </c>
      <c r="K1171" s="130">
        <f t="shared" si="279"/>
        <v>2041.152</v>
      </c>
      <c r="L1171" s="129"/>
      <c r="M1171" s="152"/>
      <c r="N1171" s="130">
        <f>+Table6[[#This Row],[стойност с ДДС]]-Table6[[#This Row],[плащане]]</f>
        <v>2041.152</v>
      </c>
      <c r="O1171" s="209"/>
    </row>
    <row r="1172" spans="1:15" x14ac:dyDescent="0.3">
      <c r="A1172" s="116" t="s">
        <v>67</v>
      </c>
      <c r="B1172" s="394" t="s">
        <v>1705</v>
      </c>
      <c r="C1172" s="117">
        <v>45535</v>
      </c>
      <c r="D1172" s="116"/>
      <c r="E1172" s="145" t="s">
        <v>56</v>
      </c>
      <c r="F1172" s="118"/>
      <c r="G1172" s="116"/>
      <c r="H1172" s="141">
        <v>189.90899999999999</v>
      </c>
      <c r="I1172" s="142">
        <v>8.3582999999999998</v>
      </c>
      <c r="J1172" s="130">
        <f t="shared" si="278"/>
        <v>1587.32</v>
      </c>
      <c r="K1172" s="130">
        <f t="shared" si="279"/>
        <v>1904.7839999999999</v>
      </c>
      <c r="L1172" s="129"/>
      <c r="M1172" s="152"/>
      <c r="N1172" s="130">
        <f>+Table6[[#This Row],[стойност с ДДС]]-Table6[[#This Row],[плащане]]</f>
        <v>1904.7839999999999</v>
      </c>
      <c r="O1172" s="209"/>
    </row>
    <row r="1173" spans="1:15" x14ac:dyDescent="0.3">
      <c r="A1173" s="116" t="s">
        <v>67</v>
      </c>
      <c r="B1173" s="394" t="s">
        <v>1705</v>
      </c>
      <c r="C1173" s="117">
        <v>45535</v>
      </c>
      <c r="D1173" s="116"/>
      <c r="E1173" s="145" t="s">
        <v>58</v>
      </c>
      <c r="F1173" s="118"/>
      <c r="G1173" s="116"/>
      <c r="H1173" s="141">
        <v>9993.1849999999995</v>
      </c>
      <c r="I1173" s="142">
        <v>1.0194000000000001</v>
      </c>
      <c r="J1173" s="130">
        <f t="shared" si="278"/>
        <v>10187.049999999999</v>
      </c>
      <c r="K1173" s="130">
        <f t="shared" si="279"/>
        <v>12224.46</v>
      </c>
      <c r="L1173" s="129"/>
      <c r="M1173" s="152"/>
      <c r="N1173" s="130">
        <f>+Table6[[#This Row],[стойност с ДДС]]-Table6[[#This Row],[плащане]]</f>
        <v>12224.46</v>
      </c>
      <c r="O1173" s="209"/>
    </row>
    <row r="1174" spans="1:15" x14ac:dyDescent="0.3">
      <c r="A1174" s="116" t="s">
        <v>67</v>
      </c>
      <c r="B1174" s="394" t="s">
        <v>1705</v>
      </c>
      <c r="C1174" s="117">
        <v>45535</v>
      </c>
      <c r="D1174" s="116"/>
      <c r="E1174" s="116" t="s">
        <v>59</v>
      </c>
      <c r="F1174" s="118"/>
      <c r="G1174" s="116"/>
      <c r="H1174" s="141">
        <v>35975.466</v>
      </c>
      <c r="I1174" s="142">
        <v>0</v>
      </c>
      <c r="J1174" s="130">
        <f t="shared" si="278"/>
        <v>0</v>
      </c>
      <c r="K1174" s="130">
        <f t="shared" si="279"/>
        <v>0</v>
      </c>
      <c r="L1174" s="129"/>
      <c r="M1174" s="152"/>
      <c r="N1174" s="130">
        <f>+Table6[[#This Row],[стойност с ДДС]]-Table6[[#This Row],[плащане]]</f>
        <v>0</v>
      </c>
      <c r="O1174" s="209"/>
    </row>
    <row r="1175" spans="1:15" x14ac:dyDescent="0.3">
      <c r="A1175" s="116" t="s">
        <v>1184</v>
      </c>
      <c r="B1175" s="394" t="s">
        <v>1710</v>
      </c>
      <c r="C1175" s="117">
        <v>45545</v>
      </c>
      <c r="D1175" s="116"/>
      <c r="E1175" s="97" t="s">
        <v>33</v>
      </c>
      <c r="F1175" s="118"/>
      <c r="G1175" s="116"/>
      <c r="H1175" s="141">
        <v>1</v>
      </c>
      <c r="I1175" s="142">
        <v>4294.08</v>
      </c>
      <c r="J1175" s="130">
        <f>ROUND(+H1175*I1175,2)</f>
        <v>4294.08</v>
      </c>
      <c r="K1175" s="130">
        <f>J1175*1.2</f>
        <v>5152.8959999999997</v>
      </c>
      <c r="L1175" s="129"/>
      <c r="M1175" s="152"/>
      <c r="N1175" s="130">
        <f>+Table6[[#This Row],[стойност с ДДС]]-Table6[[#This Row],[плащане]]</f>
        <v>5152.8959999999997</v>
      </c>
      <c r="O1175" s="209"/>
    </row>
    <row r="1176" spans="1:15" x14ac:dyDescent="0.3">
      <c r="A1176" s="116" t="s">
        <v>1184</v>
      </c>
      <c r="B1176" s="394" t="s">
        <v>1710</v>
      </c>
      <c r="C1176" s="117">
        <v>45545</v>
      </c>
      <c r="D1176" s="116"/>
      <c r="E1176" s="116" t="s">
        <v>76</v>
      </c>
      <c r="F1176" s="118"/>
      <c r="G1176" s="116"/>
      <c r="H1176" s="141">
        <v>20</v>
      </c>
      <c r="I1176" s="142">
        <v>25.1753</v>
      </c>
      <c r="J1176" s="130">
        <f>ROUND(+H1176*I1176,2)</f>
        <v>503.51</v>
      </c>
      <c r="K1176" s="130">
        <f>J1176*1.2</f>
        <v>604.21199999999999</v>
      </c>
      <c r="L1176" s="129"/>
      <c r="M1176" s="152"/>
      <c r="N1176" s="130">
        <f>+Table6[[#This Row],[стойност с ДДС]]-Table6[[#This Row],[плащане]]</f>
        <v>604.21199999999999</v>
      </c>
      <c r="O1176" s="209"/>
    </row>
    <row r="1177" spans="1:15" x14ac:dyDescent="0.3">
      <c r="A1177" s="116" t="s">
        <v>72</v>
      </c>
      <c r="B1177" s="394" t="s">
        <v>1711</v>
      </c>
      <c r="C1177" s="117">
        <v>45545</v>
      </c>
      <c r="D1177" s="116"/>
      <c r="E1177" s="97" t="s">
        <v>33</v>
      </c>
      <c r="F1177" s="118"/>
      <c r="G1177" s="116"/>
      <c r="H1177" s="141">
        <v>1</v>
      </c>
      <c r="I1177" s="142">
        <v>12677.76</v>
      </c>
      <c r="J1177" s="130">
        <f>ROUND(+H1177*I1177,2)</f>
        <v>12677.76</v>
      </c>
      <c r="K1177" s="130">
        <f>J1177*1.2</f>
        <v>15213.312</v>
      </c>
      <c r="L1177" s="129"/>
      <c r="M1177" s="152"/>
      <c r="N1177" s="130">
        <f>+Table6[[#This Row],[стойност с ДДС]]-Table6[[#This Row],[плащане]]</f>
        <v>15213.312</v>
      </c>
      <c r="O1177" s="209"/>
    </row>
    <row r="1178" spans="1:15" x14ac:dyDescent="0.3">
      <c r="A1178" s="116" t="s">
        <v>72</v>
      </c>
      <c r="B1178" s="394" t="s">
        <v>1711</v>
      </c>
      <c r="C1178" s="117">
        <v>45545</v>
      </c>
      <c r="D1178" s="116"/>
      <c r="E1178" s="116" t="s">
        <v>76</v>
      </c>
      <c r="F1178" s="118"/>
      <c r="G1178" s="116"/>
      <c r="H1178" s="141">
        <v>18</v>
      </c>
      <c r="I1178" s="142">
        <v>25.1753</v>
      </c>
      <c r="J1178" s="130">
        <f>ROUND(+H1178*I1178,2)</f>
        <v>453.16</v>
      </c>
      <c r="K1178" s="130">
        <f>J1178*1.2</f>
        <v>543.79200000000003</v>
      </c>
      <c r="L1178" s="129"/>
      <c r="M1178" s="152"/>
      <c r="N1178" s="130">
        <f>+Table6[[#This Row],[стойност с ДДС]]-Table6[[#This Row],[плащане]]</f>
        <v>543.79200000000003</v>
      </c>
      <c r="O1178" s="209"/>
    </row>
    <row r="1179" spans="1:15" x14ac:dyDescent="0.3">
      <c r="A1179" s="116" t="s">
        <v>82</v>
      </c>
      <c r="B1179" s="394" t="s">
        <v>1712</v>
      </c>
      <c r="C1179" s="117">
        <v>45545</v>
      </c>
      <c r="D1179" s="116"/>
      <c r="E1179" s="97" t="s">
        <v>33</v>
      </c>
      <c r="F1179" s="118"/>
      <c r="G1179" s="116"/>
      <c r="H1179" s="141">
        <v>1</v>
      </c>
      <c r="I1179" s="142">
        <v>4234.24</v>
      </c>
      <c r="J1179" s="130">
        <f>ROUND(+H1179*I1179,2)</f>
        <v>4234.24</v>
      </c>
      <c r="K1179" s="130">
        <f>J1179*1.2</f>
        <v>5081.0879999999997</v>
      </c>
      <c r="L1179" s="129">
        <v>5081.0879999999997</v>
      </c>
      <c r="M1179" s="152">
        <v>45559</v>
      </c>
      <c r="N1179" s="130">
        <f>+Table6[[#This Row],[стойност с ДДС]]-Table6[[#This Row],[плащане]]</f>
        <v>0</v>
      </c>
      <c r="O1179" s="209"/>
    </row>
    <row r="1180" spans="1:15" x14ac:dyDescent="0.3">
      <c r="A1180" s="116" t="s">
        <v>82</v>
      </c>
      <c r="B1180" s="394" t="s">
        <v>1712</v>
      </c>
      <c r="C1180" s="117">
        <v>45545</v>
      </c>
      <c r="D1180" s="97"/>
      <c r="E1180" s="97" t="s">
        <v>33</v>
      </c>
      <c r="F1180" s="101"/>
      <c r="G1180" s="97"/>
      <c r="H1180" s="113">
        <v>1</v>
      </c>
      <c r="I1180" s="114">
        <v>32</v>
      </c>
      <c r="J1180" s="115">
        <f t="shared" ref="J1180:J1181" si="280">ROUND(+H1180*I1180,2)</f>
        <v>32</v>
      </c>
      <c r="K1180" s="115">
        <f t="shared" ref="K1180:K1181" si="281">J1180*1.2</f>
        <v>38.4</v>
      </c>
      <c r="L1180" s="104">
        <v>38.4</v>
      </c>
      <c r="M1180" s="152">
        <v>45559</v>
      </c>
      <c r="N1180" s="115">
        <f>+Table6[[#This Row],[стойност с ДДС]]-Table6[[#This Row],[плащане]]</f>
        <v>0</v>
      </c>
      <c r="O1180" s="208"/>
    </row>
    <row r="1181" spans="1:15" x14ac:dyDescent="0.3">
      <c r="A1181" s="116" t="s">
        <v>82</v>
      </c>
      <c r="B1181" s="394" t="s">
        <v>1712</v>
      </c>
      <c r="C1181" s="117">
        <v>45545</v>
      </c>
      <c r="D1181" s="97"/>
      <c r="E1181" s="97" t="s">
        <v>33</v>
      </c>
      <c r="F1181" s="101"/>
      <c r="G1181" s="97"/>
      <c r="H1181" s="113">
        <v>1</v>
      </c>
      <c r="I1181" s="114">
        <v>33.476999999999997</v>
      </c>
      <c r="J1181" s="115">
        <f t="shared" si="280"/>
        <v>33.479999999999997</v>
      </c>
      <c r="K1181" s="115">
        <f t="shared" si="281"/>
        <v>40.175999999999995</v>
      </c>
      <c r="L1181" s="104">
        <v>40.175999999999995</v>
      </c>
      <c r="M1181" s="152">
        <v>45559</v>
      </c>
      <c r="N1181" s="115">
        <f>+Table6[[#This Row],[стойност с ДДС]]-Table6[[#This Row],[плащане]]</f>
        <v>0</v>
      </c>
      <c r="O1181" s="208"/>
    </row>
    <row r="1182" spans="1:15" x14ac:dyDescent="0.3">
      <c r="A1182" s="116" t="s">
        <v>82</v>
      </c>
      <c r="B1182" s="394" t="s">
        <v>1712</v>
      </c>
      <c r="C1182" s="117">
        <v>45545</v>
      </c>
      <c r="D1182" s="116"/>
      <c r="E1182" s="116" t="s">
        <v>76</v>
      </c>
      <c r="F1182" s="118"/>
      <c r="G1182" s="116"/>
      <c r="H1182" s="141">
        <v>90</v>
      </c>
      <c r="I1182" s="142">
        <v>0.82769999999999999</v>
      </c>
      <c r="J1182" s="130">
        <f t="shared" ref="J1182:J1191" si="282">ROUND(+H1182*I1182,2)</f>
        <v>74.489999999999995</v>
      </c>
      <c r="K1182" s="130">
        <f t="shared" ref="K1182:K1191" si="283">J1182*1.2</f>
        <v>89.387999999999991</v>
      </c>
      <c r="L1182" s="129">
        <v>89.387999999999991</v>
      </c>
      <c r="M1182" s="152">
        <v>45559</v>
      </c>
      <c r="N1182" s="130">
        <f>+Table6[[#This Row],[стойност с ДДС]]-Table6[[#This Row],[плащане]]</f>
        <v>0</v>
      </c>
      <c r="O1182" s="209"/>
    </row>
    <row r="1183" spans="1:15" x14ac:dyDescent="0.3">
      <c r="A1183" s="116" t="s">
        <v>82</v>
      </c>
      <c r="B1183" s="394" t="s">
        <v>1712</v>
      </c>
      <c r="C1183" s="117">
        <v>45545</v>
      </c>
      <c r="D1183" s="116"/>
      <c r="E1183" s="116" t="s">
        <v>63</v>
      </c>
      <c r="F1183" s="118"/>
      <c r="G1183" s="116"/>
      <c r="H1183" s="141">
        <v>60</v>
      </c>
      <c r="I1183" s="142">
        <v>0.85509999999999997</v>
      </c>
      <c r="J1183" s="130">
        <f t="shared" si="282"/>
        <v>51.31</v>
      </c>
      <c r="K1183" s="130">
        <f t="shared" si="283"/>
        <v>61.572000000000003</v>
      </c>
      <c r="L1183" s="129">
        <v>61.572000000000003</v>
      </c>
      <c r="M1183" s="152">
        <v>45559</v>
      </c>
      <c r="N1183" s="130">
        <f>+Table6[[#This Row],[стойност с ДДС]]-Table6[[#This Row],[плащане]]</f>
        <v>0</v>
      </c>
      <c r="O1183" s="209"/>
    </row>
    <row r="1184" spans="1:15" x14ac:dyDescent="0.3">
      <c r="A1184" s="116" t="s">
        <v>49</v>
      </c>
      <c r="B1184" s="394" t="s">
        <v>1713</v>
      </c>
      <c r="C1184" s="117">
        <v>45545</v>
      </c>
      <c r="D1184" s="116"/>
      <c r="E1184" s="97" t="s">
        <v>33</v>
      </c>
      <c r="F1184" s="118"/>
      <c r="G1184" s="116"/>
      <c r="H1184" s="141">
        <v>1</v>
      </c>
      <c r="I1184" s="142">
        <v>1450.44</v>
      </c>
      <c r="J1184" s="130">
        <f t="shared" si="282"/>
        <v>1450.44</v>
      </c>
      <c r="K1184" s="130">
        <f t="shared" si="283"/>
        <v>1740.528</v>
      </c>
      <c r="L1184" s="129">
        <v>1740.528</v>
      </c>
      <c r="M1184" s="152">
        <v>45550</v>
      </c>
      <c r="N1184" s="130">
        <f>+Table6[[#This Row],[стойност с ДДС]]-Table6[[#This Row],[плащане]]</f>
        <v>0</v>
      </c>
      <c r="O1184" s="209">
        <v>45551</v>
      </c>
    </row>
    <row r="1185" spans="1:15" x14ac:dyDescent="0.3">
      <c r="A1185" s="116" t="s">
        <v>49</v>
      </c>
      <c r="B1185" s="394" t="s">
        <v>1713</v>
      </c>
      <c r="C1185" s="117">
        <v>45545</v>
      </c>
      <c r="D1185" s="116"/>
      <c r="E1185" s="116" t="s">
        <v>63</v>
      </c>
      <c r="F1185" s="118"/>
      <c r="G1185" s="116"/>
      <c r="H1185" s="141">
        <v>1.42</v>
      </c>
      <c r="I1185" s="142">
        <v>25.654</v>
      </c>
      <c r="J1185" s="130">
        <f t="shared" si="282"/>
        <v>36.43</v>
      </c>
      <c r="K1185" s="130">
        <f t="shared" si="283"/>
        <v>43.716000000000001</v>
      </c>
      <c r="L1185" s="129">
        <v>43.716000000000001</v>
      </c>
      <c r="M1185" s="152">
        <v>45550</v>
      </c>
      <c r="N1185" s="130">
        <f>+Table6[[#This Row],[стойност с ДДС]]-Table6[[#This Row],[плащане]]</f>
        <v>0</v>
      </c>
      <c r="O1185" s="209">
        <v>45551</v>
      </c>
    </row>
    <row r="1186" spans="1:15" x14ac:dyDescent="0.3">
      <c r="A1186" s="116" t="s">
        <v>92</v>
      </c>
      <c r="B1186" s="394" t="s">
        <v>1714</v>
      </c>
      <c r="C1186" s="117">
        <v>45545</v>
      </c>
      <c r="D1186" s="116"/>
      <c r="E1186" s="97" t="s">
        <v>33</v>
      </c>
      <c r="F1186" s="118"/>
      <c r="G1186" s="116"/>
      <c r="H1186" s="141">
        <v>1</v>
      </c>
      <c r="I1186" s="142">
        <v>954.24</v>
      </c>
      <c r="J1186" s="130">
        <f t="shared" si="282"/>
        <v>954.24</v>
      </c>
      <c r="K1186" s="130">
        <f t="shared" si="283"/>
        <v>1145.088</v>
      </c>
      <c r="L1186" s="129"/>
      <c r="M1186" s="152"/>
      <c r="N1186" s="130">
        <f>+Table6[[#This Row],[стойност с ДДС]]-Table6[[#This Row],[плащане]]</f>
        <v>1145.088</v>
      </c>
      <c r="O1186" s="209"/>
    </row>
    <row r="1187" spans="1:15" x14ac:dyDescent="0.3">
      <c r="A1187" s="116" t="s">
        <v>50</v>
      </c>
      <c r="B1187" s="394" t="s">
        <v>1715</v>
      </c>
      <c r="C1187" s="117">
        <v>45545</v>
      </c>
      <c r="D1187" s="116"/>
      <c r="E1187" s="97" t="s">
        <v>53</v>
      </c>
      <c r="F1187" s="118"/>
      <c r="G1187" s="116"/>
      <c r="H1187" s="141">
        <v>250</v>
      </c>
      <c r="I1187" s="142">
        <v>63.7316</v>
      </c>
      <c r="J1187" s="130">
        <f t="shared" si="282"/>
        <v>15932.9</v>
      </c>
      <c r="K1187" s="130">
        <f t="shared" si="283"/>
        <v>19119.48</v>
      </c>
      <c r="L1187" s="129"/>
      <c r="M1187" s="152"/>
      <c r="N1187" s="130">
        <f>+Table6[[#This Row],[стойност с ДДС]]-Table6[[#This Row],[плащане]]</f>
        <v>19119.48</v>
      </c>
      <c r="O1187" s="209"/>
    </row>
    <row r="1188" spans="1:15" x14ac:dyDescent="0.3">
      <c r="A1188" s="116" t="s">
        <v>64</v>
      </c>
      <c r="B1188" s="394" t="s">
        <v>1716</v>
      </c>
      <c r="C1188" s="117">
        <v>45545</v>
      </c>
      <c r="D1188" s="116"/>
      <c r="E1188" s="97" t="s">
        <v>53</v>
      </c>
      <c r="F1188" s="118"/>
      <c r="G1188" s="116"/>
      <c r="H1188" s="141">
        <v>145</v>
      </c>
      <c r="I1188" s="142">
        <v>63.7316</v>
      </c>
      <c r="J1188" s="130">
        <f t="shared" si="282"/>
        <v>9241.08</v>
      </c>
      <c r="K1188" s="130">
        <f t="shared" si="283"/>
        <v>11089.296</v>
      </c>
      <c r="L1188" s="129"/>
      <c r="M1188" s="152"/>
      <c r="N1188" s="130">
        <f>+Table6[[#This Row],[стойност с ДДС]]-Table6[[#This Row],[плащане]]</f>
        <v>11089.296</v>
      </c>
      <c r="O1188" s="209"/>
    </row>
    <row r="1189" spans="1:15" x14ac:dyDescent="0.3">
      <c r="A1189" s="116" t="s">
        <v>62</v>
      </c>
      <c r="B1189" s="394" t="s">
        <v>1717</v>
      </c>
      <c r="C1189" s="117">
        <v>45545</v>
      </c>
      <c r="D1189" s="116"/>
      <c r="E1189" s="97" t="s">
        <v>53</v>
      </c>
      <c r="F1189" s="118"/>
      <c r="G1189" s="116"/>
      <c r="H1189" s="141">
        <v>650</v>
      </c>
      <c r="I1189" s="142">
        <v>63.7316</v>
      </c>
      <c r="J1189" s="130">
        <f t="shared" si="282"/>
        <v>41425.54</v>
      </c>
      <c r="K1189" s="130">
        <f t="shared" si="283"/>
        <v>49710.648000000001</v>
      </c>
      <c r="L1189" s="129"/>
      <c r="M1189" s="152"/>
      <c r="N1189" s="130">
        <f>+Table6[[#This Row],[стойност с ДДС]]-Table6[[#This Row],[плащане]]</f>
        <v>49710.648000000001</v>
      </c>
      <c r="O1189" s="209"/>
    </row>
    <row r="1190" spans="1:15" x14ac:dyDescent="0.3">
      <c r="A1190" s="116" t="s">
        <v>67</v>
      </c>
      <c r="B1190" s="394" t="s">
        <v>1718</v>
      </c>
      <c r="C1190" s="117">
        <v>45545</v>
      </c>
      <c r="D1190" s="116"/>
      <c r="E1190" s="97" t="s">
        <v>53</v>
      </c>
      <c r="F1190" s="118"/>
      <c r="G1190" s="116"/>
      <c r="H1190" s="141">
        <v>50</v>
      </c>
      <c r="I1190" s="142">
        <v>64.9435</v>
      </c>
      <c r="J1190" s="130">
        <f t="shared" si="282"/>
        <v>3247.18</v>
      </c>
      <c r="K1190" s="130">
        <f t="shared" si="283"/>
        <v>3896.6159999999995</v>
      </c>
      <c r="L1190" s="129"/>
      <c r="M1190" s="152"/>
      <c r="N1190" s="130">
        <f>+Table6[[#This Row],[стойност с ДДС]]-Table6[[#This Row],[плащане]]</f>
        <v>3896.6159999999995</v>
      </c>
      <c r="O1190" s="209"/>
    </row>
    <row r="1191" spans="1:15" x14ac:dyDescent="0.3">
      <c r="A1191" s="116" t="s">
        <v>83</v>
      </c>
      <c r="B1191" s="394" t="s">
        <v>1719</v>
      </c>
      <c r="C1191" s="117">
        <v>45545</v>
      </c>
      <c r="D1191" s="116"/>
      <c r="E1191" s="97" t="s">
        <v>53</v>
      </c>
      <c r="F1191" s="118"/>
      <c r="G1191" s="116"/>
      <c r="H1191" s="141">
        <v>45</v>
      </c>
      <c r="I1191" s="142">
        <v>63.7316</v>
      </c>
      <c r="J1191" s="130">
        <f t="shared" si="282"/>
        <v>2867.92</v>
      </c>
      <c r="K1191" s="130">
        <f t="shared" si="283"/>
        <v>3441.5039999999999</v>
      </c>
      <c r="L1191" s="129"/>
      <c r="M1191" s="152"/>
      <c r="N1191" s="130">
        <f>+Table6[[#This Row],[стойност с ДДС]]-Table6[[#This Row],[плащане]]</f>
        <v>3441.5039999999999</v>
      </c>
      <c r="O1191" s="209"/>
    </row>
    <row r="1192" spans="1:15" x14ac:dyDescent="0.3">
      <c r="A1192" s="97" t="s">
        <v>1182</v>
      </c>
      <c r="B1192" s="393" t="s">
        <v>1737</v>
      </c>
      <c r="C1192" s="110">
        <v>45548</v>
      </c>
      <c r="D1192" s="97"/>
      <c r="E1192" s="97" t="s">
        <v>36</v>
      </c>
      <c r="F1192" s="101">
        <v>162067</v>
      </c>
      <c r="G1192" s="116"/>
      <c r="H1192" s="113">
        <v>100</v>
      </c>
      <c r="I1192" s="114">
        <v>30.933</v>
      </c>
      <c r="J1192" s="130">
        <f t="shared" ref="J1192:J1197" si="284">ROUND(+H1192*I1192,2)</f>
        <v>3093.3</v>
      </c>
      <c r="K1192" s="130">
        <v>3093.3</v>
      </c>
      <c r="L1192" s="129">
        <v>3093.3</v>
      </c>
      <c r="M1192" s="152">
        <v>45534</v>
      </c>
      <c r="N1192" s="130">
        <f>+Table6[[#This Row],[стойност с ДДС]]-Table6[[#This Row],[плащане]]</f>
        <v>0</v>
      </c>
      <c r="O1192" s="209"/>
    </row>
    <row r="1193" spans="1:15" x14ac:dyDescent="0.3">
      <c r="A1193" s="97" t="s">
        <v>1182</v>
      </c>
      <c r="B1193" s="393" t="s">
        <v>1737</v>
      </c>
      <c r="C1193" s="110">
        <v>45548</v>
      </c>
      <c r="D1193" s="97"/>
      <c r="E1193" s="97" t="s">
        <v>36</v>
      </c>
      <c r="F1193" s="101">
        <v>162068</v>
      </c>
      <c r="G1193" s="97"/>
      <c r="H1193" s="113">
        <v>100</v>
      </c>
      <c r="I1193" s="114">
        <v>31.189</v>
      </c>
      <c r="J1193" s="115">
        <f t="shared" si="284"/>
        <v>3118.9</v>
      </c>
      <c r="K1193" s="115">
        <v>3118.9</v>
      </c>
      <c r="L1193" s="104">
        <v>3118.9</v>
      </c>
      <c r="M1193" s="107">
        <v>45536</v>
      </c>
      <c r="N1193" s="115">
        <f>+Table6[[#This Row],[стойност с ДДС]]-Table6[[#This Row],[плащане]]</f>
        <v>0</v>
      </c>
      <c r="O1193" s="208"/>
    </row>
    <row r="1194" spans="1:15" x14ac:dyDescent="0.3">
      <c r="A1194" s="116" t="s">
        <v>1182</v>
      </c>
      <c r="B1194" s="394" t="s">
        <v>1737</v>
      </c>
      <c r="C1194" s="117">
        <v>45548</v>
      </c>
      <c r="D1194" s="97"/>
      <c r="E1194" s="116" t="s">
        <v>36</v>
      </c>
      <c r="F1194" s="101">
        <v>162071</v>
      </c>
      <c r="G1194" s="97"/>
      <c r="H1194" s="113">
        <v>50</v>
      </c>
      <c r="I1194" s="114">
        <v>31.443999999999999</v>
      </c>
      <c r="J1194" s="115">
        <f t="shared" si="284"/>
        <v>1572.2</v>
      </c>
      <c r="K1194" s="115">
        <v>1572.2</v>
      </c>
      <c r="L1194" s="104">
        <v>1572.2</v>
      </c>
      <c r="M1194" s="107">
        <v>45536</v>
      </c>
      <c r="N1194" s="115">
        <f>+Table6[[#This Row],[стойност с ДДС]]-Table6[[#This Row],[плащане]]</f>
        <v>0</v>
      </c>
      <c r="O1194" s="208"/>
    </row>
    <row r="1195" spans="1:15" x14ac:dyDescent="0.3">
      <c r="A1195" s="116" t="s">
        <v>101</v>
      </c>
      <c r="B1195" s="394" t="s">
        <v>1749</v>
      </c>
      <c r="C1195" s="117">
        <v>45548</v>
      </c>
      <c r="D1195" s="116"/>
      <c r="E1195" s="116" t="s">
        <v>36</v>
      </c>
      <c r="F1195" s="118">
        <v>162057</v>
      </c>
      <c r="G1195" s="116"/>
      <c r="H1195" s="141">
        <v>50</v>
      </c>
      <c r="I1195" s="142">
        <v>60</v>
      </c>
      <c r="J1195" s="130">
        <f t="shared" si="284"/>
        <v>3000</v>
      </c>
      <c r="K1195" s="130">
        <f>J1195*1.2</f>
        <v>3600</v>
      </c>
      <c r="L1195" s="129"/>
      <c r="M1195" s="152"/>
      <c r="N1195" s="130">
        <f>+Table6[[#This Row],[стойност с ДДС]]-Table6[[#This Row],[плащане]]</f>
        <v>3600</v>
      </c>
      <c r="O1195" s="209"/>
    </row>
    <row r="1196" spans="1:15" x14ac:dyDescent="0.3">
      <c r="A1196" s="116" t="s">
        <v>101</v>
      </c>
      <c r="B1196" s="393" t="s">
        <v>1783</v>
      </c>
      <c r="C1196" s="110">
        <v>45561</v>
      </c>
      <c r="D1196" s="97"/>
      <c r="E1196" s="116" t="s">
        <v>36</v>
      </c>
      <c r="F1196" s="415">
        <v>162790</v>
      </c>
      <c r="G1196" s="97"/>
      <c r="H1196" s="113">
        <v>100</v>
      </c>
      <c r="I1196" s="114">
        <v>55.6</v>
      </c>
      <c r="J1196" s="115">
        <f t="shared" si="284"/>
        <v>5560</v>
      </c>
      <c r="K1196" s="115">
        <f>J1196*1.2</f>
        <v>6672</v>
      </c>
      <c r="L1196" s="104"/>
      <c r="M1196" s="107"/>
      <c r="N1196" s="115">
        <f>+Table6[[#This Row],[стойност с ДДС]]-Table6[[#This Row],[плащане]]</f>
        <v>6672</v>
      </c>
      <c r="O1196" s="208"/>
    </row>
    <row r="1197" spans="1:15" x14ac:dyDescent="0.3">
      <c r="A1197" s="116" t="s">
        <v>101</v>
      </c>
      <c r="B1197" s="394" t="s">
        <v>1783</v>
      </c>
      <c r="C1197" s="117">
        <v>45561</v>
      </c>
      <c r="D1197" s="116"/>
      <c r="E1197" s="116" t="s">
        <v>36</v>
      </c>
      <c r="F1197" s="118">
        <v>162793</v>
      </c>
      <c r="G1197" s="116"/>
      <c r="H1197" s="141">
        <v>50</v>
      </c>
      <c r="I1197" s="142">
        <v>56.6</v>
      </c>
      <c r="J1197" s="130">
        <f t="shared" si="284"/>
        <v>2830</v>
      </c>
      <c r="K1197" s="130">
        <f>J1197*1.2</f>
        <v>3396</v>
      </c>
      <c r="L1197" s="129"/>
      <c r="M1197" s="152"/>
      <c r="N1197" s="130">
        <f>+Table6[[#This Row],[стойност с ДДС]]-Table6[[#This Row],[плащане]]</f>
        <v>3396</v>
      </c>
      <c r="O1197" s="209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0FE-4CF3-4571-A5E3-F8EEC6EAA00D}">
  <sheetPr codeName="Sheet2">
    <tabColor theme="2" tint="-0.249977111117893"/>
  </sheetPr>
  <dimension ref="A1:O1349"/>
  <sheetViews>
    <sheetView topLeftCell="A1318" zoomScale="70" zoomScaleNormal="70" workbookViewId="0">
      <selection activeCell="I1350" sqref="I1350"/>
    </sheetView>
  </sheetViews>
  <sheetFormatPr defaultColWidth="9.140625" defaultRowHeight="20.100000000000001" customHeight="1" x14ac:dyDescent="0.25"/>
  <cols>
    <col min="1" max="1" width="48.7109375" style="108" customWidth="1"/>
    <col min="2" max="2" width="24.28515625" style="390" bestFit="1" customWidth="1"/>
    <col min="3" max="3" width="19.5703125" style="108" customWidth="1"/>
    <col min="4" max="4" width="0.140625" style="221" customWidth="1"/>
    <col min="5" max="5" width="70.7109375" style="222" customWidth="1"/>
    <col min="6" max="6" width="17.7109375" style="108" customWidth="1"/>
    <col min="7" max="7" width="12.7109375" style="108" customWidth="1"/>
    <col min="8" max="8" width="18.42578125" style="223" customWidth="1"/>
    <col min="9" max="9" width="14.140625" style="223" customWidth="1"/>
    <col min="10" max="10" width="19.140625" style="223" customWidth="1"/>
    <col min="11" max="11" width="21.28515625" style="153" bestFit="1" customWidth="1"/>
    <col min="12" max="12" width="15" style="154" customWidth="1"/>
    <col min="13" max="13" width="15.28515625" style="154" customWidth="1"/>
    <col min="14" max="14" width="19.28515625" style="108" customWidth="1"/>
    <col min="15" max="15" width="13.85546875" customWidth="1"/>
    <col min="16" max="16384" width="9.140625" style="108"/>
  </cols>
  <sheetData>
    <row r="1" spans="1:15" s="92" customFormat="1" ht="27" customHeight="1" x14ac:dyDescent="0.25">
      <c r="A1" s="211" t="s">
        <v>124</v>
      </c>
      <c r="B1" s="386" t="s">
        <v>125</v>
      </c>
      <c r="C1" s="212" t="s">
        <v>18</v>
      </c>
      <c r="D1" s="212" t="s">
        <v>19</v>
      </c>
      <c r="E1" s="213" t="s">
        <v>126</v>
      </c>
      <c r="F1" s="212" t="s">
        <v>21</v>
      </c>
      <c r="G1" s="212" t="s">
        <v>22</v>
      </c>
      <c r="H1" s="214" t="s">
        <v>127</v>
      </c>
      <c r="I1" s="215" t="s">
        <v>24</v>
      </c>
      <c r="J1" s="215" t="s">
        <v>25</v>
      </c>
      <c r="K1" s="216" t="s">
        <v>26</v>
      </c>
      <c r="L1" s="217" t="s">
        <v>128</v>
      </c>
      <c r="M1" s="218" t="s">
        <v>28</v>
      </c>
      <c r="N1" s="219" t="s">
        <v>29</v>
      </c>
      <c r="O1" s="217" t="s">
        <v>30</v>
      </c>
    </row>
    <row r="2" spans="1:15" ht="20.100000000000001" customHeight="1" x14ac:dyDescent="0.3">
      <c r="A2" s="151" t="s">
        <v>101</v>
      </c>
      <c r="B2" s="387" t="s">
        <v>129</v>
      </c>
      <c r="C2" s="371">
        <v>45292</v>
      </c>
      <c r="D2" s="322" t="s">
        <v>130</v>
      </c>
      <c r="E2" s="323" t="s">
        <v>131</v>
      </c>
      <c r="F2" s="409" t="s">
        <v>132</v>
      </c>
      <c r="G2" s="322" t="s">
        <v>133</v>
      </c>
      <c r="H2" s="324">
        <v>50</v>
      </c>
      <c r="I2" s="325">
        <v>60</v>
      </c>
      <c r="J2" s="325">
        <f t="shared" ref="J2:J65" si="0">I2*H2</f>
        <v>3000</v>
      </c>
      <c r="K2" s="318">
        <f t="shared" ref="K2:K44" si="1">J2*1.2</f>
        <v>3600</v>
      </c>
      <c r="L2" s="318"/>
      <c r="M2" s="371"/>
      <c r="N2" s="322"/>
      <c r="O2" s="327"/>
    </row>
    <row r="3" spans="1:15" ht="20.100000000000001" customHeight="1" x14ac:dyDescent="0.3">
      <c r="A3" s="151" t="s">
        <v>101</v>
      </c>
      <c r="B3" s="387" t="s">
        <v>134</v>
      </c>
      <c r="C3" s="371">
        <v>45293</v>
      </c>
      <c r="D3" s="322" t="s">
        <v>135</v>
      </c>
      <c r="E3" s="323" t="s">
        <v>131</v>
      </c>
      <c r="F3" s="409"/>
      <c r="G3" s="322" t="s">
        <v>133</v>
      </c>
      <c r="H3" s="324">
        <v>28</v>
      </c>
      <c r="I3" s="325">
        <v>57.8</v>
      </c>
      <c r="J3" s="325">
        <f t="shared" si="0"/>
        <v>1618.3999999999999</v>
      </c>
      <c r="K3" s="318">
        <f t="shared" si="1"/>
        <v>1942.0799999999997</v>
      </c>
      <c r="L3" s="318"/>
      <c r="M3" s="371"/>
      <c r="N3" s="322"/>
      <c r="O3" s="327"/>
    </row>
    <row r="4" spans="1:15" ht="20.100000000000001" customHeight="1" x14ac:dyDescent="0.3">
      <c r="A4" s="151" t="s">
        <v>118</v>
      </c>
      <c r="B4" s="378" t="s">
        <v>136</v>
      </c>
      <c r="C4" s="371">
        <v>45297</v>
      </c>
      <c r="D4" s="322" t="s">
        <v>137</v>
      </c>
      <c r="E4" s="323" t="s">
        <v>131</v>
      </c>
      <c r="F4" s="409"/>
      <c r="G4" s="322" t="s">
        <v>133</v>
      </c>
      <c r="H4" s="324">
        <v>50</v>
      </c>
      <c r="I4" s="325">
        <v>53</v>
      </c>
      <c r="J4" s="325">
        <f t="shared" si="0"/>
        <v>2650</v>
      </c>
      <c r="K4" s="318">
        <f t="shared" si="1"/>
        <v>3180</v>
      </c>
      <c r="L4" s="318"/>
      <c r="M4" s="371"/>
      <c r="N4" s="322"/>
      <c r="O4" s="327"/>
    </row>
    <row r="5" spans="1:15" ht="20.100000000000001" customHeight="1" x14ac:dyDescent="0.3">
      <c r="A5" s="151" t="s">
        <v>118</v>
      </c>
      <c r="B5" s="378" t="s">
        <v>138</v>
      </c>
      <c r="C5" s="371" t="s">
        <v>139</v>
      </c>
      <c r="D5" s="322" t="s">
        <v>140</v>
      </c>
      <c r="E5" s="323" t="s">
        <v>131</v>
      </c>
      <c r="F5" s="409"/>
      <c r="G5" s="322" t="s">
        <v>133</v>
      </c>
      <c r="H5" s="324">
        <v>50</v>
      </c>
      <c r="I5" s="325">
        <v>55</v>
      </c>
      <c r="J5" s="325">
        <f t="shared" si="0"/>
        <v>2750</v>
      </c>
      <c r="K5" s="318">
        <f t="shared" si="1"/>
        <v>3300</v>
      </c>
      <c r="L5" s="318"/>
      <c r="M5" s="371"/>
      <c r="N5" s="322"/>
      <c r="O5" s="327"/>
    </row>
    <row r="6" spans="1:15" ht="20.100000000000001" customHeight="1" x14ac:dyDescent="0.3">
      <c r="A6" s="151" t="s">
        <v>141</v>
      </c>
      <c r="B6" s="378" t="s">
        <v>142</v>
      </c>
      <c r="C6" s="371" t="s">
        <v>143</v>
      </c>
      <c r="D6" s="322" t="s">
        <v>140</v>
      </c>
      <c r="E6" s="323" t="s">
        <v>131</v>
      </c>
      <c r="F6" s="409"/>
      <c r="G6" s="322" t="s">
        <v>133</v>
      </c>
      <c r="H6" s="324">
        <v>500</v>
      </c>
      <c r="I6" s="325">
        <v>58</v>
      </c>
      <c r="J6" s="325">
        <f t="shared" si="0"/>
        <v>29000</v>
      </c>
      <c r="K6" s="318">
        <f t="shared" si="1"/>
        <v>34800</v>
      </c>
      <c r="L6" s="318"/>
      <c r="M6" s="371"/>
      <c r="N6" s="322"/>
      <c r="O6" s="327"/>
    </row>
    <row r="7" spans="1:15" ht="20.100000000000001" customHeight="1" x14ac:dyDescent="0.3">
      <c r="A7" s="206" t="s">
        <v>37</v>
      </c>
      <c r="B7" s="378" t="s">
        <v>144</v>
      </c>
      <c r="C7" s="371" t="s">
        <v>139</v>
      </c>
      <c r="D7" s="322" t="s">
        <v>140</v>
      </c>
      <c r="E7" s="323" t="s">
        <v>131</v>
      </c>
      <c r="F7" s="409"/>
      <c r="G7" s="322" t="s">
        <v>133</v>
      </c>
      <c r="H7" s="324">
        <v>300</v>
      </c>
      <c r="I7" s="325">
        <v>47</v>
      </c>
      <c r="J7" s="325">
        <f t="shared" si="0"/>
        <v>14100</v>
      </c>
      <c r="K7" s="318">
        <f t="shared" si="1"/>
        <v>16920</v>
      </c>
      <c r="L7" s="318"/>
      <c r="M7" s="371"/>
      <c r="N7" s="322"/>
      <c r="O7" s="327"/>
    </row>
    <row r="8" spans="1:15" ht="20.100000000000001" customHeight="1" x14ac:dyDescent="0.3">
      <c r="A8" s="151" t="s">
        <v>141</v>
      </c>
      <c r="B8" s="378" t="s">
        <v>145</v>
      </c>
      <c r="C8" s="371" t="s">
        <v>146</v>
      </c>
      <c r="D8" s="322" t="s">
        <v>147</v>
      </c>
      <c r="E8" s="323" t="s">
        <v>131</v>
      </c>
      <c r="F8" s="409"/>
      <c r="G8" s="322" t="s">
        <v>133</v>
      </c>
      <c r="H8" s="324">
        <v>800</v>
      </c>
      <c r="I8" s="325">
        <v>57.5</v>
      </c>
      <c r="J8" s="325">
        <f t="shared" si="0"/>
        <v>46000</v>
      </c>
      <c r="K8" s="318">
        <f t="shared" si="1"/>
        <v>55200</v>
      </c>
      <c r="L8" s="318"/>
      <c r="M8" s="371"/>
      <c r="N8" s="322"/>
      <c r="O8" s="327"/>
    </row>
    <row r="9" spans="1:15" ht="20.100000000000001" customHeight="1" x14ac:dyDescent="0.3">
      <c r="A9" s="151" t="s">
        <v>141</v>
      </c>
      <c r="B9" s="378" t="s">
        <v>148</v>
      </c>
      <c r="C9" s="371" t="s">
        <v>149</v>
      </c>
      <c r="D9" s="322" t="s">
        <v>150</v>
      </c>
      <c r="E9" s="323" t="s">
        <v>131</v>
      </c>
      <c r="F9" s="409"/>
      <c r="G9" s="322" t="s">
        <v>133</v>
      </c>
      <c r="H9" s="324">
        <v>500</v>
      </c>
      <c r="I9" s="325">
        <v>59.8</v>
      </c>
      <c r="J9" s="325">
        <f t="shared" si="0"/>
        <v>29900</v>
      </c>
      <c r="K9" s="318">
        <f t="shared" si="1"/>
        <v>35880</v>
      </c>
      <c r="L9" s="318"/>
      <c r="M9" s="371"/>
      <c r="N9" s="322"/>
      <c r="O9" s="327"/>
    </row>
    <row r="10" spans="1:15" ht="20.100000000000001" customHeight="1" x14ac:dyDescent="0.3">
      <c r="A10" s="151" t="s">
        <v>141</v>
      </c>
      <c r="B10" s="378" t="s">
        <v>148</v>
      </c>
      <c r="C10" s="371">
        <v>45293</v>
      </c>
      <c r="D10" s="322" t="s">
        <v>150</v>
      </c>
      <c r="E10" s="323" t="s">
        <v>131</v>
      </c>
      <c r="F10" s="409"/>
      <c r="G10" s="322" t="s">
        <v>133</v>
      </c>
      <c r="H10" s="324">
        <v>520</v>
      </c>
      <c r="I10" s="325">
        <v>59</v>
      </c>
      <c r="J10" s="325">
        <f t="shared" si="0"/>
        <v>30680</v>
      </c>
      <c r="K10" s="318">
        <f t="shared" si="1"/>
        <v>36816</v>
      </c>
      <c r="L10" s="318"/>
      <c r="M10" s="371"/>
      <c r="N10" s="322"/>
      <c r="O10" s="327"/>
    </row>
    <row r="11" spans="1:15" ht="20.100000000000001" customHeight="1" x14ac:dyDescent="0.3">
      <c r="A11" s="151" t="s">
        <v>141</v>
      </c>
      <c r="B11" s="378" t="s">
        <v>148</v>
      </c>
      <c r="C11" s="371">
        <v>45293</v>
      </c>
      <c r="D11" s="322" t="s">
        <v>150</v>
      </c>
      <c r="E11" s="323" t="s">
        <v>131</v>
      </c>
      <c r="F11" s="409"/>
      <c r="G11" s="322" t="s">
        <v>133</v>
      </c>
      <c r="H11" s="324">
        <v>500</v>
      </c>
      <c r="I11" s="325">
        <v>58.5</v>
      </c>
      <c r="J11" s="325">
        <f t="shared" si="0"/>
        <v>29250</v>
      </c>
      <c r="K11" s="318">
        <f t="shared" si="1"/>
        <v>35100</v>
      </c>
      <c r="L11" s="318"/>
      <c r="M11" s="371"/>
      <c r="N11" s="322"/>
      <c r="O11" s="327"/>
    </row>
    <row r="12" spans="1:15" ht="20.100000000000001" customHeight="1" x14ac:dyDescent="0.3">
      <c r="A12" s="151" t="s">
        <v>141</v>
      </c>
      <c r="B12" s="378" t="s">
        <v>151</v>
      </c>
      <c r="C12" s="371">
        <v>45292</v>
      </c>
      <c r="D12" s="322" t="s">
        <v>130</v>
      </c>
      <c r="E12" s="323" t="s">
        <v>131</v>
      </c>
      <c r="F12" s="409"/>
      <c r="G12" s="322" t="s">
        <v>133</v>
      </c>
      <c r="H12" s="324">
        <v>200</v>
      </c>
      <c r="I12" s="325">
        <v>57</v>
      </c>
      <c r="J12" s="325">
        <f t="shared" si="0"/>
        <v>11400</v>
      </c>
      <c r="K12" s="318">
        <f t="shared" si="1"/>
        <v>13680</v>
      </c>
      <c r="L12" s="318"/>
      <c r="M12" s="371"/>
      <c r="N12" s="322"/>
      <c r="O12" s="327"/>
    </row>
    <row r="13" spans="1:15" ht="20.100000000000001" customHeight="1" x14ac:dyDescent="0.3">
      <c r="A13" s="151" t="s">
        <v>141</v>
      </c>
      <c r="B13" s="378" t="s">
        <v>151</v>
      </c>
      <c r="C13" s="371">
        <v>45292</v>
      </c>
      <c r="D13" s="322" t="s">
        <v>130</v>
      </c>
      <c r="E13" s="323" t="s">
        <v>131</v>
      </c>
      <c r="F13" s="409"/>
      <c r="G13" s="322" t="s">
        <v>133</v>
      </c>
      <c r="H13" s="324">
        <v>20</v>
      </c>
      <c r="I13" s="325">
        <v>61</v>
      </c>
      <c r="J13" s="325">
        <f t="shared" si="0"/>
        <v>1220</v>
      </c>
      <c r="K13" s="318">
        <f t="shared" si="1"/>
        <v>1464</v>
      </c>
      <c r="L13" s="318"/>
      <c r="M13" s="371"/>
      <c r="N13" s="322"/>
      <c r="O13" s="327"/>
    </row>
    <row r="14" spans="1:15" ht="20.100000000000001" customHeight="1" x14ac:dyDescent="0.3">
      <c r="A14" s="151" t="s">
        <v>141</v>
      </c>
      <c r="B14" s="378" t="s">
        <v>151</v>
      </c>
      <c r="C14" s="371" t="s">
        <v>152</v>
      </c>
      <c r="D14" s="322" t="s">
        <v>130</v>
      </c>
      <c r="E14" s="323" t="s">
        <v>131</v>
      </c>
      <c r="F14" s="409"/>
      <c r="G14" s="322" t="s">
        <v>133</v>
      </c>
      <c r="H14" s="324">
        <v>1000</v>
      </c>
      <c r="I14" s="325">
        <v>58</v>
      </c>
      <c r="J14" s="325">
        <f t="shared" si="0"/>
        <v>58000</v>
      </c>
      <c r="K14" s="318">
        <f t="shared" si="1"/>
        <v>69600</v>
      </c>
      <c r="L14" s="318"/>
      <c r="M14" s="371"/>
      <c r="N14" s="322"/>
      <c r="O14" s="327"/>
    </row>
    <row r="15" spans="1:15" ht="20.100000000000001" customHeight="1" x14ac:dyDescent="0.3">
      <c r="A15" s="151" t="s">
        <v>153</v>
      </c>
      <c r="B15" s="378" t="s">
        <v>154</v>
      </c>
      <c r="C15" s="371">
        <v>45289</v>
      </c>
      <c r="D15" s="322" t="s">
        <v>130</v>
      </c>
      <c r="E15" s="323" t="s">
        <v>131</v>
      </c>
      <c r="F15" s="409"/>
      <c r="G15" s="322" t="s">
        <v>133</v>
      </c>
      <c r="H15" s="324">
        <v>500</v>
      </c>
      <c r="I15" s="325">
        <v>58.5</v>
      </c>
      <c r="J15" s="325">
        <f t="shared" si="0"/>
        <v>29250</v>
      </c>
      <c r="K15" s="318">
        <f t="shared" si="1"/>
        <v>35100</v>
      </c>
      <c r="L15" s="318"/>
      <c r="M15" s="371"/>
      <c r="N15" s="322"/>
      <c r="O15" s="327"/>
    </row>
    <row r="16" spans="1:15" ht="20.100000000000001" customHeight="1" x14ac:dyDescent="0.3">
      <c r="A16" s="151" t="s">
        <v>118</v>
      </c>
      <c r="B16" s="378" t="s">
        <v>155</v>
      </c>
      <c r="C16" s="371">
        <v>45299</v>
      </c>
      <c r="D16" s="322" t="s">
        <v>156</v>
      </c>
      <c r="E16" s="323" t="s">
        <v>131</v>
      </c>
      <c r="F16" s="409"/>
      <c r="G16" s="322" t="s">
        <v>133</v>
      </c>
      <c r="H16" s="324">
        <v>100</v>
      </c>
      <c r="I16" s="325">
        <v>63.5</v>
      </c>
      <c r="J16" s="325">
        <f t="shared" si="0"/>
        <v>6350</v>
      </c>
      <c r="K16" s="318">
        <f t="shared" si="1"/>
        <v>7620</v>
      </c>
      <c r="L16" s="318"/>
      <c r="M16" s="371"/>
      <c r="N16" s="322"/>
      <c r="O16" s="327"/>
    </row>
    <row r="17" spans="1:15" ht="20.100000000000001" customHeight="1" x14ac:dyDescent="0.3">
      <c r="A17" s="151" t="s">
        <v>157</v>
      </c>
      <c r="B17" s="378" t="s">
        <v>158</v>
      </c>
      <c r="C17" s="371">
        <v>45299</v>
      </c>
      <c r="D17" s="322" t="s">
        <v>156</v>
      </c>
      <c r="E17" s="323" t="s">
        <v>131</v>
      </c>
      <c r="F17" s="409"/>
      <c r="G17" s="322" t="s">
        <v>133</v>
      </c>
      <c r="H17" s="324">
        <v>20</v>
      </c>
      <c r="I17" s="325">
        <v>62</v>
      </c>
      <c r="J17" s="325">
        <f t="shared" si="0"/>
        <v>1240</v>
      </c>
      <c r="K17" s="318">
        <f t="shared" si="1"/>
        <v>1488</v>
      </c>
      <c r="L17" s="318"/>
      <c r="M17" s="371"/>
      <c r="N17" s="322"/>
      <c r="O17" s="327"/>
    </row>
    <row r="18" spans="1:15" ht="20.100000000000001" customHeight="1" x14ac:dyDescent="0.3">
      <c r="A18" s="151" t="s">
        <v>157</v>
      </c>
      <c r="B18" s="378" t="s">
        <v>158</v>
      </c>
      <c r="C18" s="371">
        <v>45299</v>
      </c>
      <c r="D18" s="322" t="s">
        <v>156</v>
      </c>
      <c r="E18" s="323" t="s">
        <v>131</v>
      </c>
      <c r="F18" s="409"/>
      <c r="G18" s="322" t="s">
        <v>133</v>
      </c>
      <c r="H18" s="324">
        <v>300</v>
      </c>
      <c r="I18" s="325">
        <v>60.5</v>
      </c>
      <c r="J18" s="325">
        <f t="shared" si="0"/>
        <v>18150</v>
      </c>
      <c r="K18" s="318">
        <f t="shared" si="1"/>
        <v>21780</v>
      </c>
      <c r="L18" s="318"/>
      <c r="M18" s="371"/>
      <c r="N18" s="322"/>
      <c r="O18" s="327"/>
    </row>
    <row r="19" spans="1:15" ht="20.100000000000001" customHeight="1" x14ac:dyDescent="0.3">
      <c r="A19" s="151" t="s">
        <v>157</v>
      </c>
      <c r="B19" s="378" t="s">
        <v>158</v>
      </c>
      <c r="C19" s="371">
        <v>45299</v>
      </c>
      <c r="D19" s="322" t="s">
        <v>156</v>
      </c>
      <c r="E19" s="323" t="s">
        <v>131</v>
      </c>
      <c r="F19" s="409"/>
      <c r="G19" s="322" t="s">
        <v>133</v>
      </c>
      <c r="H19" s="324">
        <v>500</v>
      </c>
      <c r="I19" s="325">
        <v>60.5</v>
      </c>
      <c r="J19" s="325">
        <f t="shared" si="0"/>
        <v>30250</v>
      </c>
      <c r="K19" s="318">
        <f t="shared" si="1"/>
        <v>36300</v>
      </c>
      <c r="L19" s="318"/>
      <c r="M19" s="371"/>
      <c r="N19" s="322"/>
      <c r="O19" s="327"/>
    </row>
    <row r="20" spans="1:15" ht="20.100000000000001" customHeight="1" x14ac:dyDescent="0.3">
      <c r="A20" s="151" t="s">
        <v>159</v>
      </c>
      <c r="B20" s="378" t="s">
        <v>160</v>
      </c>
      <c r="C20" s="371">
        <v>45292</v>
      </c>
      <c r="D20" s="322" t="s">
        <v>161</v>
      </c>
      <c r="E20" s="323" t="s">
        <v>131</v>
      </c>
      <c r="F20" s="409"/>
      <c r="G20" s="322" t="s">
        <v>133</v>
      </c>
      <c r="H20" s="324">
        <v>50</v>
      </c>
      <c r="I20" s="325">
        <f>30.92805*1.95583</f>
        <v>60.490008031499997</v>
      </c>
      <c r="J20" s="325">
        <f t="shared" si="0"/>
        <v>3024.5004015750001</v>
      </c>
      <c r="K20" s="318">
        <f>J20</f>
        <v>3024.5004015750001</v>
      </c>
      <c r="L20" s="318"/>
      <c r="M20" s="371"/>
      <c r="N20" s="322"/>
      <c r="O20" s="327"/>
    </row>
    <row r="21" spans="1:15" ht="20.100000000000001" customHeight="1" x14ac:dyDescent="0.3">
      <c r="A21" s="151" t="s">
        <v>101</v>
      </c>
      <c r="B21" s="387" t="s">
        <v>162</v>
      </c>
      <c r="C21" s="371" t="s">
        <v>163</v>
      </c>
      <c r="D21" s="322" t="s">
        <v>161</v>
      </c>
      <c r="E21" s="323" t="s">
        <v>131</v>
      </c>
      <c r="F21" s="409"/>
      <c r="G21" s="322" t="s">
        <v>133</v>
      </c>
      <c r="H21" s="324">
        <v>40</v>
      </c>
      <c r="I21" s="325">
        <v>62</v>
      </c>
      <c r="J21" s="325">
        <f t="shared" si="0"/>
        <v>2480</v>
      </c>
      <c r="K21" s="318">
        <f t="shared" si="1"/>
        <v>2976</v>
      </c>
      <c r="L21" s="318"/>
      <c r="M21" s="371"/>
      <c r="N21" s="322"/>
      <c r="O21" s="327"/>
    </row>
    <row r="22" spans="1:15" ht="20.100000000000001" customHeight="1" x14ac:dyDescent="0.3">
      <c r="A22" s="151" t="s">
        <v>118</v>
      </c>
      <c r="B22" s="378" t="s">
        <v>164</v>
      </c>
      <c r="C22" s="371">
        <v>45300</v>
      </c>
      <c r="D22" s="322" t="s">
        <v>161</v>
      </c>
      <c r="E22" s="323" t="s">
        <v>131</v>
      </c>
      <c r="F22" s="409"/>
      <c r="G22" s="322" t="s">
        <v>133</v>
      </c>
      <c r="H22" s="324">
        <v>300</v>
      </c>
      <c r="I22" s="325">
        <v>62</v>
      </c>
      <c r="J22" s="325">
        <f t="shared" si="0"/>
        <v>18600</v>
      </c>
      <c r="K22" s="318">
        <f t="shared" si="1"/>
        <v>22320</v>
      </c>
      <c r="L22" s="318"/>
      <c r="M22" s="371"/>
      <c r="N22" s="322"/>
      <c r="O22" s="327"/>
    </row>
    <row r="23" spans="1:15" ht="20.100000000000001" customHeight="1" x14ac:dyDescent="0.3">
      <c r="A23" s="151" t="s">
        <v>118</v>
      </c>
      <c r="B23" s="378" t="s">
        <v>164</v>
      </c>
      <c r="C23" s="371">
        <v>45300</v>
      </c>
      <c r="D23" s="322" t="s">
        <v>161</v>
      </c>
      <c r="E23" s="323" t="s">
        <v>131</v>
      </c>
      <c r="F23" s="409"/>
      <c r="G23" s="322" t="s">
        <v>133</v>
      </c>
      <c r="H23" s="324">
        <v>100</v>
      </c>
      <c r="I23" s="325">
        <v>63</v>
      </c>
      <c r="J23" s="325">
        <f t="shared" si="0"/>
        <v>6300</v>
      </c>
      <c r="K23" s="318">
        <f t="shared" si="1"/>
        <v>7560</v>
      </c>
      <c r="L23" s="318"/>
      <c r="M23" s="371"/>
      <c r="N23" s="322"/>
      <c r="O23" s="327"/>
    </row>
    <row r="24" spans="1:15" ht="20.100000000000001" customHeight="1" x14ac:dyDescent="0.3">
      <c r="A24" s="151" t="s">
        <v>118</v>
      </c>
      <c r="B24" s="378" t="s">
        <v>164</v>
      </c>
      <c r="C24" s="371">
        <v>45300</v>
      </c>
      <c r="D24" s="322" t="s">
        <v>161</v>
      </c>
      <c r="E24" s="323" t="s">
        <v>131</v>
      </c>
      <c r="F24" s="409"/>
      <c r="G24" s="322" t="s">
        <v>133</v>
      </c>
      <c r="H24" s="324">
        <v>500</v>
      </c>
      <c r="I24" s="325">
        <v>61</v>
      </c>
      <c r="J24" s="325">
        <f t="shared" si="0"/>
        <v>30500</v>
      </c>
      <c r="K24" s="318">
        <f t="shared" si="1"/>
        <v>36600</v>
      </c>
      <c r="L24" s="318"/>
      <c r="M24" s="371"/>
      <c r="N24" s="322"/>
      <c r="O24" s="327"/>
    </row>
    <row r="25" spans="1:15" ht="20.100000000000001" customHeight="1" x14ac:dyDescent="0.3">
      <c r="A25" s="151" t="s">
        <v>118</v>
      </c>
      <c r="B25" s="378" t="s">
        <v>164</v>
      </c>
      <c r="C25" s="371">
        <v>45300</v>
      </c>
      <c r="D25" s="322" t="s">
        <v>161</v>
      </c>
      <c r="E25" s="323" t="s">
        <v>131</v>
      </c>
      <c r="F25" s="409"/>
      <c r="G25" s="322" t="s">
        <v>133</v>
      </c>
      <c r="H25" s="324">
        <v>1000</v>
      </c>
      <c r="I25" s="325">
        <v>60</v>
      </c>
      <c r="J25" s="325">
        <f t="shared" si="0"/>
        <v>60000</v>
      </c>
      <c r="K25" s="318">
        <f t="shared" si="1"/>
        <v>72000</v>
      </c>
      <c r="L25" s="318"/>
      <c r="M25" s="371"/>
      <c r="N25" s="322"/>
      <c r="O25" s="327"/>
    </row>
    <row r="26" spans="1:15" ht="20.100000000000001" customHeight="1" x14ac:dyDescent="0.3">
      <c r="A26" s="151" t="s">
        <v>118</v>
      </c>
      <c r="B26" s="378" t="s">
        <v>164</v>
      </c>
      <c r="C26" s="371">
        <v>45300</v>
      </c>
      <c r="D26" s="322" t="s">
        <v>161</v>
      </c>
      <c r="E26" s="323" t="s">
        <v>131</v>
      </c>
      <c r="F26" s="409"/>
      <c r="G26" s="322" t="s">
        <v>133</v>
      </c>
      <c r="H26" s="324">
        <v>100</v>
      </c>
      <c r="I26" s="325">
        <v>60</v>
      </c>
      <c r="J26" s="325">
        <f>I26*H26</f>
        <v>6000</v>
      </c>
      <c r="K26" s="318">
        <f t="shared" si="1"/>
        <v>7200</v>
      </c>
      <c r="L26" s="318"/>
      <c r="M26" s="371"/>
      <c r="N26" s="322"/>
      <c r="O26" s="327"/>
    </row>
    <row r="27" spans="1:15" ht="20.100000000000001" customHeight="1" x14ac:dyDescent="0.3">
      <c r="A27" s="151" t="s">
        <v>118</v>
      </c>
      <c r="B27" s="378" t="s">
        <v>164</v>
      </c>
      <c r="C27" s="371">
        <v>45300</v>
      </c>
      <c r="D27" s="322" t="s">
        <v>161</v>
      </c>
      <c r="E27" s="323" t="s">
        <v>131</v>
      </c>
      <c r="F27" s="409"/>
      <c r="G27" s="322" t="s">
        <v>133</v>
      </c>
      <c r="H27" s="324">
        <v>100</v>
      </c>
      <c r="I27" s="325">
        <v>60</v>
      </c>
      <c r="J27" s="325">
        <f>I27*H27</f>
        <v>6000</v>
      </c>
      <c r="K27" s="318">
        <f t="shared" si="1"/>
        <v>7200</v>
      </c>
      <c r="L27" s="318"/>
      <c r="M27" s="371"/>
      <c r="N27" s="322"/>
      <c r="O27" s="327"/>
    </row>
    <row r="28" spans="1:15" ht="20.100000000000001" customHeight="1" x14ac:dyDescent="0.3">
      <c r="A28" s="206" t="s">
        <v>37</v>
      </c>
      <c r="B28" s="378" t="s">
        <v>165</v>
      </c>
      <c r="C28" s="371">
        <v>45300</v>
      </c>
      <c r="D28" s="322" t="s">
        <v>161</v>
      </c>
      <c r="E28" s="323" t="s">
        <v>131</v>
      </c>
      <c r="F28" s="409"/>
      <c r="G28" s="322" t="s">
        <v>133</v>
      </c>
      <c r="H28" s="324">
        <v>200</v>
      </c>
      <c r="I28" s="325">
        <v>61</v>
      </c>
      <c r="J28" s="325">
        <f t="shared" si="0"/>
        <v>12200</v>
      </c>
      <c r="K28" s="318">
        <f t="shared" si="1"/>
        <v>14640</v>
      </c>
      <c r="L28" s="318"/>
      <c r="M28" s="371"/>
      <c r="N28" s="322"/>
      <c r="O28" s="327"/>
    </row>
    <row r="29" spans="1:15" ht="20.100000000000001" customHeight="1" x14ac:dyDescent="0.3">
      <c r="A29" s="206" t="s">
        <v>37</v>
      </c>
      <c r="B29" s="378" t="s">
        <v>165</v>
      </c>
      <c r="C29" s="371">
        <v>45300</v>
      </c>
      <c r="D29" s="322" t="s">
        <v>161</v>
      </c>
      <c r="E29" s="323" t="s">
        <v>131</v>
      </c>
      <c r="F29" s="409"/>
      <c r="G29" s="322" t="s">
        <v>133</v>
      </c>
      <c r="H29" s="324">
        <v>32</v>
      </c>
      <c r="I29" s="325">
        <v>62</v>
      </c>
      <c r="J29" s="325">
        <f t="shared" si="0"/>
        <v>1984</v>
      </c>
      <c r="K29" s="318">
        <f t="shared" si="1"/>
        <v>2380.7999999999997</v>
      </c>
      <c r="L29" s="318"/>
      <c r="M29" s="371"/>
      <c r="N29" s="322"/>
      <c r="O29" s="327"/>
    </row>
    <row r="30" spans="1:15" ht="20.100000000000001" customHeight="1" x14ac:dyDescent="0.3">
      <c r="A30" s="151" t="s">
        <v>34</v>
      </c>
      <c r="B30" s="378" t="s">
        <v>166</v>
      </c>
      <c r="C30" s="371">
        <v>45301</v>
      </c>
      <c r="D30" s="322" t="s">
        <v>161</v>
      </c>
      <c r="E30" s="323" t="s">
        <v>131</v>
      </c>
      <c r="F30" s="409"/>
      <c r="G30" s="322" t="s">
        <v>133</v>
      </c>
      <c r="H30" s="324">
        <v>32</v>
      </c>
      <c r="I30" s="325">
        <v>63.5</v>
      </c>
      <c r="J30" s="325">
        <f t="shared" si="0"/>
        <v>2032</v>
      </c>
      <c r="K30" s="318">
        <f t="shared" si="1"/>
        <v>2438.4</v>
      </c>
      <c r="L30" s="318"/>
      <c r="M30" s="371"/>
      <c r="N30" s="322"/>
      <c r="O30" s="327"/>
    </row>
    <row r="31" spans="1:15" ht="20.100000000000001" customHeight="1" x14ac:dyDescent="0.3">
      <c r="A31" s="151" t="s">
        <v>118</v>
      </c>
      <c r="B31" s="378" t="s">
        <v>167</v>
      </c>
      <c r="C31" s="371">
        <v>45302</v>
      </c>
      <c r="D31" s="322" t="s">
        <v>168</v>
      </c>
      <c r="E31" s="323" t="s">
        <v>131</v>
      </c>
      <c r="F31" s="409"/>
      <c r="G31" s="322" t="s">
        <v>133</v>
      </c>
      <c r="H31" s="324">
        <v>500</v>
      </c>
      <c r="I31" s="325">
        <v>64</v>
      </c>
      <c r="J31" s="325">
        <f t="shared" si="0"/>
        <v>32000</v>
      </c>
      <c r="K31" s="318">
        <f t="shared" si="1"/>
        <v>38400</v>
      </c>
      <c r="L31" s="318"/>
      <c r="M31" s="371"/>
      <c r="N31" s="322"/>
      <c r="O31" s="327"/>
    </row>
    <row r="32" spans="1:15" ht="20.100000000000001" customHeight="1" x14ac:dyDescent="0.3">
      <c r="A32" s="151" t="s">
        <v>118</v>
      </c>
      <c r="B32" s="378" t="s">
        <v>167</v>
      </c>
      <c r="C32" s="371">
        <v>45302</v>
      </c>
      <c r="D32" s="322" t="s">
        <v>168</v>
      </c>
      <c r="E32" s="323" t="s">
        <v>131</v>
      </c>
      <c r="F32" s="409"/>
      <c r="G32" s="322" t="s">
        <v>133</v>
      </c>
      <c r="H32" s="324">
        <v>500</v>
      </c>
      <c r="I32" s="325">
        <v>64</v>
      </c>
      <c r="J32" s="325">
        <f t="shared" si="0"/>
        <v>32000</v>
      </c>
      <c r="K32" s="318">
        <f t="shared" si="1"/>
        <v>38400</v>
      </c>
      <c r="L32" s="318"/>
      <c r="M32" s="371"/>
      <c r="N32" s="322"/>
      <c r="O32" s="327"/>
    </row>
    <row r="33" spans="1:15" ht="20.100000000000001" customHeight="1" x14ac:dyDescent="0.3">
      <c r="A33" s="151" t="s">
        <v>118</v>
      </c>
      <c r="B33" s="378" t="s">
        <v>167</v>
      </c>
      <c r="C33" s="371">
        <v>45302</v>
      </c>
      <c r="D33" s="322" t="s">
        <v>168</v>
      </c>
      <c r="E33" s="323" t="s">
        <v>131</v>
      </c>
      <c r="F33" s="409"/>
      <c r="G33" s="322" t="s">
        <v>133</v>
      </c>
      <c r="H33" s="324">
        <v>500</v>
      </c>
      <c r="I33" s="325">
        <v>65</v>
      </c>
      <c r="J33" s="325">
        <f t="shared" si="0"/>
        <v>32500</v>
      </c>
      <c r="K33" s="318">
        <f t="shared" si="1"/>
        <v>39000</v>
      </c>
      <c r="L33" s="318"/>
      <c r="M33" s="371"/>
      <c r="N33" s="322"/>
      <c r="O33" s="327"/>
    </row>
    <row r="34" spans="1:15" ht="20.100000000000001" customHeight="1" x14ac:dyDescent="0.3">
      <c r="A34" s="151" t="s">
        <v>141</v>
      </c>
      <c r="B34" s="378" t="s">
        <v>169</v>
      </c>
      <c r="C34" s="371">
        <v>45296</v>
      </c>
      <c r="D34" s="322" t="s">
        <v>137</v>
      </c>
      <c r="E34" s="323" t="s">
        <v>131</v>
      </c>
      <c r="F34" s="409"/>
      <c r="G34" s="322" t="s">
        <v>133</v>
      </c>
      <c r="H34" s="324">
        <v>1000</v>
      </c>
      <c r="I34" s="325">
        <v>53</v>
      </c>
      <c r="J34" s="325">
        <f t="shared" si="0"/>
        <v>53000</v>
      </c>
      <c r="K34" s="318">
        <f t="shared" si="1"/>
        <v>63600</v>
      </c>
      <c r="L34" s="318"/>
      <c r="M34" s="371"/>
      <c r="N34" s="322"/>
      <c r="O34" s="327"/>
    </row>
    <row r="35" spans="1:15" ht="20.100000000000001" customHeight="1" x14ac:dyDescent="0.3">
      <c r="A35" s="151" t="s">
        <v>141</v>
      </c>
      <c r="B35" s="378" t="s">
        <v>169</v>
      </c>
      <c r="C35" s="371">
        <v>45296</v>
      </c>
      <c r="D35" s="322" t="s">
        <v>137</v>
      </c>
      <c r="E35" s="323" t="s">
        <v>131</v>
      </c>
      <c r="F35" s="409"/>
      <c r="G35" s="322" t="s">
        <v>133</v>
      </c>
      <c r="H35" s="324">
        <v>1000</v>
      </c>
      <c r="I35" s="325">
        <v>55</v>
      </c>
      <c r="J35" s="325">
        <f t="shared" si="0"/>
        <v>55000</v>
      </c>
      <c r="K35" s="318">
        <f t="shared" si="1"/>
        <v>66000</v>
      </c>
      <c r="L35" s="318"/>
      <c r="M35" s="371"/>
      <c r="N35" s="322"/>
      <c r="O35" s="327"/>
    </row>
    <row r="36" spans="1:15" ht="20.100000000000001" customHeight="1" x14ac:dyDescent="0.3">
      <c r="A36" s="151" t="s">
        <v>141</v>
      </c>
      <c r="B36" s="378" t="s">
        <v>169</v>
      </c>
      <c r="C36" s="371">
        <v>45296</v>
      </c>
      <c r="D36" s="322" t="s">
        <v>137</v>
      </c>
      <c r="E36" s="323" t="s">
        <v>131</v>
      </c>
      <c r="F36" s="409"/>
      <c r="G36" s="322" t="s">
        <v>133</v>
      </c>
      <c r="H36" s="324">
        <v>1000</v>
      </c>
      <c r="I36" s="325">
        <v>50</v>
      </c>
      <c r="J36" s="325">
        <f t="shared" si="0"/>
        <v>50000</v>
      </c>
      <c r="K36" s="318">
        <f t="shared" si="1"/>
        <v>60000</v>
      </c>
      <c r="L36" s="318"/>
      <c r="M36" s="371"/>
      <c r="N36" s="322"/>
      <c r="O36" s="327"/>
    </row>
    <row r="37" spans="1:15" ht="20.100000000000001" customHeight="1" x14ac:dyDescent="0.3">
      <c r="A37" s="151" t="s">
        <v>118</v>
      </c>
      <c r="B37" s="378" t="s">
        <v>170</v>
      </c>
      <c r="C37" s="371">
        <v>45301</v>
      </c>
      <c r="D37" s="322" t="s">
        <v>171</v>
      </c>
      <c r="E37" s="323" t="s">
        <v>131</v>
      </c>
      <c r="F37" s="409"/>
      <c r="G37" s="322" t="s">
        <v>133</v>
      </c>
      <c r="H37" s="324">
        <v>500</v>
      </c>
      <c r="I37" s="325">
        <v>60</v>
      </c>
      <c r="J37" s="325">
        <f t="shared" si="0"/>
        <v>30000</v>
      </c>
      <c r="K37" s="318">
        <f t="shared" si="1"/>
        <v>36000</v>
      </c>
      <c r="L37" s="318"/>
      <c r="M37" s="371"/>
      <c r="N37" s="322"/>
      <c r="O37" s="327"/>
    </row>
    <row r="38" spans="1:15" ht="20.100000000000001" customHeight="1" x14ac:dyDescent="0.3">
      <c r="A38" s="151" t="s">
        <v>118</v>
      </c>
      <c r="B38" s="378" t="s">
        <v>170</v>
      </c>
      <c r="C38" s="371">
        <v>45301</v>
      </c>
      <c r="D38" s="322" t="s">
        <v>171</v>
      </c>
      <c r="E38" s="323" t="s">
        <v>131</v>
      </c>
      <c r="F38" s="409"/>
      <c r="G38" s="322" t="s">
        <v>133</v>
      </c>
      <c r="H38" s="324">
        <v>500</v>
      </c>
      <c r="I38" s="325">
        <v>60</v>
      </c>
      <c r="J38" s="325">
        <f t="shared" si="0"/>
        <v>30000</v>
      </c>
      <c r="K38" s="318">
        <f t="shared" si="1"/>
        <v>36000</v>
      </c>
      <c r="L38" s="318"/>
      <c r="M38" s="371"/>
      <c r="N38" s="322"/>
      <c r="O38" s="327"/>
    </row>
    <row r="39" spans="1:15" ht="20.100000000000001" customHeight="1" x14ac:dyDescent="0.3">
      <c r="A39" s="151" t="s">
        <v>118</v>
      </c>
      <c r="B39" s="378" t="s">
        <v>170</v>
      </c>
      <c r="C39" s="371">
        <v>45301</v>
      </c>
      <c r="D39" s="322" t="s">
        <v>171</v>
      </c>
      <c r="E39" s="323" t="s">
        <v>131</v>
      </c>
      <c r="F39" s="409"/>
      <c r="G39" s="322" t="s">
        <v>133</v>
      </c>
      <c r="H39" s="324">
        <v>150</v>
      </c>
      <c r="I39" s="325">
        <v>62</v>
      </c>
      <c r="J39" s="325">
        <f t="shared" si="0"/>
        <v>9300</v>
      </c>
      <c r="K39" s="318">
        <f t="shared" si="1"/>
        <v>11160</v>
      </c>
      <c r="L39" s="318"/>
      <c r="M39" s="371"/>
      <c r="N39" s="322"/>
      <c r="O39" s="327"/>
    </row>
    <row r="40" spans="1:15" ht="20.100000000000001" customHeight="1" x14ac:dyDescent="0.3">
      <c r="A40" s="151" t="s">
        <v>118</v>
      </c>
      <c r="B40" s="378" t="s">
        <v>170</v>
      </c>
      <c r="C40" s="371">
        <v>45301</v>
      </c>
      <c r="D40" s="322" t="s">
        <v>171</v>
      </c>
      <c r="E40" s="323" t="s">
        <v>131</v>
      </c>
      <c r="F40" s="409"/>
      <c r="G40" s="322" t="s">
        <v>133</v>
      </c>
      <c r="H40" s="324">
        <v>500</v>
      </c>
      <c r="I40" s="325">
        <v>61</v>
      </c>
      <c r="J40" s="325">
        <f t="shared" si="0"/>
        <v>30500</v>
      </c>
      <c r="K40" s="318">
        <f t="shared" si="1"/>
        <v>36600</v>
      </c>
      <c r="L40" s="318"/>
      <c r="M40" s="371"/>
      <c r="N40" s="322"/>
      <c r="O40" s="327"/>
    </row>
    <row r="41" spans="1:15" ht="20.100000000000001" customHeight="1" x14ac:dyDescent="0.3">
      <c r="A41" s="151" t="s">
        <v>172</v>
      </c>
      <c r="B41" s="378" t="s">
        <v>173</v>
      </c>
      <c r="C41" s="371">
        <v>45301</v>
      </c>
      <c r="D41" s="322" t="s">
        <v>140</v>
      </c>
      <c r="E41" s="323" t="s">
        <v>131</v>
      </c>
      <c r="F41" s="409"/>
      <c r="G41" s="322" t="s">
        <v>133</v>
      </c>
      <c r="H41" s="324">
        <v>500</v>
      </c>
      <c r="I41" s="325">
        <v>57.5</v>
      </c>
      <c r="J41" s="325">
        <f t="shared" si="0"/>
        <v>28750</v>
      </c>
      <c r="K41" s="318">
        <f>J41</f>
        <v>28750</v>
      </c>
      <c r="L41" s="318"/>
      <c r="M41" s="371"/>
      <c r="N41" s="322"/>
      <c r="O41" s="327"/>
    </row>
    <row r="42" spans="1:15" ht="20.100000000000001" customHeight="1" x14ac:dyDescent="0.3">
      <c r="A42" s="151" t="s">
        <v>172</v>
      </c>
      <c r="B42" s="378" t="s">
        <v>174</v>
      </c>
      <c r="C42" s="371">
        <v>45301</v>
      </c>
      <c r="D42" s="322" t="s">
        <v>156</v>
      </c>
      <c r="E42" s="323" t="s">
        <v>131</v>
      </c>
      <c r="F42" s="409"/>
      <c r="G42" s="322" t="s">
        <v>133</v>
      </c>
      <c r="H42" s="324">
        <v>250</v>
      </c>
      <c r="I42" s="325">
        <v>63</v>
      </c>
      <c r="J42" s="325">
        <f t="shared" si="0"/>
        <v>15750</v>
      </c>
      <c r="K42" s="318">
        <f>J42</f>
        <v>15750</v>
      </c>
      <c r="L42" s="318"/>
      <c r="M42" s="371"/>
      <c r="N42" s="322"/>
      <c r="O42" s="327"/>
    </row>
    <row r="43" spans="1:15" ht="20.100000000000001" customHeight="1" x14ac:dyDescent="0.3">
      <c r="A43" s="151" t="s">
        <v>172</v>
      </c>
      <c r="B43" s="378" t="s">
        <v>174</v>
      </c>
      <c r="C43" s="371">
        <v>45301</v>
      </c>
      <c r="D43" s="322" t="s">
        <v>156</v>
      </c>
      <c r="E43" s="323" t="s">
        <v>131</v>
      </c>
      <c r="F43" s="409"/>
      <c r="G43" s="322" t="s">
        <v>133</v>
      </c>
      <c r="H43" s="324">
        <v>250</v>
      </c>
      <c r="I43" s="325">
        <v>63</v>
      </c>
      <c r="J43" s="325">
        <f t="shared" si="0"/>
        <v>15750</v>
      </c>
      <c r="K43" s="318">
        <f>J43</f>
        <v>15750</v>
      </c>
      <c r="L43" s="318"/>
      <c r="M43" s="371"/>
      <c r="N43" s="322"/>
      <c r="O43" s="327"/>
    </row>
    <row r="44" spans="1:15" ht="20.100000000000001" customHeight="1" x14ac:dyDescent="0.3">
      <c r="A44" s="206" t="s">
        <v>37</v>
      </c>
      <c r="B44" s="378" t="s">
        <v>175</v>
      </c>
      <c r="C44" s="371">
        <v>45307</v>
      </c>
      <c r="D44" s="322" t="s">
        <v>44</v>
      </c>
      <c r="E44" s="323" t="s">
        <v>131</v>
      </c>
      <c r="F44" s="409"/>
      <c r="G44" s="322" t="s">
        <v>133</v>
      </c>
      <c r="H44" s="324">
        <v>200</v>
      </c>
      <c r="I44" s="325">
        <v>62.8</v>
      </c>
      <c r="J44" s="325">
        <f t="shared" si="0"/>
        <v>12560</v>
      </c>
      <c r="K44" s="318">
        <f t="shared" si="1"/>
        <v>15072</v>
      </c>
      <c r="L44" s="318"/>
      <c r="M44" s="371"/>
      <c r="N44" s="322"/>
      <c r="O44" s="327"/>
    </row>
    <row r="45" spans="1:15" ht="20.100000000000001" customHeight="1" x14ac:dyDescent="0.3">
      <c r="A45" s="151" t="s">
        <v>159</v>
      </c>
      <c r="B45" s="378" t="s">
        <v>176</v>
      </c>
      <c r="C45" s="371">
        <v>45292</v>
      </c>
      <c r="D45" s="322" t="s">
        <v>177</v>
      </c>
      <c r="E45" s="323" t="s">
        <v>131</v>
      </c>
      <c r="F45" s="409"/>
      <c r="G45" s="322" t="s">
        <v>133</v>
      </c>
      <c r="H45" s="324">
        <v>500</v>
      </c>
      <c r="I45" s="325">
        <f>32.97833*1.95583</f>
        <v>64.500007163899994</v>
      </c>
      <c r="J45" s="325">
        <f t="shared" si="0"/>
        <v>32250.003581949997</v>
      </c>
      <c r="K45" s="318">
        <f>J45</f>
        <v>32250.003581949997</v>
      </c>
      <c r="L45" s="318"/>
      <c r="M45" s="371"/>
      <c r="N45" s="322"/>
      <c r="O45" s="327"/>
    </row>
    <row r="46" spans="1:15" ht="20.100000000000001" customHeight="1" x14ac:dyDescent="0.3">
      <c r="A46" s="206" t="s">
        <v>37</v>
      </c>
      <c r="B46" s="378" t="s">
        <v>178</v>
      </c>
      <c r="C46" s="371">
        <v>45302</v>
      </c>
      <c r="D46" s="322" t="s">
        <v>168</v>
      </c>
      <c r="E46" s="323" t="s">
        <v>131</v>
      </c>
      <c r="F46" s="409"/>
      <c r="G46" s="322" t="s">
        <v>133</v>
      </c>
      <c r="H46" s="324">
        <v>93</v>
      </c>
      <c r="I46" s="325">
        <v>63.99</v>
      </c>
      <c r="J46" s="325">
        <f t="shared" si="0"/>
        <v>5951.0700000000006</v>
      </c>
      <c r="K46" s="318">
        <f t="shared" ref="K46:K109" si="2">J46*1.2</f>
        <v>7141.2840000000006</v>
      </c>
      <c r="L46" s="318"/>
      <c r="M46" s="371"/>
      <c r="N46" s="322"/>
      <c r="O46" s="327"/>
    </row>
    <row r="47" spans="1:15" ht="20.100000000000001" customHeight="1" x14ac:dyDescent="0.3">
      <c r="A47" s="151" t="s">
        <v>99</v>
      </c>
      <c r="B47" s="378" t="s">
        <v>179</v>
      </c>
      <c r="C47" s="371">
        <v>45306</v>
      </c>
      <c r="D47" s="322" t="s">
        <v>180</v>
      </c>
      <c r="E47" s="323" t="s">
        <v>131</v>
      </c>
      <c r="F47" s="409"/>
      <c r="G47" s="322" t="s">
        <v>133</v>
      </c>
      <c r="H47" s="324">
        <v>300</v>
      </c>
      <c r="I47" s="325">
        <v>64</v>
      </c>
      <c r="J47" s="325">
        <f t="shared" si="0"/>
        <v>19200</v>
      </c>
      <c r="K47" s="318">
        <f t="shared" si="2"/>
        <v>23040</v>
      </c>
      <c r="L47" s="318"/>
      <c r="M47" s="371"/>
      <c r="N47" s="322"/>
      <c r="O47" s="327"/>
    </row>
    <row r="48" spans="1:15" ht="20.100000000000001" customHeight="1" x14ac:dyDescent="0.3">
      <c r="A48" s="151" t="s">
        <v>99</v>
      </c>
      <c r="B48" s="378" t="s">
        <v>179</v>
      </c>
      <c r="C48" s="371">
        <v>45306</v>
      </c>
      <c r="D48" s="322" t="s">
        <v>180</v>
      </c>
      <c r="E48" s="323" t="s">
        <v>131</v>
      </c>
      <c r="F48" s="409"/>
      <c r="G48" s="322" t="s">
        <v>133</v>
      </c>
      <c r="H48" s="324">
        <v>40</v>
      </c>
      <c r="I48" s="325">
        <v>65</v>
      </c>
      <c r="J48" s="325">
        <f t="shared" si="0"/>
        <v>2600</v>
      </c>
      <c r="K48" s="318">
        <f t="shared" si="2"/>
        <v>3120</v>
      </c>
      <c r="L48" s="318"/>
      <c r="M48" s="371"/>
      <c r="N48" s="322"/>
      <c r="O48" s="327"/>
    </row>
    <row r="49" spans="1:15" ht="20.100000000000001" customHeight="1" x14ac:dyDescent="0.3">
      <c r="A49" s="151" t="s">
        <v>99</v>
      </c>
      <c r="B49" s="378" t="s">
        <v>179</v>
      </c>
      <c r="C49" s="371">
        <v>45306</v>
      </c>
      <c r="D49" s="322" t="s">
        <v>180</v>
      </c>
      <c r="E49" s="323" t="s">
        <v>131</v>
      </c>
      <c r="F49" s="409"/>
      <c r="G49" s="322" t="s">
        <v>133</v>
      </c>
      <c r="H49" s="324">
        <v>250</v>
      </c>
      <c r="I49" s="325">
        <v>68</v>
      </c>
      <c r="J49" s="325">
        <f t="shared" si="0"/>
        <v>17000</v>
      </c>
      <c r="K49" s="318">
        <f t="shared" si="2"/>
        <v>20400</v>
      </c>
      <c r="L49" s="318"/>
      <c r="M49" s="371"/>
      <c r="N49" s="322"/>
      <c r="O49" s="327"/>
    </row>
    <row r="50" spans="1:15" ht="20.100000000000001" customHeight="1" x14ac:dyDescent="0.3">
      <c r="A50" s="151" t="s">
        <v>99</v>
      </c>
      <c r="B50" s="378" t="s">
        <v>179</v>
      </c>
      <c r="C50" s="371">
        <v>45306</v>
      </c>
      <c r="D50" s="322" t="s">
        <v>180</v>
      </c>
      <c r="E50" s="323" t="s">
        <v>131</v>
      </c>
      <c r="F50" s="409"/>
      <c r="G50" s="322" t="s">
        <v>133</v>
      </c>
      <c r="H50" s="324">
        <v>30</v>
      </c>
      <c r="I50" s="325">
        <v>68</v>
      </c>
      <c r="J50" s="325">
        <f t="shared" si="0"/>
        <v>2040</v>
      </c>
      <c r="K50" s="318">
        <f t="shared" si="2"/>
        <v>2448</v>
      </c>
      <c r="L50" s="318"/>
      <c r="M50" s="371"/>
      <c r="N50" s="322"/>
      <c r="O50" s="327"/>
    </row>
    <row r="51" spans="1:15" ht="20.100000000000001" customHeight="1" x14ac:dyDescent="0.3">
      <c r="A51" s="151" t="s">
        <v>157</v>
      </c>
      <c r="B51" s="378" t="s">
        <v>181</v>
      </c>
      <c r="C51" s="371">
        <v>45306</v>
      </c>
      <c r="D51" s="322" t="s">
        <v>42</v>
      </c>
      <c r="E51" s="323" t="s">
        <v>131</v>
      </c>
      <c r="F51" s="409"/>
      <c r="G51" s="322" t="s">
        <v>133</v>
      </c>
      <c r="H51" s="324">
        <v>500</v>
      </c>
      <c r="I51" s="325">
        <v>64.5</v>
      </c>
      <c r="J51" s="325">
        <f t="shared" si="0"/>
        <v>32250</v>
      </c>
      <c r="K51" s="318">
        <f t="shared" si="2"/>
        <v>38700</v>
      </c>
      <c r="L51" s="318"/>
      <c r="M51" s="371"/>
      <c r="N51" s="322"/>
      <c r="O51" s="327"/>
    </row>
    <row r="52" spans="1:15" ht="20.100000000000001" customHeight="1" x14ac:dyDescent="0.3">
      <c r="A52" s="151" t="s">
        <v>101</v>
      </c>
      <c r="B52" s="387" t="s">
        <v>182</v>
      </c>
      <c r="C52" s="371">
        <v>45303</v>
      </c>
      <c r="D52" s="322" t="s">
        <v>183</v>
      </c>
      <c r="E52" s="323" t="s">
        <v>131</v>
      </c>
      <c r="F52" s="409"/>
      <c r="G52" s="322" t="s">
        <v>133</v>
      </c>
      <c r="H52" s="324">
        <v>100</v>
      </c>
      <c r="I52" s="325">
        <v>65</v>
      </c>
      <c r="J52" s="325">
        <f t="shared" si="0"/>
        <v>6500</v>
      </c>
      <c r="K52" s="318">
        <f t="shared" si="2"/>
        <v>7800</v>
      </c>
      <c r="L52" s="318"/>
      <c r="M52" s="371"/>
      <c r="N52" s="322"/>
      <c r="O52" s="327"/>
    </row>
    <row r="53" spans="1:15" ht="20.100000000000001" customHeight="1" x14ac:dyDescent="0.3">
      <c r="A53" s="151" t="s">
        <v>184</v>
      </c>
      <c r="B53" s="378" t="s">
        <v>185</v>
      </c>
      <c r="C53" s="371">
        <v>45306</v>
      </c>
      <c r="D53" s="322" t="s">
        <v>183</v>
      </c>
      <c r="E53" s="323" t="s">
        <v>131</v>
      </c>
      <c r="F53" s="409"/>
      <c r="G53" s="322" t="s">
        <v>133</v>
      </c>
      <c r="H53" s="324">
        <v>105</v>
      </c>
      <c r="I53" s="325">
        <v>66</v>
      </c>
      <c r="J53" s="325">
        <f t="shared" si="0"/>
        <v>6930</v>
      </c>
      <c r="K53" s="318">
        <f>J53</f>
        <v>6930</v>
      </c>
      <c r="L53" s="318"/>
      <c r="M53" s="371"/>
      <c r="N53" s="322"/>
      <c r="O53" s="327"/>
    </row>
    <row r="54" spans="1:15" ht="20.100000000000001" customHeight="1" x14ac:dyDescent="0.3">
      <c r="A54" s="151" t="s">
        <v>118</v>
      </c>
      <c r="B54" s="378" t="s">
        <v>186</v>
      </c>
      <c r="C54" s="371">
        <v>45303</v>
      </c>
      <c r="D54" s="322" t="s">
        <v>187</v>
      </c>
      <c r="E54" s="323" t="s">
        <v>131</v>
      </c>
      <c r="F54" s="409"/>
      <c r="G54" s="322" t="s">
        <v>133</v>
      </c>
      <c r="H54" s="324">
        <v>900</v>
      </c>
      <c r="I54" s="325">
        <v>65</v>
      </c>
      <c r="J54" s="325">
        <f t="shared" si="0"/>
        <v>58500</v>
      </c>
      <c r="K54" s="318">
        <f t="shared" si="2"/>
        <v>70200</v>
      </c>
      <c r="L54" s="318"/>
      <c r="M54" s="371"/>
      <c r="N54" s="322"/>
      <c r="O54" s="327"/>
    </row>
    <row r="55" spans="1:15" ht="20.100000000000001" customHeight="1" x14ac:dyDescent="0.3">
      <c r="A55" s="151" t="s">
        <v>118</v>
      </c>
      <c r="B55" s="378" t="s">
        <v>186</v>
      </c>
      <c r="C55" s="371">
        <v>45303</v>
      </c>
      <c r="D55" s="322" t="s">
        <v>187</v>
      </c>
      <c r="E55" s="323" t="s">
        <v>131</v>
      </c>
      <c r="F55" s="409"/>
      <c r="G55" s="322" t="s">
        <v>133</v>
      </c>
      <c r="H55" s="324">
        <v>1000</v>
      </c>
      <c r="I55" s="325">
        <v>65</v>
      </c>
      <c r="J55" s="325">
        <f t="shared" si="0"/>
        <v>65000</v>
      </c>
      <c r="K55" s="318">
        <f t="shared" si="2"/>
        <v>78000</v>
      </c>
      <c r="L55" s="318"/>
      <c r="M55" s="371"/>
      <c r="N55" s="322"/>
      <c r="O55" s="327"/>
    </row>
    <row r="56" spans="1:15" ht="20.100000000000001" customHeight="1" x14ac:dyDescent="0.3">
      <c r="A56" s="151" t="s">
        <v>118</v>
      </c>
      <c r="B56" s="378" t="s">
        <v>186</v>
      </c>
      <c r="C56" s="371">
        <v>45303</v>
      </c>
      <c r="D56" s="322" t="s">
        <v>187</v>
      </c>
      <c r="E56" s="323" t="s">
        <v>131</v>
      </c>
      <c r="F56" s="409"/>
      <c r="G56" s="322" t="s">
        <v>133</v>
      </c>
      <c r="H56" s="324">
        <v>400</v>
      </c>
      <c r="I56" s="325">
        <v>64.5</v>
      </c>
      <c r="J56" s="325">
        <f t="shared" si="0"/>
        <v>25800</v>
      </c>
      <c r="K56" s="318">
        <f t="shared" si="2"/>
        <v>30960</v>
      </c>
      <c r="L56" s="318"/>
      <c r="M56" s="371"/>
      <c r="N56" s="322"/>
      <c r="O56" s="327"/>
    </row>
    <row r="57" spans="1:15" ht="20.100000000000001" customHeight="1" x14ac:dyDescent="0.3">
      <c r="A57" s="151" t="s">
        <v>118</v>
      </c>
      <c r="B57" s="378" t="s">
        <v>186</v>
      </c>
      <c r="C57" s="371">
        <v>45303</v>
      </c>
      <c r="D57" s="322" t="s">
        <v>187</v>
      </c>
      <c r="E57" s="323" t="s">
        <v>131</v>
      </c>
      <c r="F57" s="409"/>
      <c r="G57" s="322" t="s">
        <v>133</v>
      </c>
      <c r="H57" s="324">
        <v>200</v>
      </c>
      <c r="I57" s="325">
        <v>64</v>
      </c>
      <c r="J57" s="325">
        <f t="shared" si="0"/>
        <v>12800</v>
      </c>
      <c r="K57" s="318">
        <f t="shared" si="2"/>
        <v>15360</v>
      </c>
      <c r="L57" s="318"/>
      <c r="M57" s="371"/>
      <c r="N57" s="322"/>
      <c r="O57" s="327"/>
    </row>
    <row r="58" spans="1:15" ht="20.100000000000001" customHeight="1" x14ac:dyDescent="0.3">
      <c r="A58" s="151" t="s">
        <v>118</v>
      </c>
      <c r="B58" s="378" t="s">
        <v>186</v>
      </c>
      <c r="C58" s="371">
        <v>45303</v>
      </c>
      <c r="D58" s="322" t="s">
        <v>187</v>
      </c>
      <c r="E58" s="323" t="s">
        <v>131</v>
      </c>
      <c r="F58" s="409"/>
      <c r="G58" s="322" t="s">
        <v>133</v>
      </c>
      <c r="H58" s="324">
        <v>67</v>
      </c>
      <c r="I58" s="325">
        <v>67.5</v>
      </c>
      <c r="J58" s="325">
        <f t="shared" si="0"/>
        <v>4522.5</v>
      </c>
      <c r="K58" s="318">
        <f t="shared" si="2"/>
        <v>5427</v>
      </c>
      <c r="L58" s="318"/>
      <c r="M58" s="371"/>
      <c r="N58" s="322"/>
      <c r="O58" s="327"/>
    </row>
    <row r="59" spans="1:15" ht="20.100000000000001" customHeight="1" x14ac:dyDescent="0.3">
      <c r="A59" s="151" t="s">
        <v>118</v>
      </c>
      <c r="B59" s="378" t="s">
        <v>188</v>
      </c>
      <c r="C59" s="371">
        <v>45304</v>
      </c>
      <c r="D59" s="322" t="s">
        <v>187</v>
      </c>
      <c r="E59" s="323" t="s">
        <v>131</v>
      </c>
      <c r="F59" s="409"/>
      <c r="G59" s="322" t="s">
        <v>133</v>
      </c>
      <c r="H59" s="324">
        <v>70</v>
      </c>
      <c r="I59" s="325">
        <v>67.5</v>
      </c>
      <c r="J59" s="325">
        <f t="shared" si="0"/>
        <v>4725</v>
      </c>
      <c r="K59" s="318">
        <f t="shared" si="2"/>
        <v>5670</v>
      </c>
      <c r="L59" s="318"/>
      <c r="M59" s="371"/>
      <c r="N59" s="322"/>
      <c r="O59" s="327"/>
    </row>
    <row r="60" spans="1:15" ht="20.100000000000001" customHeight="1" x14ac:dyDescent="0.3">
      <c r="A60" s="151" t="s">
        <v>118</v>
      </c>
      <c r="B60" s="378" t="s">
        <v>189</v>
      </c>
      <c r="C60" s="371">
        <v>45305</v>
      </c>
      <c r="D60" s="322" t="s">
        <v>190</v>
      </c>
      <c r="E60" s="323" t="s">
        <v>131</v>
      </c>
      <c r="F60" s="409"/>
      <c r="G60" s="322" t="s">
        <v>133</v>
      </c>
      <c r="H60" s="324">
        <v>200</v>
      </c>
      <c r="I60" s="325">
        <v>63.5</v>
      </c>
      <c r="J60" s="325">
        <f t="shared" si="0"/>
        <v>12700</v>
      </c>
      <c r="K60" s="318">
        <f t="shared" si="2"/>
        <v>15240</v>
      </c>
      <c r="L60" s="318"/>
      <c r="M60" s="371"/>
      <c r="N60" s="322"/>
      <c r="O60" s="327"/>
    </row>
    <row r="61" spans="1:15" ht="20.100000000000001" customHeight="1" x14ac:dyDescent="0.3">
      <c r="A61" s="151" t="s">
        <v>118</v>
      </c>
      <c r="B61" s="378" t="s">
        <v>189</v>
      </c>
      <c r="C61" s="371">
        <v>45305</v>
      </c>
      <c r="D61" s="322" t="s">
        <v>190</v>
      </c>
      <c r="E61" s="323" t="s">
        <v>131</v>
      </c>
      <c r="F61" s="409"/>
      <c r="G61" s="322" t="s">
        <v>133</v>
      </c>
      <c r="H61" s="324">
        <v>120</v>
      </c>
      <c r="I61" s="325">
        <v>63</v>
      </c>
      <c r="J61" s="325">
        <f t="shared" si="0"/>
        <v>7560</v>
      </c>
      <c r="K61" s="318">
        <f t="shared" si="2"/>
        <v>9072</v>
      </c>
      <c r="L61" s="318"/>
      <c r="M61" s="371"/>
      <c r="N61" s="322"/>
      <c r="O61" s="327"/>
    </row>
    <row r="62" spans="1:15" ht="20.100000000000001" customHeight="1" x14ac:dyDescent="0.3">
      <c r="A62" s="151" t="s">
        <v>118</v>
      </c>
      <c r="B62" s="378" t="s">
        <v>191</v>
      </c>
      <c r="C62" s="371">
        <v>45306</v>
      </c>
      <c r="D62" s="322" t="s">
        <v>42</v>
      </c>
      <c r="E62" s="323" t="s">
        <v>131</v>
      </c>
      <c r="F62" s="409"/>
      <c r="G62" s="322" t="s">
        <v>133</v>
      </c>
      <c r="H62" s="324">
        <v>500</v>
      </c>
      <c r="I62" s="325">
        <v>62.5</v>
      </c>
      <c r="J62" s="325">
        <f t="shared" si="0"/>
        <v>31250</v>
      </c>
      <c r="K62" s="318">
        <f t="shared" si="2"/>
        <v>37500</v>
      </c>
      <c r="L62" s="318"/>
      <c r="M62" s="371"/>
      <c r="N62" s="322"/>
      <c r="O62" s="327"/>
    </row>
    <row r="63" spans="1:15" ht="20.100000000000001" customHeight="1" x14ac:dyDescent="0.3">
      <c r="A63" s="206" t="s">
        <v>37</v>
      </c>
      <c r="B63" s="378" t="s">
        <v>192</v>
      </c>
      <c r="C63" s="371">
        <v>45308</v>
      </c>
      <c r="D63" s="322" t="s">
        <v>193</v>
      </c>
      <c r="E63" s="323" t="s">
        <v>131</v>
      </c>
      <c r="F63" s="409"/>
      <c r="G63" s="322" t="s">
        <v>133</v>
      </c>
      <c r="H63" s="324">
        <v>33</v>
      </c>
      <c r="I63" s="325">
        <v>61</v>
      </c>
      <c r="J63" s="325">
        <f t="shared" si="0"/>
        <v>2013</v>
      </c>
      <c r="K63" s="318">
        <f t="shared" si="2"/>
        <v>2415.6</v>
      </c>
      <c r="L63" s="318"/>
      <c r="M63" s="371"/>
      <c r="N63" s="322"/>
      <c r="O63" s="327"/>
    </row>
    <row r="64" spans="1:15" ht="20.100000000000001" customHeight="1" x14ac:dyDescent="0.3">
      <c r="A64" s="151" t="s">
        <v>194</v>
      </c>
      <c r="B64" s="378" t="s">
        <v>195</v>
      </c>
      <c r="C64" s="371">
        <v>45296</v>
      </c>
      <c r="D64" s="322" t="s">
        <v>196</v>
      </c>
      <c r="E64" s="323" t="s">
        <v>131</v>
      </c>
      <c r="F64" s="409"/>
      <c r="G64" s="322" t="s">
        <v>133</v>
      </c>
      <c r="H64" s="324">
        <v>400</v>
      </c>
      <c r="I64" s="325">
        <v>57</v>
      </c>
      <c r="J64" s="325">
        <f t="shared" si="0"/>
        <v>22800</v>
      </c>
      <c r="K64" s="318">
        <f>J64</f>
        <v>22800</v>
      </c>
      <c r="L64" s="318"/>
      <c r="M64" s="371"/>
      <c r="N64" s="322"/>
      <c r="O64" s="327"/>
    </row>
    <row r="65" spans="1:15" ht="20.100000000000001" customHeight="1" x14ac:dyDescent="0.3">
      <c r="A65" s="151" t="s">
        <v>118</v>
      </c>
      <c r="B65" s="378" t="s">
        <v>197</v>
      </c>
      <c r="C65" s="371">
        <v>45307</v>
      </c>
      <c r="D65" s="322" t="s">
        <v>44</v>
      </c>
      <c r="E65" s="323" t="s">
        <v>131</v>
      </c>
      <c r="F65" s="409"/>
      <c r="G65" s="322" t="s">
        <v>133</v>
      </c>
      <c r="H65" s="324">
        <v>500</v>
      </c>
      <c r="I65" s="325">
        <v>60.5</v>
      </c>
      <c r="J65" s="325">
        <f t="shared" si="0"/>
        <v>30250</v>
      </c>
      <c r="K65" s="318">
        <f t="shared" ref="K65:K72" si="3">J65*1.2</f>
        <v>36300</v>
      </c>
      <c r="L65" s="318"/>
      <c r="M65" s="371"/>
      <c r="N65" s="322"/>
      <c r="O65" s="327"/>
    </row>
    <row r="66" spans="1:15" ht="20.100000000000001" customHeight="1" x14ac:dyDescent="0.3">
      <c r="A66" s="151" t="s">
        <v>118</v>
      </c>
      <c r="B66" s="378" t="s">
        <v>197</v>
      </c>
      <c r="C66" s="371">
        <v>45307</v>
      </c>
      <c r="D66" s="322" t="s">
        <v>44</v>
      </c>
      <c r="E66" s="323" t="s">
        <v>131</v>
      </c>
      <c r="F66" s="409"/>
      <c r="G66" s="322" t="s">
        <v>133</v>
      </c>
      <c r="H66" s="324">
        <v>200</v>
      </c>
      <c r="I66" s="325">
        <v>60.5</v>
      </c>
      <c r="J66" s="325">
        <f t="shared" ref="J66:J128" si="4">I66*H66</f>
        <v>12100</v>
      </c>
      <c r="K66" s="318">
        <f t="shared" si="3"/>
        <v>14520</v>
      </c>
      <c r="L66" s="318"/>
      <c r="M66" s="371"/>
      <c r="N66" s="322"/>
      <c r="O66" s="327"/>
    </row>
    <row r="67" spans="1:15" ht="20.100000000000001" customHeight="1" x14ac:dyDescent="0.3">
      <c r="A67" s="151" t="s">
        <v>118</v>
      </c>
      <c r="B67" s="378" t="s">
        <v>197</v>
      </c>
      <c r="C67" s="371">
        <v>45307</v>
      </c>
      <c r="D67" s="322" t="s">
        <v>44</v>
      </c>
      <c r="E67" s="323" t="s">
        <v>131</v>
      </c>
      <c r="F67" s="409"/>
      <c r="G67" s="322" t="s">
        <v>133</v>
      </c>
      <c r="H67" s="324">
        <v>250</v>
      </c>
      <c r="I67" s="325">
        <v>60</v>
      </c>
      <c r="J67" s="325">
        <f t="shared" si="4"/>
        <v>15000</v>
      </c>
      <c r="K67" s="318">
        <f t="shared" si="3"/>
        <v>18000</v>
      </c>
      <c r="L67" s="318"/>
      <c r="M67" s="371"/>
      <c r="N67" s="322"/>
      <c r="O67" s="327"/>
    </row>
    <row r="68" spans="1:15" ht="20.100000000000001" customHeight="1" x14ac:dyDescent="0.3">
      <c r="A68" s="151" t="s">
        <v>118</v>
      </c>
      <c r="B68" s="378" t="s">
        <v>197</v>
      </c>
      <c r="C68" s="371">
        <v>45307</v>
      </c>
      <c r="D68" s="322" t="s">
        <v>44</v>
      </c>
      <c r="E68" s="323" t="s">
        <v>131</v>
      </c>
      <c r="F68" s="409"/>
      <c r="G68" s="322" t="s">
        <v>133</v>
      </c>
      <c r="H68" s="324">
        <v>100</v>
      </c>
      <c r="I68" s="325">
        <v>59</v>
      </c>
      <c r="J68" s="325">
        <f t="shared" si="4"/>
        <v>5900</v>
      </c>
      <c r="K68" s="318">
        <f t="shared" si="3"/>
        <v>7080</v>
      </c>
      <c r="L68" s="318"/>
      <c r="M68" s="371"/>
      <c r="N68" s="322"/>
      <c r="O68" s="327"/>
    </row>
    <row r="69" spans="1:15" ht="20.100000000000001" customHeight="1" x14ac:dyDescent="0.3">
      <c r="A69" s="151" t="s">
        <v>99</v>
      </c>
      <c r="B69" s="378" t="s">
        <v>198</v>
      </c>
      <c r="C69" s="371">
        <v>45309</v>
      </c>
      <c r="D69" s="322" t="s">
        <v>199</v>
      </c>
      <c r="E69" s="323" t="s">
        <v>131</v>
      </c>
      <c r="F69" s="409"/>
      <c r="G69" s="322" t="s">
        <v>133</v>
      </c>
      <c r="H69" s="324">
        <v>80</v>
      </c>
      <c r="I69" s="325">
        <v>62</v>
      </c>
      <c r="J69" s="325">
        <f t="shared" si="4"/>
        <v>4960</v>
      </c>
      <c r="K69" s="318">
        <f t="shared" si="3"/>
        <v>5952</v>
      </c>
      <c r="L69" s="318"/>
      <c r="M69" s="371"/>
      <c r="N69" s="322"/>
      <c r="O69" s="327"/>
    </row>
    <row r="70" spans="1:15" ht="20.100000000000001" customHeight="1" x14ac:dyDescent="0.3">
      <c r="A70" s="151" t="s">
        <v>157</v>
      </c>
      <c r="B70" s="378" t="s">
        <v>200</v>
      </c>
      <c r="C70" s="371">
        <v>45308</v>
      </c>
      <c r="D70" s="322" t="s">
        <v>201</v>
      </c>
      <c r="E70" s="323" t="s">
        <v>131</v>
      </c>
      <c r="F70" s="409"/>
      <c r="G70" s="322" t="s">
        <v>133</v>
      </c>
      <c r="H70" s="324">
        <v>50</v>
      </c>
      <c r="I70" s="325">
        <v>61</v>
      </c>
      <c r="J70" s="325">
        <f t="shared" si="4"/>
        <v>3050</v>
      </c>
      <c r="K70" s="318">
        <f t="shared" si="3"/>
        <v>3660</v>
      </c>
      <c r="L70" s="318"/>
      <c r="M70" s="371"/>
      <c r="N70" s="322"/>
      <c r="O70" s="327"/>
    </row>
    <row r="71" spans="1:15" ht="20.100000000000001" customHeight="1" x14ac:dyDescent="0.3">
      <c r="A71" s="151" t="s">
        <v>118</v>
      </c>
      <c r="B71" s="378" t="s">
        <v>202</v>
      </c>
      <c r="C71" s="371">
        <v>45308</v>
      </c>
      <c r="D71" s="322" t="s">
        <v>201</v>
      </c>
      <c r="E71" s="323" t="s">
        <v>131</v>
      </c>
      <c r="F71" s="409"/>
      <c r="G71" s="322" t="s">
        <v>133</v>
      </c>
      <c r="H71" s="324">
        <v>500</v>
      </c>
      <c r="I71" s="325">
        <v>59</v>
      </c>
      <c r="J71" s="325">
        <f t="shared" si="4"/>
        <v>29500</v>
      </c>
      <c r="K71" s="318">
        <f t="shared" si="3"/>
        <v>35400</v>
      </c>
      <c r="L71" s="318"/>
      <c r="M71" s="371"/>
      <c r="N71" s="322"/>
      <c r="O71" s="327"/>
    </row>
    <row r="72" spans="1:15" ht="20.100000000000001" customHeight="1" x14ac:dyDescent="0.3">
      <c r="A72" s="151" t="s">
        <v>118</v>
      </c>
      <c r="B72" s="378" t="s">
        <v>202</v>
      </c>
      <c r="C72" s="371">
        <v>45308</v>
      </c>
      <c r="D72" s="322" t="s">
        <v>201</v>
      </c>
      <c r="E72" s="323" t="s">
        <v>131</v>
      </c>
      <c r="F72" s="409"/>
      <c r="G72" s="322" t="s">
        <v>133</v>
      </c>
      <c r="H72" s="324">
        <v>500</v>
      </c>
      <c r="I72" s="325">
        <v>60.5</v>
      </c>
      <c r="J72" s="325">
        <f t="shared" si="4"/>
        <v>30250</v>
      </c>
      <c r="K72" s="318">
        <f t="shared" si="3"/>
        <v>36300</v>
      </c>
      <c r="L72" s="318"/>
      <c r="M72" s="371"/>
      <c r="N72" s="322"/>
      <c r="O72" s="327"/>
    </row>
    <row r="73" spans="1:15" ht="20.100000000000001" customHeight="1" x14ac:dyDescent="0.3">
      <c r="A73" s="151" t="s">
        <v>118</v>
      </c>
      <c r="B73" s="378" t="s">
        <v>203</v>
      </c>
      <c r="C73" s="371">
        <v>45309</v>
      </c>
      <c r="D73" s="322" t="s">
        <v>46</v>
      </c>
      <c r="E73" s="323" t="s">
        <v>131</v>
      </c>
      <c r="F73" s="409"/>
      <c r="G73" s="322" t="s">
        <v>133</v>
      </c>
      <c r="H73" s="324">
        <v>500</v>
      </c>
      <c r="I73" s="325">
        <v>59</v>
      </c>
      <c r="J73" s="325">
        <f t="shared" si="4"/>
        <v>29500</v>
      </c>
      <c r="K73" s="318">
        <f t="shared" si="2"/>
        <v>35400</v>
      </c>
      <c r="L73" s="318"/>
      <c r="M73" s="371"/>
      <c r="N73" s="322"/>
      <c r="O73" s="327"/>
    </row>
    <row r="74" spans="1:15" ht="20.100000000000001" customHeight="1" x14ac:dyDescent="0.3">
      <c r="A74" s="151" t="s">
        <v>118</v>
      </c>
      <c r="B74" s="378" t="s">
        <v>203</v>
      </c>
      <c r="C74" s="371">
        <v>45309</v>
      </c>
      <c r="D74" s="322" t="s">
        <v>46</v>
      </c>
      <c r="E74" s="323" t="s">
        <v>131</v>
      </c>
      <c r="F74" s="409"/>
      <c r="G74" s="322" t="s">
        <v>133</v>
      </c>
      <c r="H74" s="324">
        <v>50</v>
      </c>
      <c r="I74" s="325">
        <v>61</v>
      </c>
      <c r="J74" s="325">
        <f t="shared" si="4"/>
        <v>3050</v>
      </c>
      <c r="K74" s="318">
        <f t="shared" si="2"/>
        <v>3660</v>
      </c>
      <c r="L74" s="318"/>
      <c r="M74" s="371"/>
      <c r="N74" s="322"/>
      <c r="O74" s="327"/>
    </row>
    <row r="75" spans="1:15" ht="20.100000000000001" customHeight="1" x14ac:dyDescent="0.3">
      <c r="A75" s="151" t="s">
        <v>118</v>
      </c>
      <c r="B75" s="378" t="s">
        <v>203</v>
      </c>
      <c r="C75" s="371">
        <v>45309</v>
      </c>
      <c r="D75" s="322" t="s">
        <v>46</v>
      </c>
      <c r="E75" s="323" t="s">
        <v>131</v>
      </c>
      <c r="F75" s="409"/>
      <c r="G75" s="322" t="s">
        <v>133</v>
      </c>
      <c r="H75" s="324">
        <v>300</v>
      </c>
      <c r="I75" s="325">
        <v>58</v>
      </c>
      <c r="J75" s="325">
        <f t="shared" si="4"/>
        <v>17400</v>
      </c>
      <c r="K75" s="318">
        <f t="shared" si="2"/>
        <v>20880</v>
      </c>
      <c r="L75" s="318"/>
      <c r="M75" s="371"/>
      <c r="N75" s="322"/>
      <c r="O75" s="327"/>
    </row>
    <row r="76" spans="1:15" ht="20.100000000000001" customHeight="1" x14ac:dyDescent="0.3">
      <c r="A76" s="151" t="s">
        <v>153</v>
      </c>
      <c r="B76" s="378" t="s">
        <v>204</v>
      </c>
      <c r="C76" s="371">
        <v>45313</v>
      </c>
      <c r="D76" s="322" t="s">
        <v>205</v>
      </c>
      <c r="E76" s="323" t="s">
        <v>131</v>
      </c>
      <c r="F76" s="409"/>
      <c r="G76" s="322" t="s">
        <v>133</v>
      </c>
      <c r="H76" s="324">
        <v>500</v>
      </c>
      <c r="I76" s="325">
        <v>59</v>
      </c>
      <c r="J76" s="325">
        <f t="shared" si="4"/>
        <v>29500</v>
      </c>
      <c r="K76" s="318">
        <f t="shared" si="2"/>
        <v>35400</v>
      </c>
      <c r="L76" s="318"/>
      <c r="M76" s="371"/>
      <c r="N76" s="322"/>
      <c r="O76" s="327"/>
    </row>
    <row r="77" spans="1:15" ht="20.100000000000001" customHeight="1" x14ac:dyDescent="0.3">
      <c r="A77" s="151" t="s">
        <v>99</v>
      </c>
      <c r="B77" s="378" t="s">
        <v>206</v>
      </c>
      <c r="C77" s="371">
        <v>45313</v>
      </c>
      <c r="D77" s="322" t="s">
        <v>207</v>
      </c>
      <c r="E77" s="323" t="s">
        <v>131</v>
      </c>
      <c r="F77" s="409"/>
      <c r="G77" s="322" t="s">
        <v>133</v>
      </c>
      <c r="H77" s="324">
        <v>100</v>
      </c>
      <c r="I77" s="325">
        <v>47</v>
      </c>
      <c r="J77" s="325">
        <f t="shared" si="4"/>
        <v>4700</v>
      </c>
      <c r="K77" s="318">
        <f t="shared" si="2"/>
        <v>5640</v>
      </c>
      <c r="L77" s="318"/>
      <c r="M77" s="371"/>
      <c r="N77" s="322"/>
      <c r="O77" s="327"/>
    </row>
    <row r="78" spans="1:15" ht="20.100000000000001" customHeight="1" x14ac:dyDescent="0.3">
      <c r="A78" s="151" t="s">
        <v>34</v>
      </c>
      <c r="B78" s="378" t="s">
        <v>208</v>
      </c>
      <c r="C78" s="371">
        <v>45311</v>
      </c>
      <c r="D78" s="322" t="s">
        <v>209</v>
      </c>
      <c r="E78" s="323" t="s">
        <v>131</v>
      </c>
      <c r="F78" s="409"/>
      <c r="G78" s="322" t="s">
        <v>133</v>
      </c>
      <c r="H78" s="324">
        <v>30</v>
      </c>
      <c r="I78" s="325">
        <v>54</v>
      </c>
      <c r="J78" s="325">
        <f t="shared" si="4"/>
        <v>1620</v>
      </c>
      <c r="K78" s="318">
        <f t="shared" si="2"/>
        <v>1944</v>
      </c>
      <c r="L78" s="318"/>
      <c r="M78" s="371"/>
      <c r="N78" s="322"/>
      <c r="O78" s="327"/>
    </row>
    <row r="79" spans="1:15" ht="20.100000000000001" customHeight="1" x14ac:dyDescent="0.3">
      <c r="A79" s="151" t="s">
        <v>118</v>
      </c>
      <c r="B79" s="378" t="s">
        <v>210</v>
      </c>
      <c r="C79" s="371">
        <v>45312</v>
      </c>
      <c r="D79" s="322" t="s">
        <v>211</v>
      </c>
      <c r="E79" s="323" t="s">
        <v>131</v>
      </c>
      <c r="F79" s="409"/>
      <c r="G79" s="322" t="s">
        <v>133</v>
      </c>
      <c r="H79" s="324">
        <v>20</v>
      </c>
      <c r="I79" s="325">
        <v>59</v>
      </c>
      <c r="J79" s="325">
        <f t="shared" si="4"/>
        <v>1180</v>
      </c>
      <c r="K79" s="318">
        <f t="shared" si="2"/>
        <v>1416</v>
      </c>
      <c r="L79" s="318"/>
      <c r="M79" s="371"/>
      <c r="N79" s="322"/>
      <c r="O79" s="327"/>
    </row>
    <row r="80" spans="1:15" ht="20.100000000000001" customHeight="1" x14ac:dyDescent="0.3">
      <c r="A80" s="151" t="s">
        <v>118</v>
      </c>
      <c r="B80" s="378" t="s">
        <v>210</v>
      </c>
      <c r="C80" s="371">
        <v>45312</v>
      </c>
      <c r="D80" s="322" t="s">
        <v>211</v>
      </c>
      <c r="E80" s="323" t="s">
        <v>131</v>
      </c>
      <c r="F80" s="409"/>
      <c r="G80" s="322" t="s">
        <v>133</v>
      </c>
      <c r="H80" s="324">
        <v>500</v>
      </c>
      <c r="I80" s="325">
        <v>60</v>
      </c>
      <c r="J80" s="325">
        <f t="shared" si="4"/>
        <v>30000</v>
      </c>
      <c r="K80" s="318">
        <f t="shared" si="2"/>
        <v>36000</v>
      </c>
      <c r="L80" s="318"/>
      <c r="M80" s="371"/>
      <c r="N80" s="322"/>
      <c r="O80" s="327"/>
    </row>
    <row r="81" spans="1:15" ht="20.100000000000001" customHeight="1" x14ac:dyDescent="0.3">
      <c r="A81" s="151" t="s">
        <v>118</v>
      </c>
      <c r="B81" s="378" t="s">
        <v>212</v>
      </c>
      <c r="C81" s="371">
        <v>45310</v>
      </c>
      <c r="D81" s="322" t="s">
        <v>209</v>
      </c>
      <c r="E81" s="323" t="s">
        <v>131</v>
      </c>
      <c r="F81" s="409"/>
      <c r="G81" s="322" t="s">
        <v>133</v>
      </c>
      <c r="H81" s="324">
        <v>1000</v>
      </c>
      <c r="I81" s="325">
        <v>56</v>
      </c>
      <c r="J81" s="325">
        <f t="shared" si="4"/>
        <v>56000</v>
      </c>
      <c r="K81" s="318">
        <f t="shared" si="2"/>
        <v>67200</v>
      </c>
      <c r="L81" s="318"/>
      <c r="M81" s="371"/>
      <c r="N81" s="322"/>
      <c r="O81" s="327"/>
    </row>
    <row r="82" spans="1:15" ht="20.100000000000001" customHeight="1" x14ac:dyDescent="0.3">
      <c r="A82" s="151" t="s">
        <v>118</v>
      </c>
      <c r="B82" s="378" t="s">
        <v>212</v>
      </c>
      <c r="C82" s="371">
        <v>45310</v>
      </c>
      <c r="D82" s="322" t="s">
        <v>209</v>
      </c>
      <c r="E82" s="323" t="s">
        <v>131</v>
      </c>
      <c r="F82" s="409"/>
      <c r="G82" s="322" t="s">
        <v>133</v>
      </c>
      <c r="H82" s="324">
        <v>400</v>
      </c>
      <c r="I82" s="325">
        <v>55</v>
      </c>
      <c r="J82" s="325">
        <f t="shared" si="4"/>
        <v>22000</v>
      </c>
      <c r="K82" s="318">
        <f t="shared" si="2"/>
        <v>26400</v>
      </c>
      <c r="L82" s="318"/>
      <c r="M82" s="371"/>
      <c r="N82" s="322"/>
      <c r="O82" s="327"/>
    </row>
    <row r="83" spans="1:15" ht="20.100000000000001" customHeight="1" x14ac:dyDescent="0.3">
      <c r="A83" s="206" t="s">
        <v>37</v>
      </c>
      <c r="B83" s="378" t="s">
        <v>213</v>
      </c>
      <c r="C83" s="371">
        <v>45310</v>
      </c>
      <c r="D83" s="322" t="s">
        <v>214</v>
      </c>
      <c r="E83" s="323" t="s">
        <v>131</v>
      </c>
      <c r="F83" s="409"/>
      <c r="G83" s="322" t="s">
        <v>133</v>
      </c>
      <c r="H83" s="324">
        <v>1000</v>
      </c>
      <c r="I83" s="325">
        <v>56</v>
      </c>
      <c r="J83" s="325">
        <f t="shared" si="4"/>
        <v>56000</v>
      </c>
      <c r="K83" s="318">
        <f t="shared" si="2"/>
        <v>67200</v>
      </c>
      <c r="L83" s="318"/>
      <c r="M83" s="371"/>
      <c r="N83" s="322"/>
      <c r="O83" s="327"/>
    </row>
    <row r="84" spans="1:15" ht="20.100000000000001" customHeight="1" x14ac:dyDescent="0.3">
      <c r="A84" s="151" t="s">
        <v>157</v>
      </c>
      <c r="B84" s="378" t="s">
        <v>215</v>
      </c>
      <c r="C84" s="371">
        <v>45313</v>
      </c>
      <c r="D84" s="322" t="s">
        <v>205</v>
      </c>
      <c r="E84" s="323" t="s">
        <v>131</v>
      </c>
      <c r="F84" s="409"/>
      <c r="G84" s="322" t="s">
        <v>133</v>
      </c>
      <c r="H84" s="324">
        <v>30</v>
      </c>
      <c r="I84" s="325">
        <v>60</v>
      </c>
      <c r="J84" s="325">
        <f t="shared" si="4"/>
        <v>1800</v>
      </c>
      <c r="K84" s="318">
        <f t="shared" si="2"/>
        <v>2160</v>
      </c>
      <c r="L84" s="318"/>
      <c r="M84" s="371"/>
      <c r="N84" s="322"/>
      <c r="O84" s="327"/>
    </row>
    <row r="85" spans="1:15" ht="20.100000000000001" customHeight="1" x14ac:dyDescent="0.3">
      <c r="A85" s="151" t="s">
        <v>101</v>
      </c>
      <c r="B85" s="387" t="s">
        <v>216</v>
      </c>
      <c r="C85" s="371">
        <v>45313</v>
      </c>
      <c r="D85" s="322" t="s">
        <v>205</v>
      </c>
      <c r="E85" s="323" t="s">
        <v>131</v>
      </c>
      <c r="F85" s="409"/>
      <c r="G85" s="322" t="s">
        <v>133</v>
      </c>
      <c r="H85" s="324">
        <v>300</v>
      </c>
      <c r="I85" s="325">
        <v>58</v>
      </c>
      <c r="J85" s="325">
        <f t="shared" si="4"/>
        <v>17400</v>
      </c>
      <c r="K85" s="318">
        <f t="shared" si="2"/>
        <v>20880</v>
      </c>
      <c r="L85" s="318"/>
      <c r="M85" s="371"/>
      <c r="N85" s="322"/>
      <c r="O85" s="327"/>
    </row>
    <row r="86" spans="1:15" ht="20.100000000000001" customHeight="1" x14ac:dyDescent="0.3">
      <c r="A86" s="206" t="s">
        <v>37</v>
      </c>
      <c r="B86" s="378" t="s">
        <v>217</v>
      </c>
      <c r="C86" s="371">
        <v>45313</v>
      </c>
      <c r="D86" s="322" t="s">
        <v>205</v>
      </c>
      <c r="E86" s="323" t="s">
        <v>131</v>
      </c>
      <c r="F86" s="409"/>
      <c r="G86" s="322" t="s">
        <v>133</v>
      </c>
      <c r="H86" s="324">
        <v>500</v>
      </c>
      <c r="I86" s="325">
        <v>60</v>
      </c>
      <c r="J86" s="325">
        <f t="shared" si="4"/>
        <v>30000</v>
      </c>
      <c r="K86" s="318">
        <f t="shared" si="2"/>
        <v>36000</v>
      </c>
      <c r="L86" s="318"/>
      <c r="M86" s="371"/>
      <c r="N86" s="322"/>
      <c r="O86" s="327"/>
    </row>
    <row r="87" spans="1:15" ht="20.100000000000001" customHeight="1" x14ac:dyDescent="0.3">
      <c r="A87" s="206" t="s">
        <v>37</v>
      </c>
      <c r="B87" s="378" t="s">
        <v>217</v>
      </c>
      <c r="C87" s="371">
        <v>45313</v>
      </c>
      <c r="D87" s="322" t="s">
        <v>205</v>
      </c>
      <c r="E87" s="323" t="s">
        <v>131</v>
      </c>
      <c r="F87" s="409"/>
      <c r="G87" s="322" t="s">
        <v>133</v>
      </c>
      <c r="H87" s="324">
        <v>500</v>
      </c>
      <c r="I87" s="325">
        <v>60</v>
      </c>
      <c r="J87" s="325">
        <f t="shared" si="4"/>
        <v>30000</v>
      </c>
      <c r="K87" s="318">
        <f t="shared" si="2"/>
        <v>36000</v>
      </c>
      <c r="L87" s="318"/>
      <c r="M87" s="371"/>
      <c r="N87" s="322"/>
      <c r="O87" s="327"/>
    </row>
    <row r="88" spans="1:15" ht="20.100000000000001" customHeight="1" x14ac:dyDescent="0.3">
      <c r="A88" s="151" t="s">
        <v>118</v>
      </c>
      <c r="B88" s="378" t="s">
        <v>218</v>
      </c>
      <c r="C88" s="371">
        <v>45313</v>
      </c>
      <c r="D88" s="322" t="s">
        <v>205</v>
      </c>
      <c r="E88" s="323" t="s">
        <v>131</v>
      </c>
      <c r="F88" s="409"/>
      <c r="G88" s="322" t="s">
        <v>133</v>
      </c>
      <c r="H88" s="324">
        <v>100</v>
      </c>
      <c r="I88" s="325">
        <v>63</v>
      </c>
      <c r="J88" s="325">
        <f t="shared" si="4"/>
        <v>6300</v>
      </c>
      <c r="K88" s="318">
        <f t="shared" si="2"/>
        <v>7560</v>
      </c>
      <c r="L88" s="318"/>
      <c r="M88" s="371"/>
      <c r="N88" s="322"/>
      <c r="O88" s="327"/>
    </row>
    <row r="89" spans="1:15" ht="20.100000000000001" customHeight="1" x14ac:dyDescent="0.3">
      <c r="A89" s="151" t="s">
        <v>118</v>
      </c>
      <c r="B89" s="378" t="s">
        <v>218</v>
      </c>
      <c r="C89" s="371">
        <v>45313</v>
      </c>
      <c r="D89" s="322" t="s">
        <v>205</v>
      </c>
      <c r="E89" s="323" t="s">
        <v>131</v>
      </c>
      <c r="F89" s="409"/>
      <c r="G89" s="322" t="s">
        <v>133</v>
      </c>
      <c r="H89" s="324">
        <v>100</v>
      </c>
      <c r="I89" s="325">
        <v>61</v>
      </c>
      <c r="J89" s="325">
        <f t="shared" si="4"/>
        <v>6100</v>
      </c>
      <c r="K89" s="318">
        <f t="shared" si="2"/>
        <v>7320</v>
      </c>
      <c r="L89" s="318"/>
      <c r="M89" s="371"/>
      <c r="N89" s="322"/>
      <c r="O89" s="327"/>
    </row>
    <row r="90" spans="1:15" ht="20.100000000000001" customHeight="1" x14ac:dyDescent="0.3">
      <c r="A90" s="151" t="s">
        <v>118</v>
      </c>
      <c r="B90" s="378" t="s">
        <v>218</v>
      </c>
      <c r="C90" s="371">
        <v>45313</v>
      </c>
      <c r="D90" s="322" t="s">
        <v>205</v>
      </c>
      <c r="E90" s="323" t="s">
        <v>131</v>
      </c>
      <c r="F90" s="409"/>
      <c r="G90" s="322" t="s">
        <v>133</v>
      </c>
      <c r="H90" s="324">
        <v>50</v>
      </c>
      <c r="I90" s="325">
        <v>60</v>
      </c>
      <c r="J90" s="325">
        <f t="shared" si="4"/>
        <v>3000</v>
      </c>
      <c r="K90" s="318">
        <f t="shared" si="2"/>
        <v>3600</v>
      </c>
      <c r="L90" s="318"/>
      <c r="M90" s="371"/>
      <c r="N90" s="322"/>
      <c r="O90" s="327"/>
    </row>
    <row r="91" spans="1:15" ht="20.100000000000001" customHeight="1" x14ac:dyDescent="0.3">
      <c r="A91" s="151" t="s">
        <v>118</v>
      </c>
      <c r="B91" s="378" t="s">
        <v>218</v>
      </c>
      <c r="C91" s="371">
        <v>45313</v>
      </c>
      <c r="D91" s="322" t="s">
        <v>205</v>
      </c>
      <c r="E91" s="323" t="s">
        <v>131</v>
      </c>
      <c r="F91" s="409"/>
      <c r="G91" s="322" t="s">
        <v>133</v>
      </c>
      <c r="H91" s="324">
        <v>300</v>
      </c>
      <c r="I91" s="325">
        <v>59</v>
      </c>
      <c r="J91" s="325">
        <f t="shared" si="4"/>
        <v>17700</v>
      </c>
      <c r="K91" s="318">
        <f t="shared" si="2"/>
        <v>21240</v>
      </c>
      <c r="L91" s="318"/>
      <c r="M91" s="371"/>
      <c r="N91" s="322"/>
      <c r="O91" s="327"/>
    </row>
    <row r="92" spans="1:15" ht="20.100000000000001" customHeight="1" x14ac:dyDescent="0.3">
      <c r="A92" s="151" t="s">
        <v>118</v>
      </c>
      <c r="B92" s="378" t="s">
        <v>218</v>
      </c>
      <c r="C92" s="371">
        <v>45313</v>
      </c>
      <c r="D92" s="322" t="s">
        <v>205</v>
      </c>
      <c r="E92" s="323" t="s">
        <v>131</v>
      </c>
      <c r="F92" s="409"/>
      <c r="G92" s="322" t="s">
        <v>133</v>
      </c>
      <c r="H92" s="324">
        <v>20</v>
      </c>
      <c r="I92" s="325">
        <v>60</v>
      </c>
      <c r="J92" s="325">
        <f t="shared" si="4"/>
        <v>1200</v>
      </c>
      <c r="K92" s="318">
        <f t="shared" si="2"/>
        <v>1440</v>
      </c>
      <c r="L92" s="318"/>
      <c r="M92" s="371"/>
      <c r="N92" s="322"/>
      <c r="O92" s="327"/>
    </row>
    <row r="93" spans="1:15" ht="20.100000000000001" customHeight="1" x14ac:dyDescent="0.3">
      <c r="A93" s="151" t="s">
        <v>157</v>
      </c>
      <c r="B93" s="378" t="s">
        <v>219</v>
      </c>
      <c r="C93" s="371">
        <v>45313</v>
      </c>
      <c r="D93" s="322" t="s">
        <v>205</v>
      </c>
      <c r="E93" s="323" t="s">
        <v>131</v>
      </c>
      <c r="F93" s="409"/>
      <c r="G93" s="322" t="s">
        <v>133</v>
      </c>
      <c r="H93" s="324">
        <v>380</v>
      </c>
      <c r="I93" s="325">
        <v>57</v>
      </c>
      <c r="J93" s="325">
        <f t="shared" si="4"/>
        <v>21660</v>
      </c>
      <c r="K93" s="318">
        <f t="shared" si="2"/>
        <v>25992</v>
      </c>
      <c r="L93" s="318"/>
      <c r="M93" s="371"/>
      <c r="N93" s="322"/>
      <c r="O93" s="327"/>
    </row>
    <row r="94" spans="1:15" ht="20.100000000000001" customHeight="1" x14ac:dyDescent="0.3">
      <c r="A94" s="151" t="s">
        <v>157</v>
      </c>
      <c r="B94" s="378" t="s">
        <v>219</v>
      </c>
      <c r="C94" s="371">
        <v>45313</v>
      </c>
      <c r="D94" s="322" t="s">
        <v>205</v>
      </c>
      <c r="E94" s="323" t="s">
        <v>131</v>
      </c>
      <c r="F94" s="409"/>
      <c r="G94" s="322" t="s">
        <v>133</v>
      </c>
      <c r="H94" s="324">
        <v>50</v>
      </c>
      <c r="I94" s="325">
        <v>54</v>
      </c>
      <c r="J94" s="325">
        <f t="shared" si="4"/>
        <v>2700</v>
      </c>
      <c r="K94" s="318">
        <f t="shared" si="2"/>
        <v>3240</v>
      </c>
      <c r="L94" s="318"/>
      <c r="M94" s="371"/>
      <c r="N94" s="322"/>
      <c r="O94" s="327"/>
    </row>
    <row r="95" spans="1:15" ht="20.100000000000001" customHeight="1" x14ac:dyDescent="0.3">
      <c r="A95" s="151" t="s">
        <v>157</v>
      </c>
      <c r="B95" s="378" t="s">
        <v>219</v>
      </c>
      <c r="C95" s="371">
        <v>45313</v>
      </c>
      <c r="D95" s="322" t="s">
        <v>205</v>
      </c>
      <c r="E95" s="323" t="s">
        <v>131</v>
      </c>
      <c r="F95" s="409"/>
      <c r="G95" s="322" t="s">
        <v>133</v>
      </c>
      <c r="H95" s="324">
        <v>50</v>
      </c>
      <c r="I95" s="325">
        <v>55</v>
      </c>
      <c r="J95" s="325">
        <f t="shared" si="4"/>
        <v>2750</v>
      </c>
      <c r="K95" s="318">
        <f t="shared" si="2"/>
        <v>3300</v>
      </c>
      <c r="L95" s="318"/>
      <c r="M95" s="371"/>
      <c r="N95" s="322"/>
      <c r="O95" s="327"/>
    </row>
    <row r="96" spans="1:15" ht="20.100000000000001" customHeight="1" x14ac:dyDescent="0.3">
      <c r="A96" s="151" t="s">
        <v>118</v>
      </c>
      <c r="B96" s="378" t="s">
        <v>220</v>
      </c>
      <c r="C96" s="371">
        <v>45314</v>
      </c>
      <c r="D96" s="322" t="s">
        <v>221</v>
      </c>
      <c r="E96" s="323" t="s">
        <v>131</v>
      </c>
      <c r="F96" s="409"/>
      <c r="G96" s="322" t="s">
        <v>133</v>
      </c>
      <c r="H96" s="324">
        <v>500</v>
      </c>
      <c r="I96" s="325">
        <v>59.5</v>
      </c>
      <c r="J96" s="325">
        <f t="shared" si="4"/>
        <v>29750</v>
      </c>
      <c r="K96" s="318">
        <f t="shared" si="2"/>
        <v>35700</v>
      </c>
      <c r="L96" s="318"/>
      <c r="M96" s="371"/>
      <c r="N96" s="322"/>
      <c r="O96" s="327"/>
    </row>
    <row r="97" spans="1:15" ht="20.100000000000001" customHeight="1" x14ac:dyDescent="0.3">
      <c r="A97" s="151" t="s">
        <v>118</v>
      </c>
      <c r="B97" s="378" t="s">
        <v>220</v>
      </c>
      <c r="C97" s="371">
        <v>45314</v>
      </c>
      <c r="D97" s="322" t="s">
        <v>221</v>
      </c>
      <c r="E97" s="323" t="s">
        <v>131</v>
      </c>
      <c r="F97" s="409"/>
      <c r="G97" s="322" t="s">
        <v>133</v>
      </c>
      <c r="H97" s="324">
        <v>550</v>
      </c>
      <c r="I97" s="325">
        <v>59</v>
      </c>
      <c r="J97" s="325">
        <f t="shared" si="4"/>
        <v>32450</v>
      </c>
      <c r="K97" s="318">
        <f t="shared" si="2"/>
        <v>38940</v>
      </c>
      <c r="L97" s="318"/>
      <c r="M97" s="371"/>
      <c r="N97" s="322"/>
      <c r="O97" s="327"/>
    </row>
    <row r="98" spans="1:15" ht="20.100000000000001" customHeight="1" x14ac:dyDescent="0.3">
      <c r="A98" s="151" t="s">
        <v>118</v>
      </c>
      <c r="B98" s="378" t="s">
        <v>220</v>
      </c>
      <c r="C98" s="371">
        <v>45314</v>
      </c>
      <c r="D98" s="322" t="s">
        <v>221</v>
      </c>
      <c r="E98" s="323" t="s">
        <v>131</v>
      </c>
      <c r="F98" s="409"/>
      <c r="G98" s="322" t="s">
        <v>133</v>
      </c>
      <c r="H98" s="324">
        <v>70</v>
      </c>
      <c r="I98" s="325">
        <v>60</v>
      </c>
      <c r="J98" s="325">
        <f t="shared" si="4"/>
        <v>4200</v>
      </c>
      <c r="K98" s="318">
        <f t="shared" si="2"/>
        <v>5040</v>
      </c>
      <c r="L98" s="318"/>
      <c r="M98" s="371"/>
      <c r="N98" s="322"/>
      <c r="O98" s="327"/>
    </row>
    <row r="99" spans="1:15" ht="20.100000000000001" customHeight="1" x14ac:dyDescent="0.3">
      <c r="A99" s="151" t="s">
        <v>118</v>
      </c>
      <c r="B99" s="378" t="s">
        <v>220</v>
      </c>
      <c r="C99" s="371">
        <v>45314</v>
      </c>
      <c r="D99" s="322" t="s">
        <v>221</v>
      </c>
      <c r="E99" s="323" t="s">
        <v>131</v>
      </c>
      <c r="F99" s="409"/>
      <c r="G99" s="322" t="s">
        <v>133</v>
      </c>
      <c r="H99" s="324">
        <v>100</v>
      </c>
      <c r="I99" s="325">
        <v>59</v>
      </c>
      <c r="J99" s="325">
        <f t="shared" si="4"/>
        <v>5900</v>
      </c>
      <c r="K99" s="318">
        <f t="shared" si="2"/>
        <v>7080</v>
      </c>
      <c r="L99" s="318"/>
      <c r="M99" s="371"/>
      <c r="N99" s="322"/>
      <c r="O99" s="327"/>
    </row>
    <row r="100" spans="1:15" ht="20.100000000000001" customHeight="1" x14ac:dyDescent="0.3">
      <c r="A100" s="206" t="s">
        <v>37</v>
      </c>
      <c r="B100" s="378" t="s">
        <v>222</v>
      </c>
      <c r="C100" s="371">
        <v>45314</v>
      </c>
      <c r="D100" s="322" t="s">
        <v>221</v>
      </c>
      <c r="E100" s="323" t="s">
        <v>131</v>
      </c>
      <c r="F100" s="409"/>
      <c r="G100" s="322" t="s">
        <v>133</v>
      </c>
      <c r="H100" s="324">
        <v>200</v>
      </c>
      <c r="I100" s="325">
        <v>58.5</v>
      </c>
      <c r="J100" s="325">
        <f t="shared" si="4"/>
        <v>11700</v>
      </c>
      <c r="K100" s="318">
        <f t="shared" si="2"/>
        <v>14040</v>
      </c>
      <c r="L100" s="318"/>
      <c r="M100" s="371"/>
      <c r="N100" s="322"/>
      <c r="O100" s="327"/>
    </row>
    <row r="101" spans="1:15" ht="20.100000000000001" customHeight="1" x14ac:dyDescent="0.3">
      <c r="A101" s="206" t="s">
        <v>37</v>
      </c>
      <c r="B101" s="378" t="s">
        <v>222</v>
      </c>
      <c r="C101" s="371">
        <v>45314</v>
      </c>
      <c r="D101" s="322" t="s">
        <v>221</v>
      </c>
      <c r="E101" s="323" t="s">
        <v>131</v>
      </c>
      <c r="F101" s="409"/>
      <c r="G101" s="322" t="s">
        <v>133</v>
      </c>
      <c r="H101" s="324">
        <v>150</v>
      </c>
      <c r="I101" s="325">
        <v>58</v>
      </c>
      <c r="J101" s="325">
        <f t="shared" si="4"/>
        <v>8700</v>
      </c>
      <c r="K101" s="318">
        <f t="shared" si="2"/>
        <v>10440</v>
      </c>
      <c r="L101" s="318"/>
      <c r="M101" s="371"/>
      <c r="N101" s="322"/>
      <c r="O101" s="327"/>
    </row>
    <row r="102" spans="1:15" ht="20.100000000000001" customHeight="1" x14ac:dyDescent="0.3">
      <c r="A102" s="206" t="s">
        <v>37</v>
      </c>
      <c r="B102" s="378" t="s">
        <v>223</v>
      </c>
      <c r="C102" s="371">
        <v>45315</v>
      </c>
      <c r="D102" s="322" t="s">
        <v>47</v>
      </c>
      <c r="E102" s="323" t="s">
        <v>131</v>
      </c>
      <c r="F102" s="409"/>
      <c r="G102" s="322" t="s">
        <v>133</v>
      </c>
      <c r="H102" s="324">
        <v>40</v>
      </c>
      <c r="I102" s="325">
        <v>58</v>
      </c>
      <c r="J102" s="325">
        <f t="shared" si="4"/>
        <v>2320</v>
      </c>
      <c r="K102" s="318">
        <f t="shared" si="2"/>
        <v>2784</v>
      </c>
      <c r="L102" s="318"/>
      <c r="M102" s="371"/>
      <c r="N102" s="322"/>
      <c r="O102" s="327"/>
    </row>
    <row r="103" spans="1:15" ht="20.100000000000001" customHeight="1" x14ac:dyDescent="0.3">
      <c r="A103" s="206" t="s">
        <v>37</v>
      </c>
      <c r="B103" s="378" t="s">
        <v>224</v>
      </c>
      <c r="C103" s="371">
        <v>45321</v>
      </c>
      <c r="D103" s="322" t="s">
        <v>225</v>
      </c>
      <c r="E103" s="323" t="s">
        <v>131</v>
      </c>
      <c r="F103" s="409"/>
      <c r="G103" s="322" t="s">
        <v>133</v>
      </c>
      <c r="H103" s="324">
        <v>50</v>
      </c>
      <c r="I103" s="325">
        <v>59</v>
      </c>
      <c r="J103" s="325">
        <f t="shared" si="4"/>
        <v>2950</v>
      </c>
      <c r="K103" s="318">
        <f t="shared" si="2"/>
        <v>3540</v>
      </c>
      <c r="L103" s="318"/>
      <c r="M103" s="371"/>
      <c r="N103" s="322"/>
      <c r="O103" s="327"/>
    </row>
    <row r="104" spans="1:15" ht="20.100000000000001" customHeight="1" x14ac:dyDescent="0.3">
      <c r="A104" s="206" t="s">
        <v>37</v>
      </c>
      <c r="B104" s="378" t="s">
        <v>224</v>
      </c>
      <c r="C104" s="371">
        <v>45321</v>
      </c>
      <c r="D104" s="322" t="s">
        <v>225</v>
      </c>
      <c r="E104" s="323" t="s">
        <v>131</v>
      </c>
      <c r="F104" s="409"/>
      <c r="G104" s="322" t="s">
        <v>133</v>
      </c>
      <c r="H104" s="324">
        <v>100</v>
      </c>
      <c r="I104" s="325">
        <v>58</v>
      </c>
      <c r="J104" s="325">
        <f t="shared" si="4"/>
        <v>5800</v>
      </c>
      <c r="K104" s="318">
        <f t="shared" si="2"/>
        <v>6960</v>
      </c>
      <c r="L104" s="318"/>
      <c r="M104" s="371"/>
      <c r="N104" s="322"/>
      <c r="O104" s="327"/>
    </row>
    <row r="105" spans="1:15" ht="20.100000000000001" customHeight="1" x14ac:dyDescent="0.3">
      <c r="A105" s="206" t="s">
        <v>37</v>
      </c>
      <c r="B105" s="378" t="s">
        <v>224</v>
      </c>
      <c r="C105" s="371">
        <v>45321</v>
      </c>
      <c r="D105" s="322" t="s">
        <v>225</v>
      </c>
      <c r="E105" s="323" t="s">
        <v>131</v>
      </c>
      <c r="F105" s="409"/>
      <c r="G105" s="322" t="s">
        <v>133</v>
      </c>
      <c r="H105" s="324">
        <v>50</v>
      </c>
      <c r="I105" s="325">
        <v>58</v>
      </c>
      <c r="J105" s="325">
        <f t="shared" si="4"/>
        <v>2900</v>
      </c>
      <c r="K105" s="318">
        <f t="shared" si="2"/>
        <v>3480</v>
      </c>
      <c r="L105" s="318"/>
      <c r="M105" s="371"/>
      <c r="N105" s="322"/>
      <c r="O105" s="327"/>
    </row>
    <row r="106" spans="1:15" ht="20.100000000000001" customHeight="1" x14ac:dyDescent="0.3">
      <c r="A106" s="151" t="s">
        <v>226</v>
      </c>
      <c r="B106" s="378" t="s">
        <v>227</v>
      </c>
      <c r="C106" s="371">
        <v>45320</v>
      </c>
      <c r="D106" s="322" t="s">
        <v>228</v>
      </c>
      <c r="E106" s="323" t="s">
        <v>131</v>
      </c>
      <c r="F106" s="409"/>
      <c r="G106" s="322" t="s">
        <v>133</v>
      </c>
      <c r="H106" s="324">
        <v>65</v>
      </c>
      <c r="I106" s="325">
        <v>61.5</v>
      </c>
      <c r="J106" s="325">
        <f t="shared" si="4"/>
        <v>3997.5</v>
      </c>
      <c r="K106" s="318">
        <f t="shared" si="2"/>
        <v>4797</v>
      </c>
      <c r="L106" s="318"/>
      <c r="M106" s="371"/>
      <c r="N106" s="322"/>
      <c r="O106" s="327"/>
    </row>
    <row r="107" spans="1:15" ht="20.100000000000001" customHeight="1" x14ac:dyDescent="0.3">
      <c r="A107" s="206" t="s">
        <v>37</v>
      </c>
      <c r="B107" s="378" t="s">
        <v>229</v>
      </c>
      <c r="C107" s="371">
        <v>45320</v>
      </c>
      <c r="D107" s="322" t="s">
        <v>228</v>
      </c>
      <c r="E107" s="323" t="s">
        <v>131</v>
      </c>
      <c r="F107" s="409"/>
      <c r="G107" s="322" t="s">
        <v>133</v>
      </c>
      <c r="H107" s="324">
        <v>2</v>
      </c>
      <c r="I107" s="325">
        <v>59.5</v>
      </c>
      <c r="J107" s="325">
        <f t="shared" si="4"/>
        <v>119</v>
      </c>
      <c r="K107" s="318">
        <f t="shared" si="2"/>
        <v>142.79999999999998</v>
      </c>
      <c r="L107" s="318"/>
      <c r="M107" s="371"/>
      <c r="N107" s="322"/>
      <c r="O107" s="327"/>
    </row>
    <row r="108" spans="1:15" ht="20.100000000000001" customHeight="1" x14ac:dyDescent="0.3">
      <c r="A108" s="151" t="s">
        <v>157</v>
      </c>
      <c r="B108" s="378" t="s">
        <v>230</v>
      </c>
      <c r="C108" s="371">
        <v>45320</v>
      </c>
      <c r="D108" s="322" t="s">
        <v>228</v>
      </c>
      <c r="E108" s="323" t="s">
        <v>131</v>
      </c>
      <c r="F108" s="409"/>
      <c r="G108" s="322" t="s">
        <v>133</v>
      </c>
      <c r="H108" s="324">
        <v>110</v>
      </c>
      <c r="I108" s="325">
        <v>55</v>
      </c>
      <c r="J108" s="325">
        <f t="shared" si="4"/>
        <v>6050</v>
      </c>
      <c r="K108" s="318">
        <f t="shared" si="2"/>
        <v>7260</v>
      </c>
      <c r="L108" s="318"/>
      <c r="M108" s="371"/>
      <c r="N108" s="322"/>
      <c r="O108" s="327"/>
    </row>
    <row r="109" spans="1:15" ht="20.100000000000001" customHeight="1" x14ac:dyDescent="0.3">
      <c r="A109" s="151" t="s">
        <v>231</v>
      </c>
      <c r="B109" s="378" t="s">
        <v>232</v>
      </c>
      <c r="C109" s="371">
        <v>45306</v>
      </c>
      <c r="D109" s="322" t="s">
        <v>42</v>
      </c>
      <c r="E109" s="323" t="s">
        <v>131</v>
      </c>
      <c r="F109" s="409"/>
      <c r="G109" s="322" t="s">
        <v>133</v>
      </c>
      <c r="H109" s="324">
        <v>500</v>
      </c>
      <c r="I109" s="325">
        <v>62.98</v>
      </c>
      <c r="J109" s="325">
        <f t="shared" si="4"/>
        <v>31490</v>
      </c>
      <c r="K109" s="318">
        <f t="shared" si="2"/>
        <v>37788</v>
      </c>
      <c r="L109" s="318"/>
      <c r="M109" s="371"/>
      <c r="N109" s="322"/>
      <c r="O109" s="327"/>
    </row>
    <row r="110" spans="1:15" ht="20.100000000000001" customHeight="1" x14ac:dyDescent="0.3">
      <c r="A110" s="151" t="s">
        <v>101</v>
      </c>
      <c r="B110" s="387" t="s">
        <v>233</v>
      </c>
      <c r="C110" s="371">
        <v>45317</v>
      </c>
      <c r="D110" s="322" t="s">
        <v>234</v>
      </c>
      <c r="E110" s="323" t="s">
        <v>131</v>
      </c>
      <c r="F110" s="409"/>
      <c r="G110" s="322" t="s">
        <v>133</v>
      </c>
      <c r="H110" s="324">
        <v>150</v>
      </c>
      <c r="I110" s="325">
        <v>57</v>
      </c>
      <c r="J110" s="325">
        <f t="shared" si="4"/>
        <v>8550</v>
      </c>
      <c r="K110" s="318">
        <f t="shared" ref="K110:K133" si="5">J110*1.2</f>
        <v>10260</v>
      </c>
      <c r="L110" s="318"/>
      <c r="M110" s="371"/>
      <c r="N110" s="322"/>
      <c r="O110" s="327"/>
    </row>
    <row r="111" spans="1:15" ht="20.100000000000001" customHeight="1" x14ac:dyDescent="0.3">
      <c r="A111" s="220" t="s">
        <v>235</v>
      </c>
      <c r="B111" s="378" t="s">
        <v>236</v>
      </c>
      <c r="C111" s="371">
        <v>45324</v>
      </c>
      <c r="D111" s="322" t="s">
        <v>237</v>
      </c>
      <c r="E111" s="323" t="s">
        <v>131</v>
      </c>
      <c r="F111" s="409"/>
      <c r="G111" s="322" t="s">
        <v>133</v>
      </c>
      <c r="H111" s="324">
        <v>250</v>
      </c>
      <c r="I111" s="325">
        <f>29.3993*1.95583</f>
        <v>57.500032918999999</v>
      </c>
      <c r="J111" s="325">
        <f t="shared" si="4"/>
        <v>14375.008229749999</v>
      </c>
      <c r="K111" s="318">
        <f t="shared" si="5"/>
        <v>17250.009875699998</v>
      </c>
      <c r="L111" s="318"/>
      <c r="M111" s="371"/>
      <c r="N111" s="322"/>
      <c r="O111" s="327"/>
    </row>
    <row r="112" spans="1:15" ht="20.100000000000001" customHeight="1" x14ac:dyDescent="0.3">
      <c r="A112" s="220" t="s">
        <v>235</v>
      </c>
      <c r="B112" s="378" t="s">
        <v>236</v>
      </c>
      <c r="C112" s="371">
        <v>45324</v>
      </c>
      <c r="D112" s="322" t="s">
        <v>196</v>
      </c>
      <c r="E112" s="323" t="s">
        <v>131</v>
      </c>
      <c r="F112" s="409"/>
      <c r="G112" s="322" t="s">
        <v>133</v>
      </c>
      <c r="H112" s="324">
        <v>500</v>
      </c>
      <c r="I112" s="325">
        <f>29.144*1.95583</f>
        <v>57.000709519999994</v>
      </c>
      <c r="J112" s="325">
        <f t="shared" si="4"/>
        <v>28500.354759999998</v>
      </c>
      <c r="K112" s="318">
        <f t="shared" si="5"/>
        <v>34200.425711999997</v>
      </c>
      <c r="L112" s="318"/>
      <c r="M112" s="371"/>
      <c r="N112" s="322"/>
      <c r="O112" s="327"/>
    </row>
    <row r="113" spans="1:15" ht="20.100000000000001" customHeight="1" x14ac:dyDescent="0.3">
      <c r="A113" s="220" t="s">
        <v>235</v>
      </c>
      <c r="B113" s="378" t="s">
        <v>236</v>
      </c>
      <c r="C113" s="371">
        <v>45324</v>
      </c>
      <c r="D113" s="322" t="s">
        <v>238</v>
      </c>
      <c r="E113" s="323" t="s">
        <v>131</v>
      </c>
      <c r="F113" s="409"/>
      <c r="G113" s="322" t="s">
        <v>133</v>
      </c>
      <c r="H113" s="324">
        <v>40</v>
      </c>
      <c r="I113" s="325">
        <f>29.655*1.95583</f>
        <v>58.000138650000004</v>
      </c>
      <c r="J113" s="325">
        <f t="shared" si="4"/>
        <v>2320.0055460000003</v>
      </c>
      <c r="K113" s="318">
        <f t="shared" si="5"/>
        <v>2784.0066552000003</v>
      </c>
      <c r="L113" s="318"/>
      <c r="M113" s="371"/>
      <c r="N113" s="322"/>
      <c r="O113" s="327"/>
    </row>
    <row r="114" spans="1:15" ht="20.100000000000001" customHeight="1" x14ac:dyDescent="0.3">
      <c r="A114" s="220" t="s">
        <v>235</v>
      </c>
      <c r="B114" s="378" t="s">
        <v>236</v>
      </c>
      <c r="C114" s="371">
        <v>45324</v>
      </c>
      <c r="D114" s="322" t="s">
        <v>140</v>
      </c>
      <c r="E114" s="323" t="s">
        <v>131</v>
      </c>
      <c r="F114" s="409"/>
      <c r="G114" s="322" t="s">
        <v>133</v>
      </c>
      <c r="H114" s="324">
        <v>500</v>
      </c>
      <c r="I114" s="325">
        <f>29.6549*1.95583</f>
        <v>57.999943067000004</v>
      </c>
      <c r="J114" s="325">
        <f t="shared" si="4"/>
        <v>28999.9715335</v>
      </c>
      <c r="K114" s="318">
        <f t="shared" si="5"/>
        <v>34799.965840199999</v>
      </c>
      <c r="L114" s="318"/>
      <c r="M114" s="371"/>
      <c r="N114" s="322"/>
      <c r="O114" s="327"/>
    </row>
    <row r="115" spans="1:15" ht="20.100000000000001" customHeight="1" x14ac:dyDescent="0.3">
      <c r="A115" s="220" t="s">
        <v>235</v>
      </c>
      <c r="B115" s="378" t="s">
        <v>236</v>
      </c>
      <c r="C115" s="371">
        <v>45324</v>
      </c>
      <c r="D115" s="322" t="s">
        <v>140</v>
      </c>
      <c r="E115" s="323" t="s">
        <v>131</v>
      </c>
      <c r="F115" s="409"/>
      <c r="G115" s="322" t="s">
        <v>133</v>
      </c>
      <c r="H115" s="324">
        <v>100</v>
      </c>
      <c r="I115" s="325">
        <f>29.1436*1.95583</f>
        <v>56.999927188000001</v>
      </c>
      <c r="J115" s="325">
        <f t="shared" si="4"/>
        <v>5699.9927188000001</v>
      </c>
      <c r="K115" s="318">
        <f t="shared" si="5"/>
        <v>6839.99126256</v>
      </c>
      <c r="L115" s="318"/>
      <c r="M115" s="371"/>
      <c r="N115" s="322"/>
      <c r="O115" s="327"/>
    </row>
    <row r="116" spans="1:15" ht="20.100000000000001" customHeight="1" x14ac:dyDescent="0.3">
      <c r="A116" s="151" t="s">
        <v>153</v>
      </c>
      <c r="B116" s="378" t="s">
        <v>239</v>
      </c>
      <c r="C116" s="371">
        <v>45319</v>
      </c>
      <c r="D116" s="322" t="s">
        <v>240</v>
      </c>
      <c r="E116" s="323" t="s">
        <v>131</v>
      </c>
      <c r="F116" s="409"/>
      <c r="G116" s="322" t="s">
        <v>133</v>
      </c>
      <c r="H116" s="324">
        <v>330</v>
      </c>
      <c r="I116" s="325">
        <v>58.5</v>
      </c>
      <c r="J116" s="325">
        <f t="shared" si="4"/>
        <v>19305</v>
      </c>
      <c r="K116" s="318">
        <f t="shared" si="5"/>
        <v>23166</v>
      </c>
      <c r="L116" s="318"/>
      <c r="M116" s="371"/>
      <c r="N116" s="322"/>
      <c r="O116" s="327"/>
    </row>
    <row r="117" spans="1:15" ht="20.100000000000001" customHeight="1" x14ac:dyDescent="0.3">
      <c r="A117" s="151" t="s">
        <v>153</v>
      </c>
      <c r="B117" s="378" t="s">
        <v>241</v>
      </c>
      <c r="C117" s="371">
        <v>45320</v>
      </c>
      <c r="D117" s="322" t="s">
        <v>228</v>
      </c>
      <c r="E117" s="323" t="s">
        <v>131</v>
      </c>
      <c r="F117" s="409"/>
      <c r="G117" s="322" t="s">
        <v>133</v>
      </c>
      <c r="H117" s="324">
        <v>450</v>
      </c>
      <c r="I117" s="325">
        <v>59</v>
      </c>
      <c r="J117" s="325">
        <f t="shared" si="4"/>
        <v>26550</v>
      </c>
      <c r="K117" s="318">
        <f t="shared" si="5"/>
        <v>31860</v>
      </c>
      <c r="L117" s="318"/>
      <c r="M117" s="371"/>
      <c r="N117" s="322"/>
      <c r="O117" s="327"/>
    </row>
    <row r="118" spans="1:15" ht="20.100000000000001" customHeight="1" x14ac:dyDescent="0.3">
      <c r="A118" s="151" t="s">
        <v>118</v>
      </c>
      <c r="B118" s="378" t="s">
        <v>242</v>
      </c>
      <c r="C118" s="371">
        <v>45317</v>
      </c>
      <c r="D118" s="322" t="s">
        <v>234</v>
      </c>
      <c r="E118" s="323" t="s">
        <v>131</v>
      </c>
      <c r="F118" s="409"/>
      <c r="G118" s="322" t="s">
        <v>133</v>
      </c>
      <c r="H118" s="324">
        <v>1000</v>
      </c>
      <c r="I118" s="325">
        <v>57</v>
      </c>
      <c r="J118" s="325">
        <f t="shared" si="4"/>
        <v>57000</v>
      </c>
      <c r="K118" s="318">
        <f t="shared" si="5"/>
        <v>68400</v>
      </c>
      <c r="L118" s="318"/>
      <c r="M118" s="371"/>
      <c r="N118" s="322"/>
      <c r="O118" s="327"/>
    </row>
    <row r="119" spans="1:15" ht="20.100000000000001" customHeight="1" x14ac:dyDescent="0.3">
      <c r="A119" s="151" t="s">
        <v>118</v>
      </c>
      <c r="B119" s="378" t="s">
        <v>242</v>
      </c>
      <c r="C119" s="371">
        <v>45317</v>
      </c>
      <c r="D119" s="322" t="s">
        <v>234</v>
      </c>
      <c r="E119" s="323" t="s">
        <v>131</v>
      </c>
      <c r="F119" s="409"/>
      <c r="G119" s="322" t="s">
        <v>133</v>
      </c>
      <c r="H119" s="324">
        <v>30</v>
      </c>
      <c r="I119" s="325">
        <v>55</v>
      </c>
      <c r="J119" s="325">
        <f t="shared" si="4"/>
        <v>1650</v>
      </c>
      <c r="K119" s="318">
        <f t="shared" si="5"/>
        <v>1980</v>
      </c>
      <c r="L119" s="318"/>
      <c r="M119" s="371"/>
      <c r="N119" s="322"/>
      <c r="O119" s="327"/>
    </row>
    <row r="120" spans="1:15" ht="20.100000000000001" customHeight="1" x14ac:dyDescent="0.3">
      <c r="A120" s="151" t="s">
        <v>118</v>
      </c>
      <c r="B120" s="378" t="s">
        <v>243</v>
      </c>
      <c r="C120" s="371">
        <v>45320</v>
      </c>
      <c r="D120" s="322" t="s">
        <v>228</v>
      </c>
      <c r="E120" s="323" t="s">
        <v>131</v>
      </c>
      <c r="F120" s="409"/>
      <c r="G120" s="322" t="s">
        <v>133</v>
      </c>
      <c r="H120" s="324">
        <v>50</v>
      </c>
      <c r="I120" s="325">
        <v>60.15</v>
      </c>
      <c r="J120" s="325">
        <f t="shared" si="4"/>
        <v>3007.5</v>
      </c>
      <c r="K120" s="318">
        <f t="shared" si="5"/>
        <v>3609</v>
      </c>
      <c r="L120" s="318"/>
      <c r="M120" s="371"/>
      <c r="N120" s="322"/>
      <c r="O120" s="327"/>
    </row>
    <row r="121" spans="1:15" ht="20.100000000000001" customHeight="1" x14ac:dyDescent="0.3">
      <c r="A121" s="151" t="s">
        <v>118</v>
      </c>
      <c r="B121" s="378" t="s">
        <v>243</v>
      </c>
      <c r="C121" s="371">
        <v>45320</v>
      </c>
      <c r="D121" s="322" t="s">
        <v>228</v>
      </c>
      <c r="E121" s="323" t="s">
        <v>131</v>
      </c>
      <c r="F121" s="409"/>
      <c r="G121" s="322" t="s">
        <v>133</v>
      </c>
      <c r="H121" s="324">
        <v>50</v>
      </c>
      <c r="I121" s="325">
        <v>60</v>
      </c>
      <c r="J121" s="325">
        <f t="shared" si="4"/>
        <v>3000</v>
      </c>
      <c r="K121" s="318">
        <f t="shared" si="5"/>
        <v>3600</v>
      </c>
      <c r="L121" s="318"/>
      <c r="M121" s="371"/>
      <c r="N121" s="322"/>
      <c r="O121" s="327"/>
    </row>
    <row r="122" spans="1:15" ht="20.100000000000001" customHeight="1" x14ac:dyDescent="0.3">
      <c r="A122" s="151" t="s">
        <v>118</v>
      </c>
      <c r="B122" s="378" t="s">
        <v>243</v>
      </c>
      <c r="C122" s="371">
        <v>45320</v>
      </c>
      <c r="D122" s="322" t="s">
        <v>228</v>
      </c>
      <c r="E122" s="323" t="s">
        <v>131</v>
      </c>
      <c r="F122" s="409"/>
      <c r="G122" s="322" t="s">
        <v>133</v>
      </c>
      <c r="H122" s="324">
        <v>100</v>
      </c>
      <c r="I122" s="325">
        <v>60</v>
      </c>
      <c r="J122" s="325">
        <f t="shared" si="4"/>
        <v>6000</v>
      </c>
      <c r="K122" s="318">
        <f t="shared" si="5"/>
        <v>7200</v>
      </c>
      <c r="L122" s="318"/>
      <c r="M122" s="371"/>
      <c r="N122" s="322"/>
      <c r="O122" s="327"/>
    </row>
    <row r="123" spans="1:15" ht="20.100000000000001" customHeight="1" x14ac:dyDescent="0.3">
      <c r="A123" s="151" t="s">
        <v>118</v>
      </c>
      <c r="B123" s="378" t="s">
        <v>244</v>
      </c>
      <c r="C123" s="371">
        <v>45321</v>
      </c>
      <c r="D123" s="322" t="s">
        <v>225</v>
      </c>
      <c r="E123" s="323" t="s">
        <v>131</v>
      </c>
      <c r="F123" s="409"/>
      <c r="G123" s="322" t="s">
        <v>133</v>
      </c>
      <c r="H123" s="324">
        <v>300</v>
      </c>
      <c r="I123" s="325">
        <v>59</v>
      </c>
      <c r="J123" s="325">
        <f t="shared" si="4"/>
        <v>17700</v>
      </c>
      <c r="K123" s="318">
        <f t="shared" si="5"/>
        <v>21240</v>
      </c>
      <c r="L123" s="318"/>
      <c r="M123" s="371"/>
      <c r="N123" s="322"/>
      <c r="O123" s="327"/>
    </row>
    <row r="124" spans="1:15" ht="20.100000000000001" customHeight="1" x14ac:dyDescent="0.3">
      <c r="A124" s="151" t="s">
        <v>118</v>
      </c>
      <c r="B124" s="378" t="s">
        <v>244</v>
      </c>
      <c r="C124" s="371">
        <v>45321</v>
      </c>
      <c r="D124" s="322" t="s">
        <v>225</v>
      </c>
      <c r="E124" s="323" t="s">
        <v>131</v>
      </c>
      <c r="F124" s="409"/>
      <c r="G124" s="322" t="s">
        <v>133</v>
      </c>
      <c r="H124" s="324">
        <v>100</v>
      </c>
      <c r="I124" s="325">
        <v>59.5</v>
      </c>
      <c r="J124" s="325">
        <f t="shared" si="4"/>
        <v>5950</v>
      </c>
      <c r="K124" s="318">
        <f t="shared" si="5"/>
        <v>7140</v>
      </c>
      <c r="L124" s="318"/>
      <c r="M124" s="371"/>
      <c r="N124" s="322"/>
      <c r="O124" s="327"/>
    </row>
    <row r="125" spans="1:15" ht="20.100000000000001" customHeight="1" x14ac:dyDescent="0.3">
      <c r="A125" s="220" t="s">
        <v>101</v>
      </c>
      <c r="B125" s="387" t="s">
        <v>245</v>
      </c>
      <c r="C125" s="371">
        <v>45295</v>
      </c>
      <c r="D125" s="322" t="s">
        <v>147</v>
      </c>
      <c r="E125" s="323" t="s">
        <v>131</v>
      </c>
      <c r="F125" s="409"/>
      <c r="G125" s="322" t="s">
        <v>133</v>
      </c>
      <c r="H125" s="324">
        <v>50</v>
      </c>
      <c r="I125" s="325">
        <v>59</v>
      </c>
      <c r="J125" s="325">
        <f t="shared" si="4"/>
        <v>2950</v>
      </c>
      <c r="K125" s="318">
        <f t="shared" si="5"/>
        <v>3540</v>
      </c>
      <c r="L125" s="318"/>
      <c r="M125" s="371"/>
      <c r="N125" s="322"/>
      <c r="O125" s="327"/>
    </row>
    <row r="126" spans="1:15" ht="20.100000000000001" customHeight="1" x14ac:dyDescent="0.3">
      <c r="A126" s="151" t="s">
        <v>118</v>
      </c>
      <c r="B126" s="378" t="s">
        <v>246</v>
      </c>
      <c r="C126" s="371">
        <v>45316</v>
      </c>
      <c r="D126" s="322" t="s">
        <v>247</v>
      </c>
      <c r="E126" s="323" t="s">
        <v>131</v>
      </c>
      <c r="F126" s="409"/>
      <c r="G126" s="322" t="s">
        <v>133</v>
      </c>
      <c r="H126" s="324">
        <v>150</v>
      </c>
      <c r="I126" s="325">
        <v>58.5</v>
      </c>
      <c r="J126" s="325">
        <f t="shared" si="4"/>
        <v>8775</v>
      </c>
      <c r="K126" s="318">
        <f t="shared" si="5"/>
        <v>10530</v>
      </c>
      <c r="L126" s="318"/>
      <c r="M126" s="371"/>
      <c r="N126" s="322"/>
      <c r="O126" s="327"/>
    </row>
    <row r="127" spans="1:15" ht="20.100000000000001" customHeight="1" x14ac:dyDescent="0.3">
      <c r="A127" s="220" t="s">
        <v>99</v>
      </c>
      <c r="B127" s="378" t="s">
        <v>248</v>
      </c>
      <c r="C127" s="371">
        <v>45316</v>
      </c>
      <c r="D127" s="322" t="s">
        <v>247</v>
      </c>
      <c r="E127" s="323" t="s">
        <v>131</v>
      </c>
      <c r="F127" s="409"/>
      <c r="G127" s="322" t="s">
        <v>133</v>
      </c>
      <c r="H127" s="324">
        <v>100</v>
      </c>
      <c r="I127" s="325">
        <v>49</v>
      </c>
      <c r="J127" s="325">
        <f t="shared" si="4"/>
        <v>4900</v>
      </c>
      <c r="K127" s="318">
        <f t="shared" si="5"/>
        <v>5880</v>
      </c>
      <c r="L127" s="318"/>
      <c r="M127" s="371"/>
      <c r="N127" s="322"/>
      <c r="O127" s="327"/>
    </row>
    <row r="128" spans="1:15" ht="20.100000000000001" customHeight="1" x14ac:dyDescent="0.3">
      <c r="A128" s="220" t="s">
        <v>99</v>
      </c>
      <c r="B128" s="378" t="s">
        <v>248</v>
      </c>
      <c r="C128" s="371">
        <v>45316</v>
      </c>
      <c r="D128" s="322" t="s">
        <v>247</v>
      </c>
      <c r="E128" s="323" t="s">
        <v>131</v>
      </c>
      <c r="F128" s="409"/>
      <c r="G128" s="322" t="s">
        <v>133</v>
      </c>
      <c r="H128" s="324">
        <v>450</v>
      </c>
      <c r="I128" s="325">
        <v>58.5</v>
      </c>
      <c r="J128" s="325">
        <f t="shared" si="4"/>
        <v>26325</v>
      </c>
      <c r="K128" s="318">
        <f t="shared" si="5"/>
        <v>31590</v>
      </c>
      <c r="L128" s="318"/>
      <c r="M128" s="371"/>
      <c r="N128" s="322"/>
      <c r="O128" s="327"/>
    </row>
    <row r="129" spans="1:15" ht="20.100000000000001" customHeight="1" x14ac:dyDescent="0.3">
      <c r="A129" s="151" t="s">
        <v>99</v>
      </c>
      <c r="B129" s="378" t="s">
        <v>249</v>
      </c>
      <c r="C129" s="371">
        <v>45323</v>
      </c>
      <c r="D129" s="322" t="s">
        <v>250</v>
      </c>
      <c r="E129" s="323" t="s">
        <v>131</v>
      </c>
      <c r="F129" s="409" t="s">
        <v>251</v>
      </c>
      <c r="G129" s="322" t="s">
        <v>133</v>
      </c>
      <c r="H129" s="324">
        <v>120</v>
      </c>
      <c r="I129" s="325">
        <v>61</v>
      </c>
      <c r="J129" s="325">
        <f t="shared" ref="J129:J134" si="6">I129*H129</f>
        <v>7320</v>
      </c>
      <c r="K129" s="318">
        <f>J129*1.2</f>
        <v>8784</v>
      </c>
      <c r="L129" s="318"/>
      <c r="M129" s="371"/>
      <c r="N129" s="322"/>
      <c r="O129" s="327"/>
    </row>
    <row r="130" spans="1:15" ht="20.100000000000001" customHeight="1" x14ac:dyDescent="0.3">
      <c r="A130" s="151" t="s">
        <v>99</v>
      </c>
      <c r="B130" s="378" t="s">
        <v>249</v>
      </c>
      <c r="C130" s="371">
        <v>45323</v>
      </c>
      <c r="D130" s="322" t="s">
        <v>225</v>
      </c>
      <c r="E130" s="323" t="s">
        <v>131</v>
      </c>
      <c r="F130" s="409" t="s">
        <v>252</v>
      </c>
      <c r="G130" s="322" t="s">
        <v>133</v>
      </c>
      <c r="H130" s="324">
        <v>150</v>
      </c>
      <c r="I130" s="325">
        <v>61</v>
      </c>
      <c r="J130" s="325">
        <f t="shared" si="6"/>
        <v>9150</v>
      </c>
      <c r="K130" s="318">
        <f>J130*1.2</f>
        <v>10980</v>
      </c>
      <c r="L130" s="318"/>
      <c r="M130" s="371"/>
      <c r="N130" s="322"/>
      <c r="O130" s="327"/>
    </row>
    <row r="131" spans="1:15" ht="20.100000000000001" customHeight="1" x14ac:dyDescent="0.3">
      <c r="A131" s="151" t="s">
        <v>253</v>
      </c>
      <c r="B131" s="378" t="s">
        <v>254</v>
      </c>
      <c r="C131" s="371">
        <v>45320</v>
      </c>
      <c r="D131" s="322" t="s">
        <v>255</v>
      </c>
      <c r="E131" s="323" t="s">
        <v>131</v>
      </c>
      <c r="F131" s="409"/>
      <c r="G131" s="322" t="s">
        <v>133</v>
      </c>
      <c r="H131" s="324">
        <v>10</v>
      </c>
      <c r="I131" s="325">
        <v>58.5</v>
      </c>
      <c r="J131" s="325">
        <f t="shared" si="6"/>
        <v>585</v>
      </c>
      <c r="K131" s="318">
        <f t="shared" si="5"/>
        <v>702</v>
      </c>
      <c r="L131" s="318"/>
      <c r="M131" s="371"/>
      <c r="N131" s="322"/>
      <c r="O131" s="327"/>
    </row>
    <row r="132" spans="1:15" ht="20.100000000000001" customHeight="1" x14ac:dyDescent="0.3">
      <c r="A132" s="151" t="s">
        <v>256</v>
      </c>
      <c r="B132" s="378" t="s">
        <v>257</v>
      </c>
      <c r="C132" s="371">
        <v>45292</v>
      </c>
      <c r="D132" s="322" t="s">
        <v>130</v>
      </c>
      <c r="E132" s="323" t="s">
        <v>131</v>
      </c>
      <c r="F132" s="409"/>
      <c r="G132" s="322" t="s">
        <v>133</v>
      </c>
      <c r="H132" s="324">
        <v>70</v>
      </c>
      <c r="I132" s="325">
        <v>60.5</v>
      </c>
      <c r="J132" s="325">
        <f t="shared" si="6"/>
        <v>4235</v>
      </c>
      <c r="K132" s="318">
        <f t="shared" si="5"/>
        <v>5082</v>
      </c>
      <c r="L132" s="318"/>
      <c r="M132" s="371"/>
      <c r="N132" s="322"/>
      <c r="O132" s="327"/>
    </row>
    <row r="133" spans="1:15" ht="20.100000000000001" customHeight="1" x14ac:dyDescent="0.3">
      <c r="A133" s="151" t="s">
        <v>256</v>
      </c>
      <c r="B133" s="378" t="s">
        <v>258</v>
      </c>
      <c r="C133" s="371">
        <v>45293</v>
      </c>
      <c r="D133" s="322" t="s">
        <v>135</v>
      </c>
      <c r="E133" s="323" t="s">
        <v>131</v>
      </c>
      <c r="F133" s="409"/>
      <c r="G133" s="322" t="s">
        <v>133</v>
      </c>
      <c r="H133" s="324">
        <v>425</v>
      </c>
      <c r="I133" s="325">
        <v>59</v>
      </c>
      <c r="J133" s="325">
        <f t="shared" si="6"/>
        <v>25075</v>
      </c>
      <c r="K133" s="318">
        <f t="shared" si="5"/>
        <v>30090</v>
      </c>
      <c r="L133" s="318"/>
      <c r="M133" s="371"/>
      <c r="N133" s="322"/>
      <c r="O133" s="327"/>
    </row>
    <row r="134" spans="1:15" ht="20.100000000000001" customHeight="1" x14ac:dyDescent="0.25">
      <c r="A134" s="151" t="s">
        <v>99</v>
      </c>
      <c r="B134" s="378" t="s">
        <v>259</v>
      </c>
      <c r="C134" s="371">
        <v>45322</v>
      </c>
      <c r="D134" s="322" t="s">
        <v>32</v>
      </c>
      <c r="E134" s="328" t="s">
        <v>260</v>
      </c>
      <c r="F134" s="409"/>
      <c r="G134" s="329" t="s">
        <v>133</v>
      </c>
      <c r="H134" s="324">
        <v>624.47799999999995</v>
      </c>
      <c r="I134" s="325">
        <v>55.079000000000001</v>
      </c>
      <c r="J134" s="325">
        <f t="shared" si="6"/>
        <v>34395.623761999996</v>
      </c>
      <c r="K134" s="318">
        <f>J134*1.2</f>
        <v>41274.748514399995</v>
      </c>
      <c r="L134" s="318"/>
      <c r="M134" s="418"/>
      <c r="N134" s="322"/>
      <c r="O134" s="327"/>
    </row>
    <row r="135" spans="1:15" ht="20.100000000000001" customHeight="1" x14ac:dyDescent="0.25">
      <c r="A135" s="151" t="s">
        <v>194</v>
      </c>
      <c r="B135" s="378" t="s">
        <v>261</v>
      </c>
      <c r="C135" s="371">
        <v>45306</v>
      </c>
      <c r="D135" s="322" t="s">
        <v>262</v>
      </c>
      <c r="E135" s="321" t="s">
        <v>263</v>
      </c>
      <c r="F135" s="410" t="s">
        <v>264</v>
      </c>
      <c r="G135" s="322" t="s">
        <v>133</v>
      </c>
      <c r="H135" s="324">
        <f>J135/I135</f>
        <v>3236.245954692557</v>
      </c>
      <c r="I135" s="325">
        <f>30.9*1.95583</f>
        <v>60.435146999999994</v>
      </c>
      <c r="J135" s="325">
        <f>100000*1.95583</f>
        <v>195583</v>
      </c>
      <c r="K135" s="318">
        <f>J135</f>
        <v>195583</v>
      </c>
      <c r="L135" s="322"/>
      <c r="M135" s="371"/>
      <c r="N135" s="322">
        <f>Q128+Table7[[#This Row],[стойност с ДДС]]-Table7[[#This Row],[направено плащане]]</f>
        <v>195583</v>
      </c>
      <c r="O135" s="327"/>
    </row>
    <row r="136" spans="1:15" ht="20.100000000000001" customHeight="1" x14ac:dyDescent="0.25">
      <c r="A136" s="151" t="s">
        <v>194</v>
      </c>
      <c r="B136" s="378" t="s">
        <v>265</v>
      </c>
      <c r="C136" s="371">
        <v>45306</v>
      </c>
      <c r="D136" s="322" t="s">
        <v>266</v>
      </c>
      <c r="E136" s="321" t="s">
        <v>263</v>
      </c>
      <c r="F136" s="410" t="s">
        <v>264</v>
      </c>
      <c r="G136" s="322" t="s">
        <v>133</v>
      </c>
      <c r="H136" s="324">
        <f>J136/I136</f>
        <v>3236.245954692557</v>
      </c>
      <c r="I136" s="325">
        <f>30.9*1.95583</f>
        <v>60.435146999999994</v>
      </c>
      <c r="J136" s="325">
        <f>100000*1.95583</f>
        <v>195583</v>
      </c>
      <c r="K136" s="318">
        <f>J136</f>
        <v>195583</v>
      </c>
      <c r="L136" s="322"/>
      <c r="M136" s="371"/>
      <c r="N136" s="322">
        <f>+Table7[[#This Row],[стойност с ДДС]]-Table7[[#This Row],[направено плащане]]</f>
        <v>195583</v>
      </c>
      <c r="O136" s="327"/>
    </row>
    <row r="137" spans="1:15" ht="20.100000000000001" customHeight="1" x14ac:dyDescent="0.25">
      <c r="A137" s="151" t="s">
        <v>194</v>
      </c>
      <c r="B137" s="378" t="s">
        <v>267</v>
      </c>
      <c r="C137" s="371">
        <v>45306</v>
      </c>
      <c r="D137" s="322" t="s">
        <v>266</v>
      </c>
      <c r="E137" s="321" t="s">
        <v>263</v>
      </c>
      <c r="F137" s="410" t="s">
        <v>264</v>
      </c>
      <c r="G137" s="322" t="s">
        <v>133</v>
      </c>
      <c r="H137" s="324">
        <f>J137/I137</f>
        <v>8027.5080906148878</v>
      </c>
      <c r="I137" s="325">
        <f>30.9*1.95583</f>
        <v>60.435146999999994</v>
      </c>
      <c r="J137" s="325">
        <f>248050*1.95583</f>
        <v>485143.63150000002</v>
      </c>
      <c r="K137" s="318">
        <f>J137</f>
        <v>485143.63150000002</v>
      </c>
      <c r="L137" s="322"/>
      <c r="M137" s="371"/>
      <c r="N137" s="322">
        <f>+Table7[[#This Row],[стойност с ДДС]]-Table7[[#This Row],[направено плащане]]</f>
        <v>485143.63150000002</v>
      </c>
      <c r="O137" s="327"/>
    </row>
    <row r="138" spans="1:15" ht="20.100000000000001" customHeight="1" x14ac:dyDescent="0.3">
      <c r="A138" s="151" t="s">
        <v>268</v>
      </c>
      <c r="B138" s="378" t="s">
        <v>269</v>
      </c>
      <c r="C138" s="371">
        <v>45314</v>
      </c>
      <c r="D138" s="322" t="s">
        <v>270</v>
      </c>
      <c r="E138" s="323" t="s">
        <v>131</v>
      </c>
      <c r="F138" s="410" t="s">
        <v>271</v>
      </c>
      <c r="G138" s="322" t="s">
        <v>133</v>
      </c>
      <c r="H138" s="324">
        <v>7500</v>
      </c>
      <c r="I138" s="325">
        <f>55.74115733</f>
        <v>55.74115733</v>
      </c>
      <c r="J138" s="325">
        <f t="shared" ref="J138:J203" si="7">I138*H138</f>
        <v>418058.67997499998</v>
      </c>
      <c r="K138" s="318">
        <f>J138*1.2</f>
        <v>501670.41596999997</v>
      </c>
      <c r="L138" s="322"/>
      <c r="M138" s="371"/>
      <c r="N138" s="322">
        <f>+Table7[[#This Row],[стойност с ДДС]]-Table7[[#This Row],[направено плащане]]</f>
        <v>501670.41596999997</v>
      </c>
      <c r="O138" s="327"/>
    </row>
    <row r="139" spans="1:15" ht="20.100000000000001" customHeight="1" x14ac:dyDescent="0.3">
      <c r="A139" s="151" t="s">
        <v>268</v>
      </c>
      <c r="B139" s="378" t="s">
        <v>272</v>
      </c>
      <c r="C139" s="371">
        <v>45314</v>
      </c>
      <c r="D139" s="322" t="s">
        <v>266</v>
      </c>
      <c r="E139" s="323" t="s">
        <v>131</v>
      </c>
      <c r="F139" s="410"/>
      <c r="G139" s="322" t="s">
        <v>133</v>
      </c>
      <c r="H139" s="324">
        <v>4350</v>
      </c>
      <c r="I139" s="325">
        <f>30.95*1.95583</f>
        <v>60.5329385</v>
      </c>
      <c r="J139" s="325">
        <f t="shared" si="7"/>
        <v>263318.28247500001</v>
      </c>
      <c r="K139" s="318">
        <f t="shared" ref="K139:K203" si="8">J139*1.2</f>
        <v>315981.93897000002</v>
      </c>
      <c r="L139" s="322"/>
      <c r="M139" s="371"/>
      <c r="N139" s="322">
        <f>+Table7[[#This Row],[стойност с ДДС]]-Table7[[#This Row],[направено плащане]]</f>
        <v>315981.93897000002</v>
      </c>
      <c r="O139" s="327"/>
    </row>
    <row r="140" spans="1:15" ht="20.100000000000001" customHeight="1" x14ac:dyDescent="0.3">
      <c r="A140" s="151" t="s">
        <v>268</v>
      </c>
      <c r="B140" s="378" t="s">
        <v>273</v>
      </c>
      <c r="C140" s="371">
        <v>45314</v>
      </c>
      <c r="D140" s="322" t="s">
        <v>266</v>
      </c>
      <c r="E140" s="323" t="s">
        <v>131</v>
      </c>
      <c r="F140" s="410"/>
      <c r="G140" s="322" t="s">
        <v>133</v>
      </c>
      <c r="H140" s="324">
        <v>4350</v>
      </c>
      <c r="I140" s="325">
        <f>30.8*1.95583</f>
        <v>60.239564000000001</v>
      </c>
      <c r="J140" s="325">
        <f t="shared" si="7"/>
        <v>262042.10339999999</v>
      </c>
      <c r="K140" s="318">
        <f t="shared" si="8"/>
        <v>314450.52408</v>
      </c>
      <c r="L140" s="322"/>
      <c r="M140" s="371"/>
      <c r="N140" s="322">
        <f>+Table7[[#This Row],[стойност с ДДС]]-Table7[[#This Row],[направено плащане]]</f>
        <v>314450.52408</v>
      </c>
      <c r="O140" s="327"/>
    </row>
    <row r="141" spans="1:15" ht="20.100000000000001" customHeight="1" x14ac:dyDescent="0.3">
      <c r="A141" s="151" t="s">
        <v>268</v>
      </c>
      <c r="B141" s="378" t="s">
        <v>274</v>
      </c>
      <c r="C141" s="371">
        <v>45314</v>
      </c>
      <c r="D141" s="322" t="s">
        <v>266</v>
      </c>
      <c r="E141" s="323" t="s">
        <v>131</v>
      </c>
      <c r="F141" s="410" t="s">
        <v>275</v>
      </c>
      <c r="G141" s="322" t="s">
        <v>133</v>
      </c>
      <c r="H141" s="324">
        <v>5800</v>
      </c>
      <c r="I141" s="325">
        <f>31.44999027*1.95583</f>
        <v>61.510834469774103</v>
      </c>
      <c r="J141" s="325">
        <f>I141*H141</f>
        <v>356762.83992468979</v>
      </c>
      <c r="K141" s="318">
        <f>J141*1.2</f>
        <v>428115.40790962771</v>
      </c>
      <c r="L141" s="322"/>
      <c r="M141" s="371"/>
      <c r="N141" s="322">
        <f>+Table7[[#This Row],[стойност с ДДС]]-Table7[[#This Row],[направено плащане]]</f>
        <v>428115.40790962771</v>
      </c>
      <c r="O141" s="327"/>
    </row>
    <row r="142" spans="1:15" ht="20.100000000000001" customHeight="1" x14ac:dyDescent="0.3">
      <c r="A142" s="151" t="s">
        <v>268</v>
      </c>
      <c r="B142" s="378" t="s">
        <v>276</v>
      </c>
      <c r="C142" s="371">
        <v>45314</v>
      </c>
      <c r="D142" s="322" t="s">
        <v>266</v>
      </c>
      <c r="E142" s="323" t="s">
        <v>131</v>
      </c>
      <c r="F142" s="410"/>
      <c r="G142" s="322" t="s">
        <v>133</v>
      </c>
      <c r="H142" s="324">
        <v>4350</v>
      </c>
      <c r="I142" s="325">
        <f>27.9*1.95583</f>
        <v>54.567656999999997</v>
      </c>
      <c r="J142" s="325">
        <f t="shared" si="7"/>
        <v>237369.30794999999</v>
      </c>
      <c r="K142" s="318">
        <f t="shared" si="8"/>
        <v>284843.16953999997</v>
      </c>
      <c r="L142" s="322"/>
      <c r="M142" s="371"/>
      <c r="N142" s="322">
        <f>+Table7[[#This Row],[стойност с ДДС]]-Table7[[#This Row],[направено плащане]]</f>
        <v>284843.16953999997</v>
      </c>
      <c r="O142" s="327"/>
    </row>
    <row r="143" spans="1:15" ht="20.100000000000001" customHeight="1" x14ac:dyDescent="0.3">
      <c r="A143" s="151" t="s">
        <v>157</v>
      </c>
      <c r="B143" s="378" t="s">
        <v>277</v>
      </c>
      <c r="C143" s="371">
        <v>45327</v>
      </c>
      <c r="D143" s="322" t="s">
        <v>278</v>
      </c>
      <c r="E143" s="323" t="s">
        <v>131</v>
      </c>
      <c r="F143" s="410" t="s">
        <v>279</v>
      </c>
      <c r="G143" s="322" t="s">
        <v>133</v>
      </c>
      <c r="H143" s="324">
        <v>25</v>
      </c>
      <c r="I143" s="325">
        <v>54</v>
      </c>
      <c r="J143" s="325">
        <f t="shared" si="7"/>
        <v>1350</v>
      </c>
      <c r="K143" s="318">
        <f t="shared" si="8"/>
        <v>1620</v>
      </c>
      <c r="L143" s="322"/>
      <c r="M143" s="371"/>
      <c r="N143" s="322">
        <f>+Table7[[#This Row],[стойност с ДДС]]-Table7[[#This Row],[направено плащане]]</f>
        <v>1620</v>
      </c>
      <c r="O143" s="327"/>
    </row>
    <row r="144" spans="1:15" ht="20.100000000000001" customHeight="1" x14ac:dyDescent="0.3">
      <c r="A144" s="151" t="s">
        <v>159</v>
      </c>
      <c r="B144" s="378" t="s">
        <v>280</v>
      </c>
      <c r="C144" s="371"/>
      <c r="D144" s="322" t="s">
        <v>250</v>
      </c>
      <c r="E144" s="323" t="s">
        <v>131</v>
      </c>
      <c r="F144" s="410"/>
      <c r="G144" s="322" t="s">
        <v>133</v>
      </c>
      <c r="H144" s="324">
        <v>400</v>
      </c>
      <c r="I144" s="325">
        <f>28.78573*1.95583</f>
        <v>56.2999943059</v>
      </c>
      <c r="J144" s="325">
        <f t="shared" si="7"/>
        <v>22519.99772236</v>
      </c>
      <c r="K144" s="318">
        <f t="shared" si="8"/>
        <v>27023.997266832001</v>
      </c>
      <c r="L144" s="322"/>
      <c r="M144" s="371"/>
      <c r="N144" s="322">
        <f>+Table7[[#This Row],[стойност с ДДС]]-Table7[[#This Row],[направено плащане]]</f>
        <v>27023.997266832001</v>
      </c>
      <c r="O144" s="327"/>
    </row>
    <row r="145" spans="1:15" ht="20.100000000000001" customHeight="1" x14ac:dyDescent="0.3">
      <c r="A145" s="151" t="s">
        <v>159</v>
      </c>
      <c r="B145" s="378" t="s">
        <v>281</v>
      </c>
      <c r="C145" s="371"/>
      <c r="D145" s="322" t="s">
        <v>282</v>
      </c>
      <c r="E145" s="323" t="s">
        <v>131</v>
      </c>
      <c r="F145" s="410"/>
      <c r="G145" s="322" t="s">
        <v>133</v>
      </c>
      <c r="H145" s="324">
        <v>1000</v>
      </c>
      <c r="I145" s="325">
        <f>28.40226*1.95583</f>
        <v>55.549992175799993</v>
      </c>
      <c r="J145" s="325">
        <f t="shared" si="7"/>
        <v>55549.992175799991</v>
      </c>
      <c r="K145" s="318">
        <f t="shared" si="8"/>
        <v>66659.990610959983</v>
      </c>
      <c r="L145" s="322"/>
      <c r="M145" s="371"/>
      <c r="N145" s="322">
        <f>+Table7[[#This Row],[стойност с ДДС]]-Table7[[#This Row],[направено плащане]]</f>
        <v>66659.990610959983</v>
      </c>
      <c r="O145" s="327"/>
    </row>
    <row r="146" spans="1:15" ht="20.100000000000001" customHeight="1" x14ac:dyDescent="0.3">
      <c r="A146" s="151" t="s">
        <v>99</v>
      </c>
      <c r="B146" s="378" t="s">
        <v>283</v>
      </c>
      <c r="C146" s="371">
        <v>45330</v>
      </c>
      <c r="D146" s="322" t="s">
        <v>112</v>
      </c>
      <c r="E146" s="323" t="s">
        <v>131</v>
      </c>
      <c r="F146" s="410" t="s">
        <v>284</v>
      </c>
      <c r="G146" s="322" t="s">
        <v>133</v>
      </c>
      <c r="H146" s="324">
        <v>100</v>
      </c>
      <c r="I146" s="325">
        <v>57.5</v>
      </c>
      <c r="J146" s="325">
        <f t="shared" si="7"/>
        <v>5750</v>
      </c>
      <c r="K146" s="318">
        <f t="shared" si="8"/>
        <v>6900</v>
      </c>
      <c r="L146" s="322"/>
      <c r="M146" s="371"/>
      <c r="N146" s="322">
        <f>+Table7[[#This Row],[стойност с ДДС]]-Table7[[#This Row],[направено плащане]]</f>
        <v>6900</v>
      </c>
      <c r="O146" s="327"/>
    </row>
    <row r="147" spans="1:15" ht="20.100000000000001" customHeight="1" x14ac:dyDescent="0.3">
      <c r="A147" s="151" t="s">
        <v>99</v>
      </c>
      <c r="B147" s="378" t="s">
        <v>283</v>
      </c>
      <c r="C147" s="371">
        <v>45330</v>
      </c>
      <c r="D147" s="322" t="s">
        <v>112</v>
      </c>
      <c r="E147" s="323" t="s">
        <v>131</v>
      </c>
      <c r="F147" s="410" t="s">
        <v>285</v>
      </c>
      <c r="G147" s="322" t="s">
        <v>133</v>
      </c>
      <c r="H147" s="324">
        <v>70</v>
      </c>
      <c r="I147" s="325">
        <v>56.5</v>
      </c>
      <c r="J147" s="325">
        <f t="shared" si="7"/>
        <v>3955</v>
      </c>
      <c r="K147" s="318">
        <f t="shared" si="8"/>
        <v>4746</v>
      </c>
      <c r="L147" s="322"/>
      <c r="M147" s="371"/>
      <c r="N147" s="322">
        <f>+Table7[[#This Row],[стойност с ДДС]]-Table7[[#This Row],[направено плащане]]</f>
        <v>4746</v>
      </c>
      <c r="O147" s="327"/>
    </row>
    <row r="148" spans="1:15" ht="20.100000000000001" customHeight="1" x14ac:dyDescent="0.3">
      <c r="A148" s="151" t="s">
        <v>99</v>
      </c>
      <c r="B148" s="378" t="s">
        <v>283</v>
      </c>
      <c r="C148" s="371">
        <v>45330</v>
      </c>
      <c r="D148" s="322" t="s">
        <v>112</v>
      </c>
      <c r="E148" s="323" t="s">
        <v>131</v>
      </c>
      <c r="F148" s="410" t="s">
        <v>286</v>
      </c>
      <c r="G148" s="322" t="s">
        <v>133</v>
      </c>
      <c r="H148" s="324">
        <v>100</v>
      </c>
      <c r="I148" s="325">
        <v>56.5</v>
      </c>
      <c r="J148" s="325">
        <f t="shared" si="7"/>
        <v>5650</v>
      </c>
      <c r="K148" s="318">
        <f t="shared" si="8"/>
        <v>6780</v>
      </c>
      <c r="L148" s="322"/>
      <c r="M148" s="371"/>
      <c r="N148" s="322">
        <f>+Table7[[#This Row],[стойност с ДДС]]-Table7[[#This Row],[направено плащане]]</f>
        <v>6780</v>
      </c>
      <c r="O148" s="327"/>
    </row>
    <row r="149" spans="1:15" ht="20.100000000000001" customHeight="1" x14ac:dyDescent="0.3">
      <c r="A149" s="151" t="s">
        <v>268</v>
      </c>
      <c r="B149" s="378" t="s">
        <v>287</v>
      </c>
      <c r="C149" s="371">
        <v>45327</v>
      </c>
      <c r="D149" s="322" t="s">
        <v>266</v>
      </c>
      <c r="E149" s="323" t="s">
        <v>131</v>
      </c>
      <c r="F149" s="410"/>
      <c r="G149" s="322" t="s">
        <v>133</v>
      </c>
      <c r="H149" s="324">
        <v>4350</v>
      </c>
      <c r="I149" s="325">
        <v>60.532899999999998</v>
      </c>
      <c r="J149" s="325">
        <f t="shared" si="7"/>
        <v>263318.11499999999</v>
      </c>
      <c r="K149" s="318">
        <f t="shared" si="8"/>
        <v>315981.73799999995</v>
      </c>
      <c r="L149" s="322"/>
      <c r="M149" s="371"/>
      <c r="N149" s="322">
        <f>+Table7[[#This Row],[стойност с ДДС]]-Table7[[#This Row],[направено плащане]]</f>
        <v>315981.73799999995</v>
      </c>
      <c r="O149" s="327"/>
    </row>
    <row r="150" spans="1:15" ht="20.100000000000001" customHeight="1" x14ac:dyDescent="0.3">
      <c r="A150" s="151" t="s">
        <v>268</v>
      </c>
      <c r="B150" s="378" t="s">
        <v>288</v>
      </c>
      <c r="C150" s="371">
        <v>45327</v>
      </c>
      <c r="D150" s="322" t="s">
        <v>266</v>
      </c>
      <c r="E150" s="323" t="s">
        <v>131</v>
      </c>
      <c r="F150" s="410"/>
      <c r="G150" s="322" t="s">
        <v>133</v>
      </c>
      <c r="H150" s="324">
        <v>4350</v>
      </c>
      <c r="I150" s="325">
        <v>60.239600000000003</v>
      </c>
      <c r="J150" s="325">
        <f t="shared" si="7"/>
        <v>262042.26</v>
      </c>
      <c r="K150" s="318">
        <f t="shared" si="8"/>
        <v>314450.712</v>
      </c>
      <c r="L150" s="322"/>
      <c r="M150" s="371"/>
      <c r="N150" s="322">
        <f>+Table7[[#This Row],[стойност с ДДС]]-Table7[[#This Row],[направено плащане]]</f>
        <v>314450.712</v>
      </c>
      <c r="O150" s="327"/>
    </row>
    <row r="151" spans="1:15" ht="20.100000000000001" customHeight="1" x14ac:dyDescent="0.3">
      <c r="A151" s="151" t="s">
        <v>268</v>
      </c>
      <c r="B151" s="378" t="s">
        <v>289</v>
      </c>
      <c r="C151" s="371">
        <v>45327</v>
      </c>
      <c r="D151" s="322" t="s">
        <v>266</v>
      </c>
      <c r="E151" s="323" t="s">
        <v>131</v>
      </c>
      <c r="F151" s="410"/>
      <c r="G151" s="322" t="s">
        <v>133</v>
      </c>
      <c r="H151" s="324">
        <v>4350</v>
      </c>
      <c r="I151" s="325">
        <v>54.567656999999997</v>
      </c>
      <c r="J151" s="325">
        <f t="shared" si="7"/>
        <v>237369.30794999999</v>
      </c>
      <c r="K151" s="318">
        <f t="shared" si="8"/>
        <v>284843.16953999997</v>
      </c>
      <c r="L151" s="322"/>
      <c r="M151" s="371"/>
      <c r="N151" s="322">
        <f>+Table7[[#This Row],[стойност с ДДС]]-Table7[[#This Row],[направено плащане]]</f>
        <v>284843.16953999997</v>
      </c>
      <c r="O151" s="327"/>
    </row>
    <row r="152" spans="1:15" ht="20.100000000000001" customHeight="1" x14ac:dyDescent="0.3">
      <c r="A152" s="151" t="s">
        <v>268</v>
      </c>
      <c r="B152" s="378" t="s">
        <v>290</v>
      </c>
      <c r="C152" s="371">
        <v>45327</v>
      </c>
      <c r="D152" s="322" t="s">
        <v>266</v>
      </c>
      <c r="E152" s="323" t="s">
        <v>131</v>
      </c>
      <c r="F152" s="410"/>
      <c r="G152" s="322" t="s">
        <v>133</v>
      </c>
      <c r="H152" s="324">
        <v>5800</v>
      </c>
      <c r="I152" s="325">
        <v>61.510800000000003</v>
      </c>
      <c r="J152" s="325">
        <f t="shared" si="7"/>
        <v>356762.64</v>
      </c>
      <c r="K152" s="318">
        <f t="shared" si="8"/>
        <v>428115.16800000001</v>
      </c>
      <c r="L152" s="322"/>
      <c r="M152" s="371"/>
      <c r="N152" s="322">
        <f>+Table7[[#This Row],[стойност с ДДС]]-Table7[[#This Row],[направено плащане]]</f>
        <v>428115.16800000001</v>
      </c>
      <c r="O152" s="327"/>
    </row>
    <row r="153" spans="1:15" ht="20.100000000000001" customHeight="1" x14ac:dyDescent="0.3">
      <c r="A153" s="151" t="s">
        <v>159</v>
      </c>
      <c r="B153" s="378" t="s">
        <v>291</v>
      </c>
      <c r="C153" s="371"/>
      <c r="D153" s="322" t="s">
        <v>292</v>
      </c>
      <c r="E153" s="323" t="s">
        <v>131</v>
      </c>
      <c r="F153" s="410" t="s">
        <v>293</v>
      </c>
      <c r="G153" s="322" t="s">
        <v>133</v>
      </c>
      <c r="H153" s="324">
        <v>113</v>
      </c>
      <c r="I153" s="325">
        <f>27.20073*1.95583</f>
        <v>53.200003755899999</v>
      </c>
      <c r="J153" s="325">
        <f t="shared" si="7"/>
        <v>6011.6004244166998</v>
      </c>
      <c r="K153" s="318">
        <f t="shared" si="8"/>
        <v>7213.9205093000392</v>
      </c>
      <c r="L153" s="322"/>
      <c r="M153" s="371"/>
      <c r="N153" s="322">
        <f>+Table7[[#This Row],[стойност с ДДС]]-Table7[[#This Row],[направено плащане]]</f>
        <v>7213.9205093000392</v>
      </c>
      <c r="O153" s="327"/>
    </row>
    <row r="154" spans="1:15" ht="20.100000000000001" customHeight="1" x14ac:dyDescent="0.3">
      <c r="A154" s="151" t="s">
        <v>294</v>
      </c>
      <c r="B154" s="378" t="s">
        <v>295</v>
      </c>
      <c r="C154" s="371"/>
      <c r="D154" s="322" t="s">
        <v>90</v>
      </c>
      <c r="E154" s="323" t="s">
        <v>131</v>
      </c>
      <c r="F154" s="410"/>
      <c r="G154" s="322" t="s">
        <v>133</v>
      </c>
      <c r="H154" s="324">
        <v>14500</v>
      </c>
      <c r="I154" s="325">
        <f>26.9*1.95583</f>
        <v>52.611826999999998</v>
      </c>
      <c r="J154" s="325">
        <f t="shared" si="7"/>
        <v>762871.4915</v>
      </c>
      <c r="K154" s="318">
        <f>+J154</f>
        <v>762871.4915</v>
      </c>
      <c r="L154" s="322"/>
      <c r="M154" s="371"/>
      <c r="N154" s="322">
        <f>+Table7[[#This Row],[стойност с ДДС]]-Table7[[#This Row],[направено плащане]]</f>
        <v>762871.4915</v>
      </c>
      <c r="O154" s="327"/>
    </row>
    <row r="155" spans="1:15" ht="20.100000000000001" customHeight="1" x14ac:dyDescent="0.3">
      <c r="A155" s="151" t="s">
        <v>118</v>
      </c>
      <c r="B155" s="378" t="s">
        <v>296</v>
      </c>
      <c r="C155" s="371">
        <v>45323</v>
      </c>
      <c r="D155" s="322" t="s">
        <v>250</v>
      </c>
      <c r="E155" s="323" t="s">
        <v>131</v>
      </c>
      <c r="F155" s="410" t="s">
        <v>297</v>
      </c>
      <c r="G155" s="322" t="s">
        <v>133</v>
      </c>
      <c r="H155" s="324">
        <v>200</v>
      </c>
      <c r="I155" s="325">
        <v>56.05</v>
      </c>
      <c r="J155" s="325">
        <f t="shared" si="7"/>
        <v>11210</v>
      </c>
      <c r="K155" s="318">
        <f t="shared" si="8"/>
        <v>13452</v>
      </c>
      <c r="L155" s="322"/>
      <c r="M155" s="371"/>
      <c r="N155" s="322">
        <f>+Table7[[#This Row],[стойност с ДДС]]-Table7[[#This Row],[направено плащане]]</f>
        <v>13452</v>
      </c>
      <c r="O155" s="327"/>
    </row>
    <row r="156" spans="1:15" ht="20.100000000000001" customHeight="1" x14ac:dyDescent="0.3">
      <c r="A156" s="151" t="s">
        <v>118</v>
      </c>
      <c r="B156" s="378" t="s">
        <v>296</v>
      </c>
      <c r="C156" s="371">
        <v>45323</v>
      </c>
      <c r="D156" s="322"/>
      <c r="E156" s="323" t="s">
        <v>131</v>
      </c>
      <c r="F156" s="410" t="s">
        <v>298</v>
      </c>
      <c r="G156" s="322" t="s">
        <v>133</v>
      </c>
      <c r="H156" s="324">
        <v>400</v>
      </c>
      <c r="I156" s="325">
        <v>56</v>
      </c>
      <c r="J156" s="325">
        <f>I156*H156</f>
        <v>22400</v>
      </c>
      <c r="K156" s="318">
        <f>J156*1.2</f>
        <v>26880</v>
      </c>
      <c r="L156" s="322"/>
      <c r="M156" s="371"/>
      <c r="N156" s="322">
        <f>+Table7[[#This Row],[стойност с ДДС]]-Table7[[#This Row],[направено плащане]]</f>
        <v>26880</v>
      </c>
      <c r="O156" s="327"/>
    </row>
    <row r="157" spans="1:15" ht="20.100000000000001" customHeight="1" x14ac:dyDescent="0.3">
      <c r="A157" s="151" t="s">
        <v>118</v>
      </c>
      <c r="B157" s="378" t="s">
        <v>299</v>
      </c>
      <c r="C157" s="371">
        <v>45324</v>
      </c>
      <c r="D157" s="322" t="s">
        <v>102</v>
      </c>
      <c r="E157" s="323" t="s">
        <v>131</v>
      </c>
      <c r="F157" s="410" t="s">
        <v>300</v>
      </c>
      <c r="G157" s="322" t="s">
        <v>133</v>
      </c>
      <c r="H157" s="324">
        <v>300</v>
      </c>
      <c r="I157" s="325">
        <v>55.5</v>
      </c>
      <c r="J157" s="325">
        <f t="shared" si="7"/>
        <v>16650</v>
      </c>
      <c r="K157" s="318">
        <f t="shared" si="8"/>
        <v>19980</v>
      </c>
      <c r="L157" s="322"/>
      <c r="M157" s="371"/>
      <c r="N157" s="322">
        <f>+Table7[[#This Row],[стойност с ДДС]]-Table7[[#This Row],[направено плащане]]</f>
        <v>19980</v>
      </c>
      <c r="O157" s="327"/>
    </row>
    <row r="158" spans="1:15" ht="20.100000000000001" customHeight="1" x14ac:dyDescent="0.3">
      <c r="A158" s="151" t="s">
        <v>118</v>
      </c>
      <c r="B158" s="378" t="s">
        <v>299</v>
      </c>
      <c r="C158" s="371">
        <v>45324</v>
      </c>
      <c r="D158" s="322" t="s">
        <v>102</v>
      </c>
      <c r="E158" s="323" t="s">
        <v>131</v>
      </c>
      <c r="F158" s="410" t="s">
        <v>301</v>
      </c>
      <c r="G158" s="322" t="s">
        <v>133</v>
      </c>
      <c r="H158" s="324">
        <v>300</v>
      </c>
      <c r="I158" s="325">
        <v>55.5</v>
      </c>
      <c r="J158" s="325">
        <f t="shared" si="7"/>
        <v>16650</v>
      </c>
      <c r="K158" s="318">
        <f t="shared" si="8"/>
        <v>19980</v>
      </c>
      <c r="L158" s="322"/>
      <c r="M158" s="371"/>
      <c r="N158" s="322">
        <f>+Table7[[#This Row],[стойност с ДДС]]-Table7[[#This Row],[направено плащане]]</f>
        <v>19980</v>
      </c>
      <c r="O158" s="327"/>
    </row>
    <row r="159" spans="1:15" ht="20.100000000000001" customHeight="1" x14ac:dyDescent="0.3">
      <c r="A159" s="151" t="s">
        <v>118</v>
      </c>
      <c r="B159" s="378" t="s">
        <v>299</v>
      </c>
      <c r="C159" s="371">
        <v>45324</v>
      </c>
      <c r="D159" s="322" t="s">
        <v>102</v>
      </c>
      <c r="E159" s="323" t="s">
        <v>131</v>
      </c>
      <c r="F159" s="410" t="s">
        <v>302</v>
      </c>
      <c r="G159" s="322" t="s">
        <v>133</v>
      </c>
      <c r="H159" s="324">
        <v>400</v>
      </c>
      <c r="I159" s="325">
        <v>54.8</v>
      </c>
      <c r="J159" s="325">
        <f t="shared" si="7"/>
        <v>21920</v>
      </c>
      <c r="K159" s="318">
        <f t="shared" si="8"/>
        <v>26304</v>
      </c>
      <c r="L159" s="322"/>
      <c r="M159" s="371"/>
      <c r="N159" s="322">
        <f>+Table7[[#This Row],[стойност с ДДС]]-Table7[[#This Row],[направено плащане]]</f>
        <v>26304</v>
      </c>
      <c r="O159" s="327"/>
    </row>
    <row r="160" spans="1:15" ht="20.100000000000001" customHeight="1" x14ac:dyDescent="0.3">
      <c r="A160" s="151" t="s">
        <v>118</v>
      </c>
      <c r="B160" s="378" t="s">
        <v>299</v>
      </c>
      <c r="C160" s="371">
        <v>45324</v>
      </c>
      <c r="D160" s="322" t="s">
        <v>102</v>
      </c>
      <c r="E160" s="323" t="s">
        <v>131</v>
      </c>
      <c r="F160" s="410" t="s">
        <v>303</v>
      </c>
      <c r="G160" s="322" t="s">
        <v>133</v>
      </c>
      <c r="H160" s="324">
        <v>200</v>
      </c>
      <c r="I160" s="325">
        <v>55.5</v>
      </c>
      <c r="J160" s="325">
        <f t="shared" si="7"/>
        <v>11100</v>
      </c>
      <c r="K160" s="318">
        <f t="shared" si="8"/>
        <v>13320</v>
      </c>
      <c r="L160" s="322"/>
      <c r="M160" s="371"/>
      <c r="N160" s="322">
        <f>+Table7[[#This Row],[стойност с ДДС]]-Table7[[#This Row],[направено плащане]]</f>
        <v>13320</v>
      </c>
      <c r="O160" s="327"/>
    </row>
    <row r="161" spans="1:15" ht="20.100000000000001" customHeight="1" x14ac:dyDescent="0.3">
      <c r="A161" s="151" t="s">
        <v>118</v>
      </c>
      <c r="B161" s="378" t="s">
        <v>304</v>
      </c>
      <c r="C161" s="371">
        <v>45325</v>
      </c>
      <c r="D161" s="322" t="s">
        <v>103</v>
      </c>
      <c r="E161" s="323" t="s">
        <v>131</v>
      </c>
      <c r="F161" s="410" t="s">
        <v>305</v>
      </c>
      <c r="G161" s="322" t="s">
        <v>133</v>
      </c>
      <c r="H161" s="324">
        <v>35</v>
      </c>
      <c r="I161" s="325">
        <v>54.3</v>
      </c>
      <c r="J161" s="325">
        <f t="shared" si="7"/>
        <v>1900.5</v>
      </c>
      <c r="K161" s="318">
        <f t="shared" si="8"/>
        <v>2280.6</v>
      </c>
      <c r="L161" s="322"/>
      <c r="M161" s="371"/>
      <c r="N161" s="322">
        <f>+Table7[[#This Row],[стойност с ДДС]]-Table7[[#This Row],[направено плащане]]</f>
        <v>2280.6</v>
      </c>
      <c r="O161" s="327"/>
    </row>
    <row r="162" spans="1:15" ht="20.100000000000001" customHeight="1" x14ac:dyDescent="0.3">
      <c r="A162" s="151" t="s">
        <v>118</v>
      </c>
      <c r="B162" s="378" t="s">
        <v>304</v>
      </c>
      <c r="C162" s="371">
        <v>45325</v>
      </c>
      <c r="D162" s="322" t="s">
        <v>103</v>
      </c>
      <c r="E162" s="323" t="s">
        <v>131</v>
      </c>
      <c r="F162" s="410" t="s">
        <v>306</v>
      </c>
      <c r="G162" s="322" t="s">
        <v>133</v>
      </c>
      <c r="H162" s="324">
        <v>60</v>
      </c>
      <c r="I162" s="325">
        <v>54</v>
      </c>
      <c r="J162" s="325">
        <f t="shared" si="7"/>
        <v>3240</v>
      </c>
      <c r="K162" s="318">
        <f t="shared" si="8"/>
        <v>3888</v>
      </c>
      <c r="L162" s="322"/>
      <c r="M162" s="371"/>
      <c r="N162" s="322">
        <f>+Table7[[#This Row],[стойност с ДДС]]-Table7[[#This Row],[направено плащане]]</f>
        <v>3888</v>
      </c>
      <c r="O162" s="327"/>
    </row>
    <row r="163" spans="1:15" ht="20.100000000000001" customHeight="1" x14ac:dyDescent="0.3">
      <c r="A163" s="151" t="s">
        <v>118</v>
      </c>
      <c r="B163" s="378" t="s">
        <v>307</v>
      </c>
      <c r="C163" s="371">
        <v>45327</v>
      </c>
      <c r="D163" s="322" t="s">
        <v>278</v>
      </c>
      <c r="E163" s="323" t="s">
        <v>131</v>
      </c>
      <c r="F163" s="410" t="s">
        <v>308</v>
      </c>
      <c r="G163" s="322" t="s">
        <v>133</v>
      </c>
      <c r="H163" s="324">
        <v>200</v>
      </c>
      <c r="I163" s="325">
        <v>56</v>
      </c>
      <c r="J163" s="325">
        <f t="shared" si="7"/>
        <v>11200</v>
      </c>
      <c r="K163" s="318">
        <f t="shared" si="8"/>
        <v>13440</v>
      </c>
      <c r="L163" s="322"/>
      <c r="M163" s="371"/>
      <c r="N163" s="322">
        <f>+Table7[[#This Row],[стойност с ДДС]]-Table7[[#This Row],[направено плащане]]</f>
        <v>13440</v>
      </c>
      <c r="O163" s="327"/>
    </row>
    <row r="164" spans="1:15" ht="20.100000000000001" customHeight="1" x14ac:dyDescent="0.3">
      <c r="A164" s="151" t="s">
        <v>118</v>
      </c>
      <c r="B164" s="378" t="s">
        <v>309</v>
      </c>
      <c r="C164" s="371">
        <v>45329</v>
      </c>
      <c r="D164" s="322" t="s">
        <v>107</v>
      </c>
      <c r="E164" s="323" t="s">
        <v>131</v>
      </c>
      <c r="F164" s="410" t="s">
        <v>310</v>
      </c>
      <c r="G164" s="322" t="s">
        <v>133</v>
      </c>
      <c r="H164" s="324">
        <v>9</v>
      </c>
      <c r="I164" s="325">
        <v>54</v>
      </c>
      <c r="J164" s="325">
        <f t="shared" si="7"/>
        <v>486</v>
      </c>
      <c r="K164" s="318">
        <f t="shared" si="8"/>
        <v>583.19999999999993</v>
      </c>
      <c r="L164" s="322"/>
      <c r="M164" s="371"/>
      <c r="N164" s="322">
        <f>+Table7[[#This Row],[стойност с ДДС]]-Table7[[#This Row],[направено плащане]]</f>
        <v>583.19999999999993</v>
      </c>
      <c r="O164" s="327"/>
    </row>
    <row r="165" spans="1:15" ht="20.100000000000001" customHeight="1" x14ac:dyDescent="0.3">
      <c r="A165" s="151" t="s">
        <v>118</v>
      </c>
      <c r="B165" s="378" t="s">
        <v>311</v>
      </c>
      <c r="C165" s="371">
        <v>45330</v>
      </c>
      <c r="D165" s="322" t="s">
        <v>112</v>
      </c>
      <c r="E165" s="323" t="s">
        <v>131</v>
      </c>
      <c r="F165" s="410" t="s">
        <v>312</v>
      </c>
      <c r="G165" s="322" t="s">
        <v>133</v>
      </c>
      <c r="H165" s="324">
        <v>100</v>
      </c>
      <c r="I165" s="325">
        <v>54</v>
      </c>
      <c r="J165" s="325">
        <f t="shared" si="7"/>
        <v>5400</v>
      </c>
      <c r="K165" s="318">
        <f t="shared" si="8"/>
        <v>6480</v>
      </c>
      <c r="L165" s="322"/>
      <c r="M165" s="371"/>
      <c r="N165" s="322">
        <f>+Table7[[#This Row],[стойност с ДДС]]-Table7[[#This Row],[направено плащане]]</f>
        <v>6480</v>
      </c>
      <c r="O165" s="327"/>
    </row>
    <row r="166" spans="1:15" ht="20.100000000000001" customHeight="1" x14ac:dyDescent="0.3">
      <c r="A166" s="151" t="s">
        <v>118</v>
      </c>
      <c r="B166" s="378" t="s">
        <v>311</v>
      </c>
      <c r="C166" s="371">
        <v>45330</v>
      </c>
      <c r="D166" s="322" t="s">
        <v>112</v>
      </c>
      <c r="E166" s="323" t="s">
        <v>131</v>
      </c>
      <c r="F166" s="410" t="s">
        <v>313</v>
      </c>
      <c r="G166" s="322" t="s">
        <v>133</v>
      </c>
      <c r="H166" s="324">
        <v>120</v>
      </c>
      <c r="I166" s="325">
        <v>53</v>
      </c>
      <c r="J166" s="325">
        <f t="shared" si="7"/>
        <v>6360</v>
      </c>
      <c r="K166" s="318">
        <f t="shared" si="8"/>
        <v>7632</v>
      </c>
      <c r="L166" s="322"/>
      <c r="M166" s="371"/>
      <c r="N166" s="322">
        <f>+Table7[[#This Row],[стойност с ДДС]]-Table7[[#This Row],[направено плащане]]</f>
        <v>7632</v>
      </c>
      <c r="O166" s="327"/>
    </row>
    <row r="167" spans="1:15" ht="20.100000000000001" customHeight="1" x14ac:dyDescent="0.3">
      <c r="A167" s="151" t="s">
        <v>118</v>
      </c>
      <c r="B167" s="378" t="s">
        <v>311</v>
      </c>
      <c r="C167" s="371">
        <v>45330</v>
      </c>
      <c r="D167" s="322" t="s">
        <v>112</v>
      </c>
      <c r="E167" s="323" t="s">
        <v>131</v>
      </c>
      <c r="F167" s="410" t="s">
        <v>314</v>
      </c>
      <c r="G167" s="322" t="s">
        <v>133</v>
      </c>
      <c r="H167" s="324">
        <v>50</v>
      </c>
      <c r="I167" s="325">
        <v>53</v>
      </c>
      <c r="J167" s="325">
        <f t="shared" si="7"/>
        <v>2650</v>
      </c>
      <c r="K167" s="318">
        <f t="shared" si="8"/>
        <v>3180</v>
      </c>
      <c r="L167" s="322"/>
      <c r="M167" s="371"/>
      <c r="N167" s="322">
        <f>+Table7[[#This Row],[стойност с ДДС]]-Table7[[#This Row],[направено плащане]]</f>
        <v>3180</v>
      </c>
      <c r="O167" s="327"/>
    </row>
    <row r="168" spans="1:15" ht="20.100000000000001" customHeight="1" x14ac:dyDescent="0.3">
      <c r="A168" s="151" t="s">
        <v>118</v>
      </c>
      <c r="B168" s="378" t="s">
        <v>315</v>
      </c>
      <c r="C168" s="371">
        <v>45331</v>
      </c>
      <c r="D168" s="322" t="s">
        <v>292</v>
      </c>
      <c r="E168" s="323" t="s">
        <v>131</v>
      </c>
      <c r="F168" s="410" t="s">
        <v>316</v>
      </c>
      <c r="G168" s="322" t="s">
        <v>133</v>
      </c>
      <c r="H168" s="324">
        <v>200</v>
      </c>
      <c r="I168" s="325">
        <v>51.5</v>
      </c>
      <c r="J168" s="325">
        <f t="shared" si="7"/>
        <v>10300</v>
      </c>
      <c r="K168" s="318">
        <f t="shared" si="8"/>
        <v>12360</v>
      </c>
      <c r="L168" s="322"/>
      <c r="M168" s="371"/>
      <c r="N168" s="322">
        <f>+Table7[[#This Row],[стойност с ДДС]]-Table7[[#This Row],[направено плащане]]</f>
        <v>12360</v>
      </c>
      <c r="O168" s="327"/>
    </row>
    <row r="169" spans="1:15" ht="20.100000000000001" customHeight="1" x14ac:dyDescent="0.3">
      <c r="A169" s="151" t="s">
        <v>118</v>
      </c>
      <c r="B169" s="378" t="s">
        <v>315</v>
      </c>
      <c r="C169" s="371">
        <v>45331</v>
      </c>
      <c r="D169" s="322" t="s">
        <v>292</v>
      </c>
      <c r="E169" s="323" t="s">
        <v>131</v>
      </c>
      <c r="F169" s="410" t="s">
        <v>317</v>
      </c>
      <c r="G169" s="322" t="s">
        <v>133</v>
      </c>
      <c r="H169" s="324">
        <v>50</v>
      </c>
      <c r="I169" s="325">
        <v>54</v>
      </c>
      <c r="J169" s="325">
        <f t="shared" si="7"/>
        <v>2700</v>
      </c>
      <c r="K169" s="318">
        <f t="shared" si="8"/>
        <v>3240</v>
      </c>
      <c r="L169" s="322"/>
      <c r="M169" s="371"/>
      <c r="N169" s="322">
        <f>+Table7[[#This Row],[стойност с ДДС]]-Table7[[#This Row],[направено плащане]]</f>
        <v>3240</v>
      </c>
      <c r="O169" s="327"/>
    </row>
    <row r="170" spans="1:15" ht="20.100000000000001" customHeight="1" x14ac:dyDescent="0.3">
      <c r="A170" s="151" t="s">
        <v>157</v>
      </c>
      <c r="B170" s="378" t="s">
        <v>318</v>
      </c>
      <c r="C170" s="371">
        <v>45334</v>
      </c>
      <c r="D170" s="322" t="s">
        <v>319</v>
      </c>
      <c r="E170" s="323" t="s">
        <v>131</v>
      </c>
      <c r="F170" s="410" t="s">
        <v>279</v>
      </c>
      <c r="G170" s="322" t="s">
        <v>133</v>
      </c>
      <c r="H170" s="324">
        <v>50</v>
      </c>
      <c r="I170" s="325">
        <v>49</v>
      </c>
      <c r="J170" s="325">
        <f t="shared" si="7"/>
        <v>2450</v>
      </c>
      <c r="K170" s="318">
        <f t="shared" si="8"/>
        <v>2940</v>
      </c>
      <c r="L170" s="322"/>
      <c r="M170" s="371"/>
      <c r="N170" s="322">
        <f>+Table7[[#This Row],[стойност с ДДС]]-Table7[[#This Row],[направено плащане]]</f>
        <v>2940</v>
      </c>
      <c r="O170" s="327"/>
    </row>
    <row r="171" spans="1:15" ht="20.100000000000001" customHeight="1" x14ac:dyDescent="0.3">
      <c r="A171" s="151" t="s">
        <v>157</v>
      </c>
      <c r="B171" s="378" t="s">
        <v>320</v>
      </c>
      <c r="C171" s="371">
        <v>45334</v>
      </c>
      <c r="D171" s="322" t="s">
        <v>319</v>
      </c>
      <c r="E171" s="323" t="s">
        <v>131</v>
      </c>
      <c r="F171" s="410" t="s">
        <v>279</v>
      </c>
      <c r="G171" s="322" t="s">
        <v>133</v>
      </c>
      <c r="H171" s="324">
        <v>10</v>
      </c>
      <c r="I171" s="325">
        <v>52</v>
      </c>
      <c r="J171" s="325">
        <f t="shared" si="7"/>
        <v>520</v>
      </c>
      <c r="K171" s="318">
        <f t="shared" si="8"/>
        <v>624</v>
      </c>
      <c r="L171" s="322"/>
      <c r="M171" s="371"/>
      <c r="N171" s="322">
        <f>+Table7[[#This Row],[стойност с ДДС]]-Table7[[#This Row],[направено плащане]]</f>
        <v>624</v>
      </c>
      <c r="O171" s="327"/>
    </row>
    <row r="172" spans="1:15" ht="20.100000000000001" customHeight="1" x14ac:dyDescent="0.3">
      <c r="A172" s="151" t="s">
        <v>157</v>
      </c>
      <c r="B172" s="378" t="s">
        <v>321</v>
      </c>
      <c r="C172" s="371">
        <v>45334</v>
      </c>
      <c r="D172" s="322" t="s">
        <v>322</v>
      </c>
      <c r="E172" s="323" t="s">
        <v>131</v>
      </c>
      <c r="F172" s="410" t="s">
        <v>279</v>
      </c>
      <c r="G172" s="322" t="s">
        <v>133</v>
      </c>
      <c r="H172" s="324">
        <v>100</v>
      </c>
      <c r="I172" s="325">
        <v>50</v>
      </c>
      <c r="J172" s="325">
        <f t="shared" si="7"/>
        <v>5000</v>
      </c>
      <c r="K172" s="318">
        <f t="shared" si="8"/>
        <v>6000</v>
      </c>
      <c r="L172" s="322"/>
      <c r="M172" s="371"/>
      <c r="N172" s="322">
        <f>+Table7[[#This Row],[стойност с ДДС]]-Table7[[#This Row],[направено плащане]]</f>
        <v>6000</v>
      </c>
      <c r="O172" s="327"/>
    </row>
    <row r="173" spans="1:15" ht="20.100000000000001" customHeight="1" x14ac:dyDescent="0.3">
      <c r="A173" s="151" t="s">
        <v>157</v>
      </c>
      <c r="B173" s="378" t="s">
        <v>321</v>
      </c>
      <c r="C173" s="371">
        <v>45334</v>
      </c>
      <c r="D173" s="322" t="s">
        <v>322</v>
      </c>
      <c r="E173" s="323" t="s">
        <v>131</v>
      </c>
      <c r="F173" s="410" t="s">
        <v>279</v>
      </c>
      <c r="G173" s="322" t="s">
        <v>133</v>
      </c>
      <c r="H173" s="324">
        <v>50</v>
      </c>
      <c r="I173" s="325">
        <v>50</v>
      </c>
      <c r="J173" s="325">
        <f>I173*H173</f>
        <v>2500</v>
      </c>
      <c r="K173" s="318">
        <f>J173*1.2</f>
        <v>3000</v>
      </c>
      <c r="L173" s="322"/>
      <c r="M173" s="371"/>
      <c r="N173" s="322">
        <f>+Table7[[#This Row],[стойност с ДДС]]-Table7[[#This Row],[направено плащане]]</f>
        <v>3000</v>
      </c>
      <c r="O173" s="327"/>
    </row>
    <row r="174" spans="1:15" ht="20.100000000000001" customHeight="1" x14ac:dyDescent="0.3">
      <c r="A174" s="151" t="s">
        <v>99</v>
      </c>
      <c r="B174" s="378" t="s">
        <v>323</v>
      </c>
      <c r="C174" s="371">
        <v>45337</v>
      </c>
      <c r="D174" s="322" t="s">
        <v>324</v>
      </c>
      <c r="E174" s="323" t="s">
        <v>131</v>
      </c>
      <c r="F174" s="410" t="s">
        <v>325</v>
      </c>
      <c r="G174" s="322" t="s">
        <v>133</v>
      </c>
      <c r="H174" s="324">
        <v>80</v>
      </c>
      <c r="I174" s="325">
        <v>41.5</v>
      </c>
      <c r="J174" s="325">
        <f t="shared" si="7"/>
        <v>3320</v>
      </c>
      <c r="K174" s="318">
        <f t="shared" si="8"/>
        <v>3984</v>
      </c>
      <c r="L174" s="322"/>
      <c r="M174" s="371"/>
      <c r="N174" s="322">
        <f>+Table7[[#This Row],[стойност с ДДС]]-Table7[[#This Row],[направено плащане]]</f>
        <v>3984</v>
      </c>
      <c r="O174" s="327"/>
    </row>
    <row r="175" spans="1:15" ht="20.100000000000001" customHeight="1" x14ac:dyDescent="0.3">
      <c r="A175" s="151" t="s">
        <v>99</v>
      </c>
      <c r="B175" s="378" t="s">
        <v>323</v>
      </c>
      <c r="C175" s="371">
        <v>45337</v>
      </c>
      <c r="D175" s="322" t="s">
        <v>324</v>
      </c>
      <c r="E175" s="323" t="s">
        <v>131</v>
      </c>
      <c r="F175" s="410" t="s">
        <v>326</v>
      </c>
      <c r="G175" s="322" t="s">
        <v>133</v>
      </c>
      <c r="H175" s="324">
        <v>150</v>
      </c>
      <c r="I175" s="325">
        <v>52.5</v>
      </c>
      <c r="J175" s="325">
        <f t="shared" si="7"/>
        <v>7875</v>
      </c>
      <c r="K175" s="318">
        <f t="shared" si="8"/>
        <v>9450</v>
      </c>
      <c r="L175" s="322"/>
      <c r="M175" s="371"/>
      <c r="N175" s="322">
        <f>+Table7[[#This Row],[стойност с ДДС]]-Table7[[#This Row],[направено плащане]]</f>
        <v>9450</v>
      </c>
      <c r="O175" s="327"/>
    </row>
    <row r="176" spans="1:15" ht="20.100000000000001" customHeight="1" x14ac:dyDescent="0.3">
      <c r="A176" s="151" t="s">
        <v>99</v>
      </c>
      <c r="B176" s="378" t="s">
        <v>323</v>
      </c>
      <c r="C176" s="371">
        <v>45337</v>
      </c>
      <c r="D176" s="322" t="s">
        <v>324</v>
      </c>
      <c r="E176" s="323" t="s">
        <v>131</v>
      </c>
      <c r="F176" s="410" t="s">
        <v>327</v>
      </c>
      <c r="G176" s="322" t="s">
        <v>133</v>
      </c>
      <c r="H176" s="324">
        <v>50</v>
      </c>
      <c r="I176" s="325">
        <v>52.5</v>
      </c>
      <c r="J176" s="325">
        <f t="shared" si="7"/>
        <v>2625</v>
      </c>
      <c r="K176" s="318">
        <f t="shared" si="8"/>
        <v>3150</v>
      </c>
      <c r="L176" s="322"/>
      <c r="M176" s="371"/>
      <c r="N176" s="322">
        <f>+Table7[[#This Row],[стойност с ДДС]]-Table7[[#This Row],[направено плащане]]</f>
        <v>3150</v>
      </c>
      <c r="O176" s="327"/>
    </row>
    <row r="177" spans="1:15" ht="20.100000000000001" customHeight="1" x14ac:dyDescent="0.3">
      <c r="A177" s="151" t="s">
        <v>99</v>
      </c>
      <c r="B177" s="378">
        <v>8000004168</v>
      </c>
      <c r="C177" s="371">
        <v>45356</v>
      </c>
      <c r="D177" s="322"/>
      <c r="E177" s="331" t="s">
        <v>328</v>
      </c>
      <c r="F177" s="409"/>
      <c r="G177" s="322" t="s">
        <v>133</v>
      </c>
      <c r="H177" s="324">
        <v>1839.1590000000001</v>
      </c>
      <c r="I177" s="325">
        <v>53.74</v>
      </c>
      <c r="J177" s="325">
        <f>I177*H177</f>
        <v>98836.404660000015</v>
      </c>
      <c r="K177" s="318">
        <f>J177*1.2</f>
        <v>118603.68559200001</v>
      </c>
      <c r="L177" s="322">
        <v>118603.69</v>
      </c>
      <c r="M177" s="371">
        <v>45373</v>
      </c>
      <c r="N177" s="322">
        <f>+Table7[[#This Row],[стойност с ДДС]]-Table7[[#This Row],[направено плащане]]</f>
        <v>-4.4079999934183434E-3</v>
      </c>
      <c r="O177" s="327"/>
    </row>
    <row r="178" spans="1:15" ht="20.100000000000001" customHeight="1" x14ac:dyDescent="0.3">
      <c r="A178" s="151" t="s">
        <v>118</v>
      </c>
      <c r="B178" s="378" t="s">
        <v>329</v>
      </c>
      <c r="C178" s="371">
        <v>45335</v>
      </c>
      <c r="D178" s="322" t="s">
        <v>330</v>
      </c>
      <c r="E178" s="323" t="s">
        <v>131</v>
      </c>
      <c r="F178" s="410" t="s">
        <v>331</v>
      </c>
      <c r="G178" s="322" t="s">
        <v>133</v>
      </c>
      <c r="H178" s="324">
        <v>50</v>
      </c>
      <c r="I178" s="325">
        <v>50</v>
      </c>
      <c r="J178" s="325">
        <f t="shared" si="7"/>
        <v>2500</v>
      </c>
      <c r="K178" s="318">
        <f t="shared" si="8"/>
        <v>3000</v>
      </c>
      <c r="L178" s="322"/>
      <c r="M178" s="371"/>
      <c r="N178" s="322">
        <f>+Table7[[#This Row],[стойност с ДДС]]-Table7[[#This Row],[направено плащане]]</f>
        <v>3000</v>
      </c>
      <c r="O178" s="327"/>
    </row>
    <row r="179" spans="1:15" ht="20.100000000000001" customHeight="1" x14ac:dyDescent="0.3">
      <c r="A179" s="151" t="s">
        <v>118</v>
      </c>
      <c r="B179" s="378" t="s">
        <v>329</v>
      </c>
      <c r="C179" s="371">
        <v>45335</v>
      </c>
      <c r="D179" s="322" t="s">
        <v>330</v>
      </c>
      <c r="E179" s="323" t="s">
        <v>131</v>
      </c>
      <c r="F179" s="410" t="s">
        <v>332</v>
      </c>
      <c r="G179" s="322" t="s">
        <v>133</v>
      </c>
      <c r="H179" s="324">
        <v>100</v>
      </c>
      <c r="I179" s="325">
        <v>51</v>
      </c>
      <c r="J179" s="325">
        <f t="shared" si="7"/>
        <v>5100</v>
      </c>
      <c r="K179" s="318">
        <f t="shared" si="8"/>
        <v>6120</v>
      </c>
      <c r="L179" s="322"/>
      <c r="M179" s="371"/>
      <c r="N179" s="322">
        <f>+Table7[[#This Row],[стойност с ДДС]]-Table7[[#This Row],[направено плащане]]</f>
        <v>6120</v>
      </c>
      <c r="O179" s="327"/>
    </row>
    <row r="180" spans="1:15" ht="20.100000000000001" customHeight="1" x14ac:dyDescent="0.3">
      <c r="A180" s="151" t="s">
        <v>118</v>
      </c>
      <c r="B180" s="378" t="s">
        <v>333</v>
      </c>
      <c r="C180" s="371">
        <v>45334</v>
      </c>
      <c r="D180" s="322" t="s">
        <v>319</v>
      </c>
      <c r="E180" s="323" t="s">
        <v>131</v>
      </c>
      <c r="F180" s="410" t="s">
        <v>334</v>
      </c>
      <c r="G180" s="322" t="s">
        <v>133</v>
      </c>
      <c r="H180" s="324">
        <v>100</v>
      </c>
      <c r="I180" s="325">
        <v>48</v>
      </c>
      <c r="J180" s="325">
        <f t="shared" si="7"/>
        <v>4800</v>
      </c>
      <c r="K180" s="318">
        <f t="shared" si="8"/>
        <v>5760</v>
      </c>
      <c r="L180" s="322"/>
      <c r="M180" s="371"/>
      <c r="N180" s="322">
        <f>+Table7[[#This Row],[стойност с ДДС]]-Table7[[#This Row],[направено плащане]]</f>
        <v>5760</v>
      </c>
      <c r="O180" s="327"/>
    </row>
    <row r="181" spans="1:15" ht="20.100000000000001" customHeight="1" x14ac:dyDescent="0.3">
      <c r="A181" s="151" t="s">
        <v>118</v>
      </c>
      <c r="B181" s="378" t="s">
        <v>333</v>
      </c>
      <c r="C181" s="371">
        <v>45334</v>
      </c>
      <c r="D181" s="322" t="s">
        <v>319</v>
      </c>
      <c r="E181" s="323" t="s">
        <v>131</v>
      </c>
      <c r="F181" s="410" t="s">
        <v>335</v>
      </c>
      <c r="G181" s="322" t="s">
        <v>133</v>
      </c>
      <c r="H181" s="324">
        <v>100</v>
      </c>
      <c r="I181" s="325">
        <v>48</v>
      </c>
      <c r="J181" s="325">
        <f t="shared" si="7"/>
        <v>4800</v>
      </c>
      <c r="K181" s="318">
        <f t="shared" si="8"/>
        <v>5760</v>
      </c>
      <c r="L181" s="322"/>
      <c r="M181" s="371"/>
      <c r="N181" s="322">
        <f>+Table7[[#This Row],[стойност с ДДС]]-Table7[[#This Row],[направено плащане]]</f>
        <v>5760</v>
      </c>
      <c r="O181" s="327"/>
    </row>
    <row r="182" spans="1:15" ht="20.100000000000001" customHeight="1" x14ac:dyDescent="0.3">
      <c r="A182" s="151" t="s">
        <v>118</v>
      </c>
      <c r="B182" s="378" t="s">
        <v>336</v>
      </c>
      <c r="C182" s="371">
        <v>45336</v>
      </c>
      <c r="D182" s="322" t="s">
        <v>322</v>
      </c>
      <c r="E182" s="323" t="s">
        <v>131</v>
      </c>
      <c r="F182" s="410" t="s">
        <v>337</v>
      </c>
      <c r="G182" s="322" t="s">
        <v>133</v>
      </c>
      <c r="H182" s="324">
        <v>150</v>
      </c>
      <c r="I182" s="325">
        <v>50</v>
      </c>
      <c r="J182" s="325">
        <f t="shared" si="7"/>
        <v>7500</v>
      </c>
      <c r="K182" s="318">
        <f t="shared" si="8"/>
        <v>9000</v>
      </c>
      <c r="L182" s="322"/>
      <c r="M182" s="371"/>
      <c r="N182" s="322">
        <f>+Table7[[#This Row],[стойност с ДДС]]-Table7[[#This Row],[направено плащане]]</f>
        <v>9000</v>
      </c>
      <c r="O182" s="327"/>
    </row>
    <row r="183" spans="1:15" ht="20.100000000000001" customHeight="1" x14ac:dyDescent="0.3">
      <c r="A183" s="151" t="s">
        <v>118</v>
      </c>
      <c r="B183" s="378" t="s">
        <v>336</v>
      </c>
      <c r="C183" s="371">
        <v>45336</v>
      </c>
      <c r="D183" s="322" t="s">
        <v>322</v>
      </c>
      <c r="E183" s="323" t="s">
        <v>131</v>
      </c>
      <c r="F183" s="410" t="s">
        <v>338</v>
      </c>
      <c r="G183" s="322" t="s">
        <v>133</v>
      </c>
      <c r="H183" s="324">
        <v>50</v>
      </c>
      <c r="I183" s="325">
        <v>51</v>
      </c>
      <c r="J183" s="325">
        <f t="shared" si="7"/>
        <v>2550</v>
      </c>
      <c r="K183" s="318">
        <f t="shared" si="8"/>
        <v>3060</v>
      </c>
      <c r="L183" s="322"/>
      <c r="M183" s="371"/>
      <c r="N183" s="322">
        <f>+Table7[[#This Row],[стойност с ДДС]]-Table7[[#This Row],[направено плащане]]</f>
        <v>3060</v>
      </c>
      <c r="O183" s="327"/>
    </row>
    <row r="184" spans="1:15" ht="20.100000000000001" customHeight="1" x14ac:dyDescent="0.3">
      <c r="A184" s="151" t="s">
        <v>118</v>
      </c>
      <c r="B184" s="378" t="s">
        <v>336</v>
      </c>
      <c r="C184" s="371">
        <v>45336</v>
      </c>
      <c r="D184" s="322" t="s">
        <v>322</v>
      </c>
      <c r="E184" s="323" t="s">
        <v>131</v>
      </c>
      <c r="F184" s="410" t="s">
        <v>339</v>
      </c>
      <c r="G184" s="322" t="s">
        <v>133</v>
      </c>
      <c r="H184" s="324">
        <v>50</v>
      </c>
      <c r="I184" s="325">
        <v>51</v>
      </c>
      <c r="J184" s="325">
        <f t="shared" si="7"/>
        <v>2550</v>
      </c>
      <c r="K184" s="318">
        <f t="shared" si="8"/>
        <v>3060</v>
      </c>
      <c r="L184" s="322"/>
      <c r="M184" s="371"/>
      <c r="N184" s="322">
        <f>+Table7[[#This Row],[стойност с ДДС]]-Table7[[#This Row],[направено плащане]]</f>
        <v>3060</v>
      </c>
      <c r="O184" s="327"/>
    </row>
    <row r="185" spans="1:15" ht="20.100000000000001" customHeight="1" x14ac:dyDescent="0.3">
      <c r="A185" s="151" t="s">
        <v>157</v>
      </c>
      <c r="B185" s="378" t="s">
        <v>340</v>
      </c>
      <c r="C185" s="371">
        <v>45337</v>
      </c>
      <c r="D185" s="322" t="s">
        <v>324</v>
      </c>
      <c r="E185" s="323" t="s">
        <v>131</v>
      </c>
      <c r="F185" s="410" t="s">
        <v>279</v>
      </c>
      <c r="G185" s="322" t="s">
        <v>133</v>
      </c>
      <c r="H185" s="324">
        <v>50</v>
      </c>
      <c r="I185" s="325">
        <v>50</v>
      </c>
      <c r="J185" s="325">
        <f t="shared" si="7"/>
        <v>2500</v>
      </c>
      <c r="K185" s="318">
        <f t="shared" si="8"/>
        <v>3000</v>
      </c>
      <c r="L185" s="322"/>
      <c r="M185" s="371"/>
      <c r="N185" s="322">
        <f>+Table7[[#This Row],[стойност с ДДС]]-Table7[[#This Row],[направено плащане]]</f>
        <v>3000</v>
      </c>
      <c r="O185" s="327"/>
    </row>
    <row r="186" spans="1:15" ht="20.100000000000001" customHeight="1" x14ac:dyDescent="0.3">
      <c r="A186" s="151" t="s">
        <v>341</v>
      </c>
      <c r="B186" s="378" t="s">
        <v>342</v>
      </c>
      <c r="C186" s="371">
        <v>45324</v>
      </c>
      <c r="D186" s="322"/>
      <c r="E186" s="332" t="s">
        <v>343</v>
      </c>
      <c r="F186" s="409" t="s">
        <v>344</v>
      </c>
      <c r="G186" s="322"/>
      <c r="H186" s="324">
        <v>1</v>
      </c>
      <c r="I186" s="325">
        <v>2900</v>
      </c>
      <c r="J186" s="325">
        <f>I186*H186</f>
        <v>2900</v>
      </c>
      <c r="K186" s="318">
        <f>J186*1.2</f>
        <v>3480</v>
      </c>
      <c r="L186" s="322"/>
      <c r="M186" s="371"/>
      <c r="N186" s="322">
        <f>+Table7[[#This Row],[стойност с ДДС]]-Table7[[#This Row],[направено плащане]]</f>
        <v>3480</v>
      </c>
      <c r="O186" s="327"/>
    </row>
    <row r="187" spans="1:15" ht="20.100000000000001" customHeight="1" x14ac:dyDescent="0.3">
      <c r="A187" s="151" t="s">
        <v>99</v>
      </c>
      <c r="B187" s="378" t="s">
        <v>345</v>
      </c>
      <c r="C187" s="371">
        <v>45341</v>
      </c>
      <c r="D187" s="322" t="s">
        <v>346</v>
      </c>
      <c r="E187" s="323" t="s">
        <v>131</v>
      </c>
      <c r="F187" s="410"/>
      <c r="G187" s="322" t="s">
        <v>133</v>
      </c>
      <c r="H187" s="324">
        <v>380</v>
      </c>
      <c r="I187" s="325">
        <v>53.184210526315788</v>
      </c>
      <c r="J187" s="325">
        <f t="shared" si="7"/>
        <v>20210</v>
      </c>
      <c r="K187" s="318">
        <f t="shared" si="8"/>
        <v>24252</v>
      </c>
      <c r="L187" s="322"/>
      <c r="M187" s="371"/>
      <c r="N187" s="322">
        <f>+Table7[[#This Row],[стойност с ДДС]]-Table7[[#This Row],[направено плащане]]</f>
        <v>24252</v>
      </c>
      <c r="O187" s="327"/>
    </row>
    <row r="188" spans="1:15" ht="20.100000000000001" customHeight="1" x14ac:dyDescent="0.3">
      <c r="A188" s="151" t="s">
        <v>157</v>
      </c>
      <c r="B188" s="378" t="s">
        <v>347</v>
      </c>
      <c r="C188" s="371">
        <v>45341</v>
      </c>
      <c r="D188" s="322" t="s">
        <v>346</v>
      </c>
      <c r="E188" s="323" t="s">
        <v>131</v>
      </c>
      <c r="F188" s="410" t="s">
        <v>279</v>
      </c>
      <c r="G188" s="322" t="s">
        <v>133</v>
      </c>
      <c r="H188" s="324">
        <v>150</v>
      </c>
      <c r="I188" s="325">
        <v>53.5</v>
      </c>
      <c r="J188" s="325">
        <f t="shared" si="7"/>
        <v>8025</v>
      </c>
      <c r="K188" s="318">
        <f t="shared" si="8"/>
        <v>9630</v>
      </c>
      <c r="L188" s="322"/>
      <c r="M188" s="371"/>
      <c r="N188" s="322">
        <f>+Table7[[#This Row],[стойност с ДДС]]-Table7[[#This Row],[направено плащане]]</f>
        <v>9630</v>
      </c>
      <c r="O188" s="327"/>
    </row>
    <row r="189" spans="1:15" ht="20.100000000000001" customHeight="1" x14ac:dyDescent="0.3">
      <c r="A189" s="151" t="s">
        <v>157</v>
      </c>
      <c r="B189" s="378" t="s">
        <v>347</v>
      </c>
      <c r="C189" s="371">
        <v>45341</v>
      </c>
      <c r="D189" s="322" t="s">
        <v>346</v>
      </c>
      <c r="E189" s="323" t="s">
        <v>131</v>
      </c>
      <c r="F189" s="410" t="s">
        <v>279</v>
      </c>
      <c r="G189" s="322" t="s">
        <v>133</v>
      </c>
      <c r="H189" s="324">
        <v>20</v>
      </c>
      <c r="I189" s="325">
        <v>46</v>
      </c>
      <c r="J189" s="325">
        <f t="shared" si="7"/>
        <v>920</v>
      </c>
      <c r="K189" s="318">
        <f t="shared" si="8"/>
        <v>1104</v>
      </c>
      <c r="L189" s="322"/>
      <c r="M189" s="371"/>
      <c r="N189" s="322">
        <f>+Table7[[#This Row],[стойност с ДДС]]-Table7[[#This Row],[направено плащане]]</f>
        <v>1104</v>
      </c>
      <c r="O189" s="327"/>
    </row>
    <row r="190" spans="1:15" ht="20.100000000000001" customHeight="1" x14ac:dyDescent="0.3">
      <c r="A190" s="151" t="s">
        <v>157</v>
      </c>
      <c r="B190" s="378" t="s">
        <v>347</v>
      </c>
      <c r="C190" s="371">
        <v>45341</v>
      </c>
      <c r="D190" s="322" t="s">
        <v>346</v>
      </c>
      <c r="E190" s="323" t="s">
        <v>131</v>
      </c>
      <c r="F190" s="410" t="s">
        <v>279</v>
      </c>
      <c r="G190" s="322" t="s">
        <v>133</v>
      </c>
      <c r="H190" s="324">
        <v>7</v>
      </c>
      <c r="I190" s="325">
        <v>49</v>
      </c>
      <c r="J190" s="325">
        <f t="shared" si="7"/>
        <v>343</v>
      </c>
      <c r="K190" s="318">
        <f t="shared" si="8"/>
        <v>411.59999999999997</v>
      </c>
      <c r="L190" s="322"/>
      <c r="M190" s="371"/>
      <c r="N190" s="322">
        <f>+Table7[[#This Row],[стойност с ДДС]]-Table7[[#This Row],[направено плащане]]</f>
        <v>411.59999999999997</v>
      </c>
      <c r="O190" s="327"/>
    </row>
    <row r="191" spans="1:15" ht="20.100000000000001" customHeight="1" x14ac:dyDescent="0.3">
      <c r="A191" s="206" t="s">
        <v>37</v>
      </c>
      <c r="B191" s="378" t="s">
        <v>348</v>
      </c>
      <c r="C191" s="371">
        <v>45338</v>
      </c>
      <c r="D191" s="322" t="s">
        <v>349</v>
      </c>
      <c r="E191" s="323" t="s">
        <v>131</v>
      </c>
      <c r="F191" s="410"/>
      <c r="G191" s="322" t="s">
        <v>133</v>
      </c>
      <c r="H191" s="324">
        <v>60</v>
      </c>
      <c r="I191" s="325">
        <v>49.75</v>
      </c>
      <c r="J191" s="325">
        <f t="shared" si="7"/>
        <v>2985</v>
      </c>
      <c r="K191" s="318">
        <f t="shared" si="8"/>
        <v>3582</v>
      </c>
      <c r="L191" s="322"/>
      <c r="M191" s="371"/>
      <c r="N191" s="322">
        <f>+Table7[[#This Row],[стойност с ДДС]]-Table7[[#This Row],[направено плащане]]</f>
        <v>3582</v>
      </c>
      <c r="O191" s="327"/>
    </row>
    <row r="192" spans="1:15" ht="20.100000000000001" customHeight="1" x14ac:dyDescent="0.3">
      <c r="A192" s="206" t="s">
        <v>37</v>
      </c>
      <c r="B192" s="378" t="s">
        <v>350</v>
      </c>
      <c r="C192" s="371">
        <v>45338</v>
      </c>
      <c r="D192" s="322" t="s">
        <v>349</v>
      </c>
      <c r="E192" s="323" t="s">
        <v>131</v>
      </c>
      <c r="F192" s="410" t="s">
        <v>351</v>
      </c>
      <c r="G192" s="322" t="s">
        <v>133</v>
      </c>
      <c r="H192" s="324">
        <v>3</v>
      </c>
      <c r="I192" s="325">
        <v>49</v>
      </c>
      <c r="J192" s="325">
        <f t="shared" si="7"/>
        <v>147</v>
      </c>
      <c r="K192" s="318">
        <f t="shared" si="8"/>
        <v>176.4</v>
      </c>
      <c r="L192" s="322"/>
      <c r="M192" s="371"/>
      <c r="N192" s="322">
        <f>+Table7[[#This Row],[стойност с ДДС]]-Table7[[#This Row],[направено плащане]]</f>
        <v>176.4</v>
      </c>
      <c r="O192" s="327"/>
    </row>
    <row r="193" spans="1:15" ht="20.100000000000001" customHeight="1" x14ac:dyDescent="0.3">
      <c r="A193" s="151" t="s">
        <v>352</v>
      </c>
      <c r="B193" s="378" t="s">
        <v>353</v>
      </c>
      <c r="C193" s="371">
        <v>45339</v>
      </c>
      <c r="D193" s="322" t="s">
        <v>354</v>
      </c>
      <c r="E193" s="323" t="s">
        <v>131</v>
      </c>
      <c r="F193" s="410" t="s">
        <v>355</v>
      </c>
      <c r="G193" s="322" t="s">
        <v>133</v>
      </c>
      <c r="H193" s="324">
        <v>120</v>
      </c>
      <c r="I193" s="325">
        <v>49</v>
      </c>
      <c r="J193" s="325">
        <f t="shared" si="7"/>
        <v>5880</v>
      </c>
      <c r="K193" s="318">
        <f t="shared" si="8"/>
        <v>7056</v>
      </c>
      <c r="L193" s="322">
        <v>7056</v>
      </c>
      <c r="M193" s="371">
        <v>45344</v>
      </c>
      <c r="N193" s="322">
        <f>+Table7[[#This Row],[стойност с ДДС]]-Table7[[#This Row],[направено плащане]]</f>
        <v>0</v>
      </c>
      <c r="O193" s="327"/>
    </row>
    <row r="194" spans="1:15" ht="20.100000000000001" customHeight="1" x14ac:dyDescent="0.3">
      <c r="A194" s="206" t="s">
        <v>37</v>
      </c>
      <c r="B194" s="378" t="s">
        <v>356</v>
      </c>
      <c r="C194" s="371">
        <v>45341</v>
      </c>
      <c r="D194" s="322" t="s">
        <v>346</v>
      </c>
      <c r="E194" s="323" t="s">
        <v>131</v>
      </c>
      <c r="F194" s="410" t="s">
        <v>357</v>
      </c>
      <c r="G194" s="322" t="s">
        <v>133</v>
      </c>
      <c r="H194" s="324">
        <v>16</v>
      </c>
      <c r="I194" s="325">
        <v>47</v>
      </c>
      <c r="J194" s="325">
        <f t="shared" si="7"/>
        <v>752</v>
      </c>
      <c r="K194" s="318">
        <f t="shared" si="8"/>
        <v>902.4</v>
      </c>
      <c r="L194" s="322"/>
      <c r="M194" s="371"/>
      <c r="N194" s="322">
        <f>+Table7[[#This Row],[стойност с ДДС]]-Table7[[#This Row],[направено плащане]]</f>
        <v>902.4</v>
      </c>
      <c r="O194" s="327"/>
    </row>
    <row r="195" spans="1:15" ht="20.100000000000001" customHeight="1" x14ac:dyDescent="0.3">
      <c r="A195" s="151" t="s">
        <v>118</v>
      </c>
      <c r="B195" s="378" t="s">
        <v>358</v>
      </c>
      <c r="C195" s="371">
        <v>45340</v>
      </c>
      <c r="D195" s="322" t="s">
        <v>359</v>
      </c>
      <c r="E195" s="323" t="s">
        <v>131</v>
      </c>
      <c r="F195" s="410" t="s">
        <v>360</v>
      </c>
      <c r="G195" s="322" t="s">
        <v>133</v>
      </c>
      <c r="H195" s="324">
        <v>100</v>
      </c>
      <c r="I195" s="325">
        <v>50</v>
      </c>
      <c r="J195" s="325">
        <f t="shared" si="7"/>
        <v>5000</v>
      </c>
      <c r="K195" s="318">
        <f t="shared" si="8"/>
        <v>6000</v>
      </c>
      <c r="L195" s="322"/>
      <c r="M195" s="371"/>
      <c r="N195" s="322">
        <f>+Table7[[#This Row],[стойност с ДДС]]-Table7[[#This Row],[направено плащане]]</f>
        <v>6000</v>
      </c>
      <c r="O195" s="327"/>
    </row>
    <row r="196" spans="1:15" ht="20.100000000000001" customHeight="1" x14ac:dyDescent="0.3">
      <c r="A196" s="151" t="s">
        <v>118</v>
      </c>
      <c r="B196" s="378" t="s">
        <v>361</v>
      </c>
      <c r="C196" s="371">
        <v>45339</v>
      </c>
      <c r="D196" s="322" t="s">
        <v>354</v>
      </c>
      <c r="E196" s="323" t="s">
        <v>131</v>
      </c>
      <c r="F196" s="410" t="s">
        <v>362</v>
      </c>
      <c r="G196" s="322" t="s">
        <v>133</v>
      </c>
      <c r="H196" s="324">
        <v>100</v>
      </c>
      <c r="I196" s="325">
        <v>50.5</v>
      </c>
      <c r="J196" s="325">
        <f t="shared" si="7"/>
        <v>5050</v>
      </c>
      <c r="K196" s="318">
        <f t="shared" si="8"/>
        <v>6060</v>
      </c>
      <c r="L196" s="322"/>
      <c r="M196" s="371"/>
      <c r="N196" s="322">
        <f>+Table7[[#This Row],[стойност с ДДС]]-Table7[[#This Row],[направено плащане]]</f>
        <v>6060</v>
      </c>
      <c r="O196" s="327"/>
    </row>
    <row r="197" spans="1:15" ht="20.100000000000001" customHeight="1" x14ac:dyDescent="0.3">
      <c r="A197" s="151" t="s">
        <v>157</v>
      </c>
      <c r="B197" s="378" t="s">
        <v>363</v>
      </c>
      <c r="C197" s="371">
        <v>45341</v>
      </c>
      <c r="D197" s="322" t="s">
        <v>346</v>
      </c>
      <c r="E197" s="323" t="s">
        <v>131</v>
      </c>
      <c r="F197" s="410" t="s">
        <v>279</v>
      </c>
      <c r="G197" s="322" t="s">
        <v>133</v>
      </c>
      <c r="H197" s="324">
        <v>200</v>
      </c>
      <c r="I197" s="325">
        <v>52</v>
      </c>
      <c r="J197" s="325">
        <f t="shared" si="7"/>
        <v>10400</v>
      </c>
      <c r="K197" s="318">
        <f t="shared" si="8"/>
        <v>12480</v>
      </c>
      <c r="L197" s="322"/>
      <c r="M197" s="371"/>
      <c r="N197" s="322">
        <f>+Table7[[#This Row],[стойност с ДДС]]-Table7[[#This Row],[направено плащане]]</f>
        <v>12480</v>
      </c>
      <c r="O197" s="327"/>
    </row>
    <row r="198" spans="1:15" ht="20.100000000000001" customHeight="1" x14ac:dyDescent="0.3">
      <c r="A198" s="151" t="s">
        <v>118</v>
      </c>
      <c r="B198" s="378" t="s">
        <v>364</v>
      </c>
      <c r="C198" s="371">
        <v>45342</v>
      </c>
      <c r="D198" s="322" t="s">
        <v>365</v>
      </c>
      <c r="E198" s="323" t="s">
        <v>131</v>
      </c>
      <c r="F198" s="410" t="s">
        <v>366</v>
      </c>
      <c r="G198" s="322" t="s">
        <v>133</v>
      </c>
      <c r="H198" s="324">
        <v>30</v>
      </c>
      <c r="I198" s="325">
        <v>49.5</v>
      </c>
      <c r="J198" s="325">
        <f t="shared" si="7"/>
        <v>1485</v>
      </c>
      <c r="K198" s="318">
        <f t="shared" si="8"/>
        <v>1782</v>
      </c>
      <c r="L198" s="322"/>
      <c r="M198" s="371"/>
      <c r="N198" s="322">
        <f>+Table7[[#This Row],[стойност с ДДС]]-Table7[[#This Row],[направено плащане]]</f>
        <v>1782</v>
      </c>
      <c r="O198" s="327"/>
    </row>
    <row r="199" spans="1:15" ht="20.100000000000001" customHeight="1" x14ac:dyDescent="0.3">
      <c r="A199" s="151" t="s">
        <v>101</v>
      </c>
      <c r="B199" s="387" t="s">
        <v>367</v>
      </c>
      <c r="C199" s="371">
        <v>45342</v>
      </c>
      <c r="D199" s="322" t="s">
        <v>365</v>
      </c>
      <c r="E199" s="323" t="s">
        <v>131</v>
      </c>
      <c r="F199" s="410" t="s">
        <v>368</v>
      </c>
      <c r="G199" s="322" t="s">
        <v>133</v>
      </c>
      <c r="H199" s="324">
        <v>100</v>
      </c>
      <c r="I199" s="325">
        <v>50</v>
      </c>
      <c r="J199" s="325">
        <f t="shared" si="7"/>
        <v>5000</v>
      </c>
      <c r="K199" s="318">
        <f t="shared" si="8"/>
        <v>6000</v>
      </c>
      <c r="L199" s="322"/>
      <c r="M199" s="371"/>
      <c r="N199" s="322">
        <f>+Table7[[#This Row],[стойност с ДДС]]-Table7[[#This Row],[направено плащане]]</f>
        <v>6000</v>
      </c>
      <c r="O199" s="327"/>
    </row>
    <row r="200" spans="1:15" ht="20.100000000000001" customHeight="1" x14ac:dyDescent="0.3">
      <c r="A200" s="151" t="s">
        <v>101</v>
      </c>
      <c r="B200" s="387" t="s">
        <v>367</v>
      </c>
      <c r="C200" s="371">
        <v>45342</v>
      </c>
      <c r="D200" s="322" t="s">
        <v>365</v>
      </c>
      <c r="E200" s="323" t="s">
        <v>131</v>
      </c>
      <c r="F200" s="410" t="s">
        <v>369</v>
      </c>
      <c r="G200" s="322" t="s">
        <v>133</v>
      </c>
      <c r="H200" s="324">
        <v>62</v>
      </c>
      <c r="I200" s="325">
        <v>49</v>
      </c>
      <c r="J200" s="325">
        <f t="shared" si="7"/>
        <v>3038</v>
      </c>
      <c r="K200" s="318">
        <f t="shared" si="8"/>
        <v>3645.6</v>
      </c>
      <c r="L200" s="322"/>
      <c r="M200" s="371"/>
      <c r="N200" s="322">
        <f>+Table7[[#This Row],[стойност с ДДС]]-Table7[[#This Row],[направено плащане]]</f>
        <v>3645.6</v>
      </c>
      <c r="O200" s="327"/>
    </row>
    <row r="201" spans="1:15" ht="20.100000000000001" customHeight="1" x14ac:dyDescent="0.3">
      <c r="A201" s="151" t="s">
        <v>157</v>
      </c>
      <c r="B201" s="378" t="s">
        <v>370</v>
      </c>
      <c r="C201" s="371">
        <v>45343</v>
      </c>
      <c r="D201" s="322" t="s">
        <v>371</v>
      </c>
      <c r="E201" s="323" t="s">
        <v>131</v>
      </c>
      <c r="F201" s="410" t="s">
        <v>279</v>
      </c>
      <c r="G201" s="322" t="s">
        <v>133</v>
      </c>
      <c r="H201" s="324">
        <v>23</v>
      </c>
      <c r="I201" s="325">
        <v>48</v>
      </c>
      <c r="J201" s="325">
        <f t="shared" si="7"/>
        <v>1104</v>
      </c>
      <c r="K201" s="318">
        <f t="shared" si="8"/>
        <v>1324.8</v>
      </c>
      <c r="L201" s="322"/>
      <c r="M201" s="371"/>
      <c r="N201" s="322">
        <f>+Table7[[#This Row],[стойност с ДДС]]-Table7[[#This Row],[направено плащане]]</f>
        <v>1324.8</v>
      </c>
      <c r="O201" s="327"/>
    </row>
    <row r="202" spans="1:15" ht="20.100000000000001" customHeight="1" x14ac:dyDescent="0.3">
      <c r="A202" s="151" t="s">
        <v>99</v>
      </c>
      <c r="B202" s="378" t="s">
        <v>372</v>
      </c>
      <c r="C202" s="371">
        <v>45344</v>
      </c>
      <c r="D202" s="322" t="s">
        <v>373</v>
      </c>
      <c r="E202" s="323" t="s">
        <v>131</v>
      </c>
      <c r="F202" s="410" t="s">
        <v>374</v>
      </c>
      <c r="G202" s="322" t="s">
        <v>133</v>
      </c>
      <c r="H202" s="324">
        <v>200</v>
      </c>
      <c r="I202" s="325">
        <v>52.5</v>
      </c>
      <c r="J202" s="325">
        <f t="shared" si="7"/>
        <v>10500</v>
      </c>
      <c r="K202" s="318">
        <f t="shared" si="8"/>
        <v>12600</v>
      </c>
      <c r="L202" s="322"/>
      <c r="M202" s="371"/>
      <c r="N202" s="322">
        <f>+Table7[[#This Row],[стойност с ДДС]]-Table7[[#This Row],[направено плащане]]</f>
        <v>12600</v>
      </c>
      <c r="O202" s="327"/>
    </row>
    <row r="203" spans="1:15" ht="20.100000000000001" customHeight="1" x14ac:dyDescent="0.3">
      <c r="A203" s="151" t="s">
        <v>352</v>
      </c>
      <c r="B203" s="378" t="s">
        <v>375</v>
      </c>
      <c r="C203" s="371">
        <v>45344</v>
      </c>
      <c r="D203" s="322" t="s">
        <v>373</v>
      </c>
      <c r="E203" s="323" t="s">
        <v>131</v>
      </c>
      <c r="F203" s="410" t="s">
        <v>376</v>
      </c>
      <c r="G203" s="322" t="s">
        <v>133</v>
      </c>
      <c r="H203" s="324">
        <v>20</v>
      </c>
      <c r="I203" s="325">
        <v>48.5</v>
      </c>
      <c r="J203" s="325">
        <f t="shared" si="7"/>
        <v>970</v>
      </c>
      <c r="K203" s="318">
        <f t="shared" si="8"/>
        <v>1164</v>
      </c>
      <c r="L203" s="322">
        <v>1164</v>
      </c>
      <c r="M203" s="371">
        <v>45358</v>
      </c>
      <c r="N203" s="322">
        <f>+Table7[[#This Row],[стойност с ДДС]]-Table7[[#This Row],[направено плащане]]</f>
        <v>0</v>
      </c>
      <c r="O203" s="327"/>
    </row>
    <row r="204" spans="1:15" ht="20.100000000000001" customHeight="1" x14ac:dyDescent="0.3">
      <c r="A204" s="151" t="s">
        <v>352</v>
      </c>
      <c r="B204" s="378" t="s">
        <v>377</v>
      </c>
      <c r="C204" s="371">
        <v>45341</v>
      </c>
      <c r="D204" s="322" t="s">
        <v>346</v>
      </c>
      <c r="E204" s="323" t="s">
        <v>131</v>
      </c>
      <c r="F204" s="410" t="s">
        <v>378</v>
      </c>
      <c r="G204" s="322" t="s">
        <v>133</v>
      </c>
      <c r="H204" s="324">
        <v>250</v>
      </c>
      <c r="I204" s="325">
        <v>49.89</v>
      </c>
      <c r="J204" s="325">
        <f t="shared" ref="J204:J219" si="9">I204*H204</f>
        <v>12472.5</v>
      </c>
      <c r="K204" s="318">
        <f t="shared" ref="K204:K219" si="10">J204*1.2</f>
        <v>14967</v>
      </c>
      <c r="L204" s="322">
        <v>14967</v>
      </c>
      <c r="M204" s="371">
        <v>45358</v>
      </c>
      <c r="N204" s="322">
        <f>+Table7[[#This Row],[стойност с ДДС]]-Table7[[#This Row],[направено плащане]]</f>
        <v>0</v>
      </c>
      <c r="O204" s="327"/>
    </row>
    <row r="205" spans="1:15" ht="20.100000000000001" customHeight="1" x14ac:dyDescent="0.3">
      <c r="A205" s="151" t="s">
        <v>159</v>
      </c>
      <c r="B205" s="378" t="s">
        <v>379</v>
      </c>
      <c r="C205" s="371">
        <v>45323</v>
      </c>
      <c r="D205" s="322" t="s">
        <v>365</v>
      </c>
      <c r="E205" s="323" t="s">
        <v>131</v>
      </c>
      <c r="F205" s="410" t="s">
        <v>380</v>
      </c>
      <c r="G205" s="322" t="s">
        <v>133</v>
      </c>
      <c r="H205" s="324">
        <v>50</v>
      </c>
      <c r="I205" s="325">
        <f>24.54201*1.95583</f>
        <v>47.9999994183</v>
      </c>
      <c r="J205" s="325">
        <f t="shared" si="9"/>
        <v>2399.9999709150002</v>
      </c>
      <c r="K205" s="318">
        <f>+J205</f>
        <v>2399.9999709150002</v>
      </c>
      <c r="L205" s="322"/>
      <c r="M205" s="371"/>
      <c r="N205" s="322">
        <f>+Table7[[#This Row],[стойност с ДДС]]-Table7[[#This Row],[направено плащане]]</f>
        <v>2399.9999709150002</v>
      </c>
      <c r="O205" s="327"/>
    </row>
    <row r="206" spans="1:15" ht="20.100000000000001" customHeight="1" x14ac:dyDescent="0.3">
      <c r="A206" s="151" t="s">
        <v>114</v>
      </c>
      <c r="B206" s="378" t="s">
        <v>381</v>
      </c>
      <c r="C206" s="371">
        <v>45344</v>
      </c>
      <c r="D206" s="322" t="s">
        <v>373</v>
      </c>
      <c r="E206" s="323" t="s">
        <v>131</v>
      </c>
      <c r="F206" s="410"/>
      <c r="G206" s="322" t="s">
        <v>133</v>
      </c>
      <c r="H206" s="324">
        <v>100</v>
      </c>
      <c r="I206" s="325">
        <v>48.5</v>
      </c>
      <c r="J206" s="325">
        <f t="shared" si="9"/>
        <v>4850</v>
      </c>
      <c r="K206" s="318">
        <f>+J206</f>
        <v>4850</v>
      </c>
      <c r="L206" s="322"/>
      <c r="M206" s="371"/>
      <c r="N206" s="322">
        <f>+Table7[[#This Row],[стойност с ДДС]]-Table7[[#This Row],[направено плащане]]</f>
        <v>4850</v>
      </c>
      <c r="O206" s="327"/>
    </row>
    <row r="207" spans="1:15" ht="20.100000000000001" customHeight="1" x14ac:dyDescent="0.3">
      <c r="A207" s="206" t="s">
        <v>37</v>
      </c>
      <c r="B207" s="378" t="s">
        <v>382</v>
      </c>
      <c r="C207" s="371">
        <v>45344</v>
      </c>
      <c r="D207" s="322" t="s">
        <v>373</v>
      </c>
      <c r="E207" s="323" t="s">
        <v>131</v>
      </c>
      <c r="F207" s="410" t="s">
        <v>383</v>
      </c>
      <c r="G207" s="322" t="s">
        <v>133</v>
      </c>
      <c r="H207" s="324">
        <v>37</v>
      </c>
      <c r="I207" s="325">
        <v>48.5</v>
      </c>
      <c r="J207" s="325">
        <f t="shared" si="9"/>
        <v>1794.5</v>
      </c>
      <c r="K207" s="318">
        <f t="shared" si="10"/>
        <v>2153.4</v>
      </c>
      <c r="L207" s="322"/>
      <c r="M207" s="371"/>
      <c r="N207" s="322">
        <f>+Table7[[#This Row],[стойност с ДДС]]-Table7[[#This Row],[направено плащане]]</f>
        <v>2153.4</v>
      </c>
      <c r="O207" s="327"/>
    </row>
    <row r="208" spans="1:15" ht="20.100000000000001" customHeight="1" x14ac:dyDescent="0.3">
      <c r="A208" s="151" t="s">
        <v>157</v>
      </c>
      <c r="B208" s="378" t="s">
        <v>384</v>
      </c>
      <c r="C208" s="371">
        <v>45348</v>
      </c>
      <c r="D208" s="322" t="s">
        <v>385</v>
      </c>
      <c r="E208" s="323" t="s">
        <v>131</v>
      </c>
      <c r="F208" s="410" t="s">
        <v>279</v>
      </c>
      <c r="G208" s="322" t="s">
        <v>133</v>
      </c>
      <c r="H208" s="324">
        <v>200</v>
      </c>
      <c r="I208" s="325">
        <v>46.75</v>
      </c>
      <c r="J208" s="325">
        <f t="shared" si="9"/>
        <v>9350</v>
      </c>
      <c r="K208" s="318">
        <f t="shared" si="10"/>
        <v>11220</v>
      </c>
      <c r="L208" s="322"/>
      <c r="M208" s="371"/>
      <c r="N208" s="322">
        <f>+Table7[[#This Row],[стойност с ДДС]]-Table7[[#This Row],[направено плащане]]</f>
        <v>11220</v>
      </c>
      <c r="O208" s="327"/>
    </row>
    <row r="209" spans="1:15" ht="20.100000000000001" customHeight="1" x14ac:dyDescent="0.3">
      <c r="A209" s="151" t="s">
        <v>157</v>
      </c>
      <c r="B209" s="378" t="s">
        <v>384</v>
      </c>
      <c r="C209" s="371">
        <v>45348</v>
      </c>
      <c r="D209" s="322" t="s">
        <v>385</v>
      </c>
      <c r="E209" s="323" t="s">
        <v>131</v>
      </c>
      <c r="F209" s="410" t="s">
        <v>279</v>
      </c>
      <c r="G209" s="322" t="s">
        <v>133</v>
      </c>
      <c r="H209" s="324">
        <v>80</v>
      </c>
      <c r="I209" s="325">
        <v>46</v>
      </c>
      <c r="J209" s="325">
        <f t="shared" si="9"/>
        <v>3680</v>
      </c>
      <c r="K209" s="318">
        <f t="shared" si="10"/>
        <v>4416</v>
      </c>
      <c r="L209" s="322"/>
      <c r="M209" s="371"/>
      <c r="N209" s="322">
        <f>+Table7[[#This Row],[стойност с ДДС]]-Table7[[#This Row],[направено плащане]]</f>
        <v>4416</v>
      </c>
      <c r="O209" s="327"/>
    </row>
    <row r="210" spans="1:15" ht="20.100000000000001" customHeight="1" x14ac:dyDescent="0.3">
      <c r="A210" s="151" t="s">
        <v>253</v>
      </c>
      <c r="B210" s="378" t="s">
        <v>386</v>
      </c>
      <c r="C210" s="371">
        <v>45343</v>
      </c>
      <c r="D210" s="322" t="s">
        <v>371</v>
      </c>
      <c r="E210" s="323" t="s">
        <v>131</v>
      </c>
      <c r="F210" s="410" t="s">
        <v>387</v>
      </c>
      <c r="G210" s="322" t="s">
        <v>133</v>
      </c>
      <c r="H210" s="324">
        <v>27</v>
      </c>
      <c r="I210" s="325">
        <v>48</v>
      </c>
      <c r="J210" s="325">
        <f t="shared" si="9"/>
        <v>1296</v>
      </c>
      <c r="K210" s="318">
        <f t="shared" si="10"/>
        <v>1555.2</v>
      </c>
      <c r="L210" s="322"/>
      <c r="M210" s="371"/>
      <c r="N210" s="322">
        <f>+Table7[[#This Row],[стойност с ДДС]]-Table7[[#This Row],[направено плащане]]</f>
        <v>1555.2</v>
      </c>
      <c r="O210" s="327"/>
    </row>
    <row r="211" spans="1:15" ht="20.100000000000001" customHeight="1" x14ac:dyDescent="0.3">
      <c r="A211" s="151" t="s">
        <v>253</v>
      </c>
      <c r="B211" s="378" t="s">
        <v>388</v>
      </c>
      <c r="C211" s="371">
        <v>45336</v>
      </c>
      <c r="D211" s="322" t="s">
        <v>322</v>
      </c>
      <c r="E211" s="323" t="s">
        <v>131</v>
      </c>
      <c r="F211" s="410" t="s">
        <v>389</v>
      </c>
      <c r="G211" s="322" t="s">
        <v>133</v>
      </c>
      <c r="H211" s="324">
        <v>40</v>
      </c>
      <c r="I211" s="325">
        <v>49.5</v>
      </c>
      <c r="J211" s="325">
        <f t="shared" si="9"/>
        <v>1980</v>
      </c>
      <c r="K211" s="318">
        <f t="shared" si="10"/>
        <v>2376</v>
      </c>
      <c r="L211" s="322"/>
      <c r="M211" s="371"/>
      <c r="N211" s="322">
        <f>+Table7[[#This Row],[стойност с ДДС]]-Table7[[#This Row],[направено плащане]]</f>
        <v>2376</v>
      </c>
      <c r="O211" s="327"/>
    </row>
    <row r="212" spans="1:15" ht="20.100000000000001" customHeight="1" x14ac:dyDescent="0.3">
      <c r="A212" s="151" t="s">
        <v>253</v>
      </c>
      <c r="B212" s="378" t="s">
        <v>390</v>
      </c>
      <c r="C212" s="371">
        <v>45338</v>
      </c>
      <c r="D212" s="322" t="s">
        <v>349</v>
      </c>
      <c r="E212" s="323" t="s">
        <v>131</v>
      </c>
      <c r="F212" s="410" t="s">
        <v>391</v>
      </c>
      <c r="G212" s="322" t="s">
        <v>133</v>
      </c>
      <c r="H212" s="324">
        <v>40</v>
      </c>
      <c r="I212" s="325">
        <v>49</v>
      </c>
      <c r="J212" s="325">
        <f t="shared" si="9"/>
        <v>1960</v>
      </c>
      <c r="K212" s="318">
        <f t="shared" si="10"/>
        <v>2352</v>
      </c>
      <c r="L212" s="322"/>
      <c r="M212" s="371"/>
      <c r="N212" s="322">
        <f>+Table7[[#This Row],[стойност с ДДС]]-Table7[[#This Row],[направено плащане]]</f>
        <v>2352</v>
      </c>
      <c r="O212" s="327"/>
    </row>
    <row r="213" spans="1:15" ht="20.100000000000001" customHeight="1" x14ac:dyDescent="0.3">
      <c r="A213" s="151" t="s">
        <v>105</v>
      </c>
      <c r="B213" s="378" t="s">
        <v>392</v>
      </c>
      <c r="C213" s="371">
        <v>45344</v>
      </c>
      <c r="D213" s="322" t="s">
        <v>373</v>
      </c>
      <c r="E213" s="323" t="s">
        <v>131</v>
      </c>
      <c r="F213" s="410" t="s">
        <v>393</v>
      </c>
      <c r="G213" s="322" t="s">
        <v>133</v>
      </c>
      <c r="H213" s="324">
        <v>30</v>
      </c>
      <c r="I213" s="325">
        <v>47.5</v>
      </c>
      <c r="J213" s="325">
        <f t="shared" si="9"/>
        <v>1425</v>
      </c>
      <c r="K213" s="318">
        <f t="shared" si="10"/>
        <v>1710</v>
      </c>
      <c r="L213" s="322"/>
      <c r="M213" s="371"/>
      <c r="N213" s="322">
        <f>+Table7[[#This Row],[стойност с ДДС]]-Table7[[#This Row],[направено плащане]]</f>
        <v>1710</v>
      </c>
      <c r="O213" s="327"/>
    </row>
    <row r="214" spans="1:15" ht="20.100000000000001" customHeight="1" x14ac:dyDescent="0.3">
      <c r="A214" s="151" t="s">
        <v>253</v>
      </c>
      <c r="B214" s="378" t="s">
        <v>394</v>
      </c>
      <c r="C214" s="371">
        <v>45356</v>
      </c>
      <c r="D214" s="322"/>
      <c r="E214" s="323" t="s">
        <v>131</v>
      </c>
      <c r="F214" s="409" t="s">
        <v>395</v>
      </c>
      <c r="G214" s="322"/>
      <c r="H214" s="324">
        <v>10</v>
      </c>
      <c r="I214" s="325">
        <v>46.2</v>
      </c>
      <c r="J214" s="325">
        <f>I214*H214</f>
        <v>462</v>
      </c>
      <c r="K214" s="318">
        <f>J214*1.2</f>
        <v>554.4</v>
      </c>
      <c r="L214" s="322">
        <v>554.4</v>
      </c>
      <c r="M214" s="371">
        <v>45366</v>
      </c>
      <c r="N214" s="322">
        <f>+Table7[[#This Row],[стойност с ДДС]]-Table7[[#This Row],[направено плащане]]</f>
        <v>0</v>
      </c>
      <c r="O214" s="327">
        <v>45366</v>
      </c>
    </row>
    <row r="215" spans="1:15" ht="20.100000000000001" customHeight="1" x14ac:dyDescent="0.3">
      <c r="A215" s="206" t="s">
        <v>37</v>
      </c>
      <c r="B215" s="378" t="s">
        <v>396</v>
      </c>
      <c r="C215" s="371">
        <v>45350</v>
      </c>
      <c r="D215" s="322" t="s">
        <v>397</v>
      </c>
      <c r="E215" s="323" t="s">
        <v>131</v>
      </c>
      <c r="F215" s="410" t="s">
        <v>398</v>
      </c>
      <c r="G215" s="322" t="s">
        <v>133</v>
      </c>
      <c r="H215" s="324">
        <v>11</v>
      </c>
      <c r="I215" s="325">
        <v>45.8</v>
      </c>
      <c r="J215" s="325">
        <f t="shared" si="9"/>
        <v>503.79999999999995</v>
      </c>
      <c r="K215" s="318">
        <f t="shared" si="10"/>
        <v>604.55999999999995</v>
      </c>
      <c r="L215" s="322">
        <v>604.55999999999995</v>
      </c>
      <c r="M215" s="371">
        <v>45363</v>
      </c>
      <c r="N215" s="322">
        <f>+Table7[[#This Row],[стойност с ДДС]]-Table7[[#This Row],[направено плащане]]</f>
        <v>0</v>
      </c>
      <c r="O215" s="327"/>
    </row>
    <row r="216" spans="1:15" ht="20.100000000000001" customHeight="1" x14ac:dyDescent="0.3">
      <c r="A216" s="206" t="s">
        <v>37</v>
      </c>
      <c r="B216" s="378" t="s">
        <v>396</v>
      </c>
      <c r="C216" s="371">
        <v>45350</v>
      </c>
      <c r="D216" s="322" t="s">
        <v>397</v>
      </c>
      <c r="E216" s="323" t="s">
        <v>131</v>
      </c>
      <c r="F216" s="410" t="s">
        <v>399</v>
      </c>
      <c r="G216" s="322" t="s">
        <v>133</v>
      </c>
      <c r="H216" s="324">
        <v>69</v>
      </c>
      <c r="I216" s="325">
        <v>45.8</v>
      </c>
      <c r="J216" s="325">
        <f t="shared" si="9"/>
        <v>3160.2</v>
      </c>
      <c r="K216" s="318">
        <f t="shared" si="10"/>
        <v>3792.24</v>
      </c>
      <c r="L216" s="322">
        <v>3792.24</v>
      </c>
      <c r="M216" s="371">
        <v>45363</v>
      </c>
      <c r="N216" s="322">
        <f>+Table7[[#This Row],[стойност с ДДС]]-Table7[[#This Row],[направено плащане]]</f>
        <v>0</v>
      </c>
      <c r="O216" s="327"/>
    </row>
    <row r="217" spans="1:15" ht="20.100000000000001" customHeight="1" x14ac:dyDescent="0.3">
      <c r="A217" s="151" t="s">
        <v>101</v>
      </c>
      <c r="B217" s="387" t="s">
        <v>400</v>
      </c>
      <c r="C217" s="371">
        <v>45349</v>
      </c>
      <c r="D217" s="322" t="s">
        <v>401</v>
      </c>
      <c r="E217" s="323" t="s">
        <v>131</v>
      </c>
      <c r="F217" s="410" t="s">
        <v>402</v>
      </c>
      <c r="G217" s="322" t="s">
        <v>133</v>
      </c>
      <c r="H217" s="324">
        <v>50</v>
      </c>
      <c r="I217" s="325">
        <v>44.6</v>
      </c>
      <c r="J217" s="325">
        <f t="shared" si="9"/>
        <v>2230</v>
      </c>
      <c r="K217" s="318">
        <f t="shared" si="10"/>
        <v>2676</v>
      </c>
      <c r="L217" s="322">
        <v>2676</v>
      </c>
      <c r="M217" s="371">
        <v>45363</v>
      </c>
      <c r="N217" s="322">
        <f>+Table7[[#This Row],[стойност с ДДС]]-Table7[[#This Row],[направено плащане]]</f>
        <v>0</v>
      </c>
      <c r="O217" s="327"/>
    </row>
    <row r="218" spans="1:15" ht="20.100000000000001" customHeight="1" x14ac:dyDescent="0.3">
      <c r="A218" s="151" t="s">
        <v>101</v>
      </c>
      <c r="B218" s="387" t="s">
        <v>400</v>
      </c>
      <c r="C218" s="371">
        <v>45349</v>
      </c>
      <c r="D218" s="322" t="s">
        <v>401</v>
      </c>
      <c r="E218" s="323" t="s">
        <v>131</v>
      </c>
      <c r="F218" s="410" t="s">
        <v>403</v>
      </c>
      <c r="G218" s="322" t="s">
        <v>133</v>
      </c>
      <c r="H218" s="324">
        <v>30</v>
      </c>
      <c r="I218" s="325">
        <v>43.99</v>
      </c>
      <c r="J218" s="325">
        <f t="shared" si="9"/>
        <v>1319.7</v>
      </c>
      <c r="K218" s="318">
        <f t="shared" si="10"/>
        <v>1583.64</v>
      </c>
      <c r="L218" s="322">
        <v>1583.64</v>
      </c>
      <c r="M218" s="371">
        <v>45363</v>
      </c>
      <c r="N218" s="322">
        <f>+Table7[[#This Row],[стойност с ДДС]]-Table7[[#This Row],[направено плащане]]</f>
        <v>0</v>
      </c>
      <c r="O218" s="327"/>
    </row>
    <row r="219" spans="1:15" ht="20.100000000000001" customHeight="1" x14ac:dyDescent="0.3">
      <c r="A219" s="151" t="s">
        <v>101</v>
      </c>
      <c r="B219" s="387" t="s">
        <v>400</v>
      </c>
      <c r="C219" s="371">
        <v>45349</v>
      </c>
      <c r="D219" s="322" t="s">
        <v>401</v>
      </c>
      <c r="E219" s="323" t="s">
        <v>131</v>
      </c>
      <c r="F219" s="410" t="s">
        <v>404</v>
      </c>
      <c r="G219" s="322" t="s">
        <v>133</v>
      </c>
      <c r="H219" s="324">
        <v>200</v>
      </c>
      <c r="I219" s="325">
        <v>46.6</v>
      </c>
      <c r="J219" s="325">
        <f t="shared" si="9"/>
        <v>9320</v>
      </c>
      <c r="K219" s="318">
        <f t="shared" si="10"/>
        <v>11184</v>
      </c>
      <c r="L219" s="322">
        <v>11184</v>
      </c>
      <c r="M219" s="371">
        <v>45363</v>
      </c>
      <c r="N219" s="322">
        <f>+Table7[[#This Row],[стойност с ДДС]]-Table7[[#This Row],[направено плащане]]</f>
        <v>0</v>
      </c>
      <c r="O219" s="327"/>
    </row>
    <row r="220" spans="1:15" ht="20.100000000000001" customHeight="1" x14ac:dyDescent="0.3">
      <c r="A220" s="151" t="s">
        <v>99</v>
      </c>
      <c r="B220" s="378" t="s">
        <v>405</v>
      </c>
      <c r="C220" s="371">
        <v>45327</v>
      </c>
      <c r="D220" s="322"/>
      <c r="E220" s="331" t="s">
        <v>54</v>
      </c>
      <c r="F220" s="409"/>
      <c r="G220" s="318" t="s">
        <v>406</v>
      </c>
      <c r="H220" s="333">
        <v>68</v>
      </c>
      <c r="I220" s="334">
        <v>1345.06</v>
      </c>
      <c r="J220" s="335">
        <f>H220*I220</f>
        <v>91464.08</v>
      </c>
      <c r="K220" s="318">
        <f>J220*1.2</f>
        <v>109756.89599999999</v>
      </c>
      <c r="L220" s="322">
        <v>109756.9</v>
      </c>
      <c r="M220" s="371">
        <v>45363</v>
      </c>
      <c r="N220" s="322">
        <f>+Table7[[#This Row],[стойност с ДДС]]-Table7[[#This Row],[направено плащане]]</f>
        <v>-4.0000000008149073E-3</v>
      </c>
      <c r="O220" s="327"/>
    </row>
    <row r="221" spans="1:15" ht="20.100000000000001" customHeight="1" x14ac:dyDescent="0.3">
      <c r="A221" s="151" t="s">
        <v>341</v>
      </c>
      <c r="B221" s="378" t="s">
        <v>407</v>
      </c>
      <c r="C221" s="371">
        <v>45351</v>
      </c>
      <c r="D221" s="322"/>
      <c r="E221" s="332" t="s">
        <v>343</v>
      </c>
      <c r="F221" s="409" t="s">
        <v>408</v>
      </c>
      <c r="G221" s="318"/>
      <c r="H221" s="333"/>
      <c r="I221" s="334">
        <v>1077.92</v>
      </c>
      <c r="J221" s="335">
        <f>+Table7[[#This Row],[единична цена]]</f>
        <v>1077.92</v>
      </c>
      <c r="K221" s="318">
        <f>J221*1.2</f>
        <v>1293.5040000000001</v>
      </c>
      <c r="L221" s="322">
        <v>1293.5</v>
      </c>
      <c r="M221" s="371">
        <v>45361</v>
      </c>
      <c r="N221" s="322">
        <f>+Table7[[#This Row],[стойност с ДДС]]-Table7[[#This Row],[направено плащане]]</f>
        <v>4.0000000001327862E-3</v>
      </c>
      <c r="O221" s="327">
        <v>45362</v>
      </c>
    </row>
    <row r="222" spans="1:15" ht="20.100000000000001" customHeight="1" x14ac:dyDescent="0.3">
      <c r="A222" s="220" t="s">
        <v>341</v>
      </c>
      <c r="B222" s="378">
        <v>1000002012</v>
      </c>
      <c r="C222" s="371">
        <v>45352</v>
      </c>
      <c r="D222" s="322"/>
      <c r="E222" s="332" t="s">
        <v>343</v>
      </c>
      <c r="F222" s="409" t="s">
        <v>409</v>
      </c>
      <c r="G222" s="318" t="s">
        <v>406</v>
      </c>
      <c r="H222" s="333">
        <v>1</v>
      </c>
      <c r="I222" s="334">
        <v>200</v>
      </c>
      <c r="J222" s="335">
        <f>H222*I222</f>
        <v>200</v>
      </c>
      <c r="K222" s="318">
        <f>J222*1.2</f>
        <v>240</v>
      </c>
      <c r="L222" s="322">
        <v>240</v>
      </c>
      <c r="M222" s="371">
        <v>45361</v>
      </c>
      <c r="N222" s="322">
        <f>+Table7[[#This Row],[стойност с ДДС]]-Table7[[#This Row],[направено плащане]]</f>
        <v>0</v>
      </c>
      <c r="O222" s="327">
        <v>45361</v>
      </c>
    </row>
    <row r="223" spans="1:15" ht="20.100000000000001" customHeight="1" x14ac:dyDescent="0.3">
      <c r="A223" s="220" t="s">
        <v>341</v>
      </c>
      <c r="B223" s="379" t="s">
        <v>410</v>
      </c>
      <c r="C223" s="371">
        <v>45351</v>
      </c>
      <c r="D223" s="322"/>
      <c r="E223" s="332" t="s">
        <v>343</v>
      </c>
      <c r="F223" s="409"/>
      <c r="G223" s="318" t="s">
        <v>406</v>
      </c>
      <c r="H223" s="336">
        <v>10799</v>
      </c>
      <c r="I223" s="335">
        <v>0.05</v>
      </c>
      <c r="J223" s="335">
        <f t="shared" ref="J223:J226" si="11">I223*H223</f>
        <v>539.95000000000005</v>
      </c>
      <c r="K223" s="318">
        <f>+J223*1.2</f>
        <v>647.94000000000005</v>
      </c>
      <c r="L223" s="322">
        <v>647.94000000000005</v>
      </c>
      <c r="M223" s="371">
        <v>45361</v>
      </c>
      <c r="N223" s="322">
        <f>+Table7[[#This Row],[стойност с ДДС]]-Table7[[#This Row],[направено плащане]]</f>
        <v>0</v>
      </c>
      <c r="O223" s="327">
        <v>45360</v>
      </c>
    </row>
    <row r="224" spans="1:15" ht="20.100000000000001" customHeight="1" x14ac:dyDescent="0.3">
      <c r="A224" s="220" t="s">
        <v>341</v>
      </c>
      <c r="B224" s="379" t="s">
        <v>410</v>
      </c>
      <c r="C224" s="371">
        <v>45351</v>
      </c>
      <c r="D224" s="322"/>
      <c r="E224" s="332" t="s">
        <v>343</v>
      </c>
      <c r="F224" s="409"/>
      <c r="G224" s="318" t="s">
        <v>406</v>
      </c>
      <c r="H224" s="336">
        <v>32300</v>
      </c>
      <c r="I224" s="335">
        <v>0.04</v>
      </c>
      <c r="J224" s="335">
        <f t="shared" si="11"/>
        <v>1292</v>
      </c>
      <c r="K224" s="318">
        <f>+J224*1.2</f>
        <v>1550.3999999999999</v>
      </c>
      <c r="L224" s="322">
        <v>1550.4</v>
      </c>
      <c r="M224" s="371">
        <v>45361</v>
      </c>
      <c r="N224" s="322">
        <f>+Table7[[#This Row],[стойност с ДДС]]-Table7[[#This Row],[направено плащане]]</f>
        <v>0</v>
      </c>
      <c r="O224" s="327">
        <v>45359</v>
      </c>
    </row>
    <row r="225" spans="1:15" ht="20.100000000000001" customHeight="1" x14ac:dyDescent="0.3">
      <c r="A225" s="220" t="s">
        <v>341</v>
      </c>
      <c r="B225" s="379" t="s">
        <v>410</v>
      </c>
      <c r="C225" s="371">
        <v>45351</v>
      </c>
      <c r="D225" s="322"/>
      <c r="E225" s="332" t="s">
        <v>343</v>
      </c>
      <c r="F225" s="409"/>
      <c r="G225" s="318" t="s">
        <v>406</v>
      </c>
      <c r="H225" s="336">
        <v>9686</v>
      </c>
      <c r="I225" s="335">
        <v>0.02</v>
      </c>
      <c r="J225" s="335">
        <f t="shared" si="11"/>
        <v>193.72</v>
      </c>
      <c r="K225" s="318">
        <f>J225*1.2</f>
        <v>232.464</v>
      </c>
      <c r="L225" s="322">
        <v>232.46</v>
      </c>
      <c r="M225" s="371">
        <v>45361</v>
      </c>
      <c r="N225" s="322">
        <f>+Table7[[#This Row],[стойност с ДДС]]-Table7[[#This Row],[направено плащане]]</f>
        <v>3.9999999999906777E-3</v>
      </c>
      <c r="O225" s="327">
        <v>45362</v>
      </c>
    </row>
    <row r="226" spans="1:15" ht="20.100000000000001" customHeight="1" x14ac:dyDescent="0.3">
      <c r="A226" s="220" t="s">
        <v>341</v>
      </c>
      <c r="B226" s="379" t="s">
        <v>411</v>
      </c>
      <c r="C226" s="371">
        <v>45352</v>
      </c>
      <c r="D226" s="322"/>
      <c r="E226" s="332" t="s">
        <v>343</v>
      </c>
      <c r="F226" s="409" t="s">
        <v>412</v>
      </c>
      <c r="G226" s="318">
        <v>2900</v>
      </c>
      <c r="H226" s="336">
        <v>1</v>
      </c>
      <c r="I226" s="335">
        <v>2900</v>
      </c>
      <c r="J226" s="335">
        <f t="shared" si="11"/>
        <v>2900</v>
      </c>
      <c r="K226" s="318">
        <f>J226*1.2</f>
        <v>3480</v>
      </c>
      <c r="L226" s="322">
        <v>3480</v>
      </c>
      <c r="M226" s="371">
        <v>45361</v>
      </c>
      <c r="N226" s="322">
        <f>+Table7[[#This Row],[стойност с ДДС]]-Table7[[#This Row],[направено плащане]]</f>
        <v>0</v>
      </c>
      <c r="O226" s="327">
        <v>45362</v>
      </c>
    </row>
    <row r="227" spans="1:15" ht="20.100000000000001" customHeight="1" x14ac:dyDescent="0.3">
      <c r="A227" s="210" t="s">
        <v>413</v>
      </c>
      <c r="B227" s="380" t="s">
        <v>414</v>
      </c>
      <c r="C227" s="372"/>
      <c r="D227" s="322"/>
      <c r="E227" s="332" t="s">
        <v>415</v>
      </c>
      <c r="F227" s="410" t="s">
        <v>344</v>
      </c>
      <c r="G227" s="318" t="s">
        <v>406</v>
      </c>
      <c r="H227" s="338">
        <v>1</v>
      </c>
      <c r="I227" s="335">
        <f>1701.28*1.95583</f>
        <v>3327.4144624</v>
      </c>
      <c r="J227" s="335">
        <f>I227</f>
        <v>3327.4144624</v>
      </c>
      <c r="K227" s="318">
        <f>J227</f>
        <v>3327.4144624</v>
      </c>
      <c r="L227" s="322">
        <v>3327.41</v>
      </c>
      <c r="M227" s="371">
        <v>45363</v>
      </c>
      <c r="N227" s="322">
        <f>+Table7[[#This Row],[стойност с ДДС]]-Table7[[#This Row],[направено плащане]]</f>
        <v>4.4624000001931563E-3</v>
      </c>
      <c r="O227" s="327"/>
    </row>
    <row r="228" spans="1:15" ht="20.100000000000001" customHeight="1" x14ac:dyDescent="0.25">
      <c r="A228" s="151" t="s">
        <v>99</v>
      </c>
      <c r="B228" s="378" t="s">
        <v>416</v>
      </c>
      <c r="C228" s="371"/>
      <c r="D228" s="322"/>
      <c r="E228" s="321" t="s">
        <v>417</v>
      </c>
      <c r="F228" s="409"/>
      <c r="G228" s="318" t="s">
        <v>133</v>
      </c>
      <c r="H228" s="324">
        <v>8172</v>
      </c>
      <c r="I228" s="334">
        <f>J228/H228</f>
        <v>24.575784385707294</v>
      </c>
      <c r="J228" s="335">
        <v>200833.31</v>
      </c>
      <c r="K228" s="318">
        <f>+J228*1.2</f>
        <v>240999.97199999998</v>
      </c>
      <c r="L228" s="322">
        <v>240999.97</v>
      </c>
      <c r="M228" s="371">
        <v>45363</v>
      </c>
      <c r="N228" s="322">
        <f>+Table7[[#This Row],[стойност с ДДС]]-Table7[[#This Row],[направено плащане]]</f>
        <v>1.9999999785795808E-3</v>
      </c>
      <c r="O228" s="327"/>
    </row>
    <row r="229" spans="1:15" ht="20.100000000000001" customHeight="1" x14ac:dyDescent="0.25">
      <c r="A229" s="151" t="s">
        <v>99</v>
      </c>
      <c r="B229" s="378" t="s">
        <v>416</v>
      </c>
      <c r="C229" s="371"/>
      <c r="D229" s="322"/>
      <c r="E229" s="321" t="s">
        <v>418</v>
      </c>
      <c r="F229" s="409"/>
      <c r="G229" s="318" t="s">
        <v>133</v>
      </c>
      <c r="H229" s="324">
        <v>28</v>
      </c>
      <c r="I229" s="334">
        <f>J229/H229</f>
        <v>44.266785714285717</v>
      </c>
      <c r="J229" s="335">
        <v>1239.47</v>
      </c>
      <c r="K229" s="318">
        <f>+J229*1.2</f>
        <v>1487.364</v>
      </c>
      <c r="L229" s="322">
        <v>1487.36</v>
      </c>
      <c r="M229" s="371">
        <v>45363</v>
      </c>
      <c r="N229" s="322">
        <f>+Table7[[#This Row],[стойност с ДДС]]-Table7[[#This Row],[направено плащане]]</f>
        <v>4.0000000001327862E-3</v>
      </c>
      <c r="O229" s="327"/>
    </row>
    <row r="230" spans="1:15" ht="20.100000000000001" customHeight="1" x14ac:dyDescent="0.25">
      <c r="A230" s="151" t="s">
        <v>99</v>
      </c>
      <c r="B230" s="378" t="s">
        <v>416</v>
      </c>
      <c r="C230" s="371"/>
      <c r="D230" s="322"/>
      <c r="E230" s="321" t="s">
        <v>419</v>
      </c>
      <c r="F230" s="409"/>
      <c r="G230" s="318" t="s">
        <v>133</v>
      </c>
      <c r="H230" s="324">
        <v>2564.6799999999998</v>
      </c>
      <c r="I230" s="334">
        <f>J230/H230</f>
        <v>47.251894973252028</v>
      </c>
      <c r="J230" s="335">
        <v>121185.99</v>
      </c>
      <c r="K230" s="318">
        <f>+J230*1.2</f>
        <v>145423.18799999999</v>
      </c>
      <c r="L230" s="322">
        <v>145423.19</v>
      </c>
      <c r="M230" s="371">
        <v>45363</v>
      </c>
      <c r="N230" s="322">
        <f>+Table7[[#This Row],[стойност с ДДС]]-Table7[[#This Row],[направено плащане]]</f>
        <v>-2.0000000076834112E-3</v>
      </c>
      <c r="O230" s="327"/>
    </row>
    <row r="231" spans="1:15" ht="20.100000000000001" customHeight="1" x14ac:dyDescent="0.3">
      <c r="A231" s="151" t="s">
        <v>420</v>
      </c>
      <c r="B231" s="378" t="s">
        <v>421</v>
      </c>
      <c r="C231" s="371">
        <v>45342</v>
      </c>
      <c r="D231" s="322"/>
      <c r="E231" s="332" t="s">
        <v>422</v>
      </c>
      <c r="F231" s="409"/>
      <c r="G231" s="322" t="s">
        <v>406</v>
      </c>
      <c r="H231" s="324">
        <v>1</v>
      </c>
      <c r="I231" s="325">
        <v>526.84</v>
      </c>
      <c r="J231" s="335">
        <f>H231*I231</f>
        <v>526.84</v>
      </c>
      <c r="K231" s="318">
        <f>+J231</f>
        <v>526.84</v>
      </c>
      <c r="L231" s="322">
        <v>526.84</v>
      </c>
      <c r="M231" s="371">
        <v>45363</v>
      </c>
      <c r="N231" s="322">
        <f>+Table7[[#This Row],[стойност с ДДС]]-Table7[[#This Row],[направено плащане]]</f>
        <v>0</v>
      </c>
      <c r="O231" s="327"/>
    </row>
    <row r="232" spans="1:15" ht="20.100000000000001" customHeight="1" x14ac:dyDescent="0.3">
      <c r="A232" s="151" t="s">
        <v>423</v>
      </c>
      <c r="B232" s="378">
        <v>1000012071</v>
      </c>
      <c r="C232" s="371">
        <v>45317</v>
      </c>
      <c r="D232" s="322"/>
      <c r="E232" s="332" t="s">
        <v>422</v>
      </c>
      <c r="F232" s="409"/>
      <c r="G232" s="322" t="s">
        <v>406</v>
      </c>
      <c r="H232" s="324"/>
      <c r="I232" s="325"/>
      <c r="J232" s="325">
        <f>I232*H232</f>
        <v>0</v>
      </c>
      <c r="K232" s="318">
        <v>30</v>
      </c>
      <c r="L232" s="322">
        <v>30</v>
      </c>
      <c r="M232" s="371">
        <v>45363</v>
      </c>
      <c r="N232" s="322">
        <f>+Table7[[#This Row],[стойност с ДДС]]-Table7[[#This Row],[направено плащане]]</f>
        <v>0</v>
      </c>
      <c r="O232" s="327"/>
    </row>
    <row r="233" spans="1:15" ht="20.100000000000001" customHeight="1" x14ac:dyDescent="0.3">
      <c r="A233" s="151" t="s">
        <v>423</v>
      </c>
      <c r="B233" s="378" t="s">
        <v>424</v>
      </c>
      <c r="C233" s="371">
        <v>45317</v>
      </c>
      <c r="D233" s="337"/>
      <c r="E233" s="332" t="s">
        <v>422</v>
      </c>
      <c r="F233" s="409"/>
      <c r="G233" s="322" t="s">
        <v>406</v>
      </c>
      <c r="H233" s="324"/>
      <c r="I233" s="325"/>
      <c r="J233" s="325">
        <f>I233*H233</f>
        <v>0</v>
      </c>
      <c r="K233" s="318">
        <v>450.61</v>
      </c>
      <c r="L233" s="322">
        <v>450.61</v>
      </c>
      <c r="M233" s="371">
        <v>45363</v>
      </c>
      <c r="N233" s="322">
        <f>+Table7[[#This Row],[стойност с ДДС]]-Table7[[#This Row],[направено плащане]]</f>
        <v>0</v>
      </c>
      <c r="O233" s="327"/>
    </row>
    <row r="234" spans="1:15" ht="20.100000000000001" customHeight="1" x14ac:dyDescent="0.3">
      <c r="A234" s="151" t="s">
        <v>268</v>
      </c>
      <c r="B234" s="378" t="s">
        <v>425</v>
      </c>
      <c r="C234" s="371">
        <v>45352</v>
      </c>
      <c r="D234" s="337"/>
      <c r="E234" s="331" t="s">
        <v>131</v>
      </c>
      <c r="F234" s="409"/>
      <c r="G234" s="322"/>
      <c r="H234" s="324">
        <v>200</v>
      </c>
      <c r="I234" s="325">
        <v>46</v>
      </c>
      <c r="J234" s="325">
        <f>I234*H234</f>
        <v>9200</v>
      </c>
      <c r="K234" s="318">
        <f>J234*1.2</f>
        <v>11040</v>
      </c>
      <c r="L234" s="322">
        <v>11040</v>
      </c>
      <c r="M234" s="371">
        <v>45361</v>
      </c>
      <c r="N234" s="322">
        <f>+Table7[[#This Row],[стойност с ДДС]]-Table7[[#This Row],[направено плащане]]</f>
        <v>0</v>
      </c>
      <c r="O234" s="327">
        <v>45361</v>
      </c>
    </row>
    <row r="235" spans="1:15" ht="20.100000000000001" customHeight="1" x14ac:dyDescent="0.3">
      <c r="A235" s="151" t="s">
        <v>352</v>
      </c>
      <c r="B235" s="378" t="s">
        <v>426</v>
      </c>
      <c r="C235" s="371">
        <v>45350</v>
      </c>
      <c r="D235" s="337"/>
      <c r="E235" s="323" t="s">
        <v>131</v>
      </c>
      <c r="F235" s="409" t="s">
        <v>427</v>
      </c>
      <c r="G235" s="318" t="s">
        <v>133</v>
      </c>
      <c r="H235" s="324">
        <v>150</v>
      </c>
      <c r="I235" s="325">
        <v>45.5</v>
      </c>
      <c r="J235" s="325">
        <f>I235*H235</f>
        <v>6825</v>
      </c>
      <c r="K235" s="318">
        <f>J235*1.2</f>
        <v>8190</v>
      </c>
      <c r="L235" s="322">
        <v>8190</v>
      </c>
      <c r="M235" s="371">
        <v>45362</v>
      </c>
      <c r="N235" s="322">
        <f>+Table7[[#This Row],[стойност с ДДС]]-Table7[[#This Row],[направено плащане]]</f>
        <v>0</v>
      </c>
      <c r="O235" s="327"/>
    </row>
    <row r="236" spans="1:15" ht="20.100000000000001" customHeight="1" x14ac:dyDescent="0.3">
      <c r="A236" s="151" t="s">
        <v>352</v>
      </c>
      <c r="B236" s="378" t="s">
        <v>428</v>
      </c>
      <c r="C236" s="371">
        <v>45350</v>
      </c>
      <c r="D236" s="337"/>
      <c r="E236" s="323" t="s">
        <v>131</v>
      </c>
      <c r="F236" s="409" t="s">
        <v>429</v>
      </c>
      <c r="G236" s="318" t="s">
        <v>133</v>
      </c>
      <c r="H236" s="324">
        <v>105</v>
      </c>
      <c r="I236" s="325">
        <v>46.2</v>
      </c>
      <c r="J236" s="325">
        <f>I236*H236</f>
        <v>4851</v>
      </c>
      <c r="K236" s="318">
        <f>J236*1.2</f>
        <v>5821.2</v>
      </c>
      <c r="L236" s="322">
        <v>5821.2</v>
      </c>
      <c r="M236" s="371">
        <v>45362</v>
      </c>
      <c r="N236" s="322">
        <f>+Table7[[#This Row],[стойност с ДДС]]-Table7[[#This Row],[направено плащане]]</f>
        <v>0</v>
      </c>
      <c r="O236" s="327"/>
    </row>
    <row r="237" spans="1:15" ht="20.100000000000001" customHeight="1" x14ac:dyDescent="0.3">
      <c r="A237" s="151" t="s">
        <v>118</v>
      </c>
      <c r="B237" s="378" t="s">
        <v>430</v>
      </c>
      <c r="C237" s="371">
        <v>45349</v>
      </c>
      <c r="D237" s="337"/>
      <c r="E237" s="323" t="s">
        <v>131</v>
      </c>
      <c r="F237" s="409" t="s">
        <v>431</v>
      </c>
      <c r="G237" s="318" t="s">
        <v>133</v>
      </c>
      <c r="H237" s="324">
        <v>120</v>
      </c>
      <c r="I237" s="325">
        <v>47</v>
      </c>
      <c r="J237" s="325">
        <v>5640</v>
      </c>
      <c r="K237" s="318">
        <v>6768</v>
      </c>
      <c r="L237" s="322">
        <v>6768</v>
      </c>
      <c r="M237" s="371">
        <v>45362</v>
      </c>
      <c r="N237" s="322">
        <f>+Table7[[#This Row],[стойност с ДДС]]-Table7[[#This Row],[направено плащане]]</f>
        <v>0</v>
      </c>
      <c r="O237" s="327"/>
    </row>
    <row r="238" spans="1:15" ht="20.100000000000001" customHeight="1" x14ac:dyDescent="0.3">
      <c r="A238" s="151" t="s">
        <v>118</v>
      </c>
      <c r="B238" s="378" t="s">
        <v>430</v>
      </c>
      <c r="C238" s="371">
        <v>45349</v>
      </c>
      <c r="D238" s="337"/>
      <c r="E238" s="323" t="s">
        <v>131</v>
      </c>
      <c r="F238" s="409" t="s">
        <v>432</v>
      </c>
      <c r="G238" s="318" t="s">
        <v>133</v>
      </c>
      <c r="H238" s="324">
        <v>91</v>
      </c>
      <c r="I238" s="325">
        <v>47.5</v>
      </c>
      <c r="J238" s="325">
        <f t="shared" ref="J238:J251" si="12">I238*H238</f>
        <v>4322.5</v>
      </c>
      <c r="K238" s="318">
        <f t="shared" ref="K238:K244" si="13">J238*1.2</f>
        <v>5187</v>
      </c>
      <c r="L238" s="322">
        <v>5187</v>
      </c>
      <c r="M238" s="371">
        <v>45362</v>
      </c>
      <c r="N238" s="322">
        <f>+Table7[[#This Row],[стойност с ДДС]]-Table7[[#This Row],[направено плащане]]</f>
        <v>0</v>
      </c>
      <c r="O238" s="327"/>
    </row>
    <row r="239" spans="1:15" ht="20.100000000000001" customHeight="1" x14ac:dyDescent="0.3">
      <c r="A239" s="151" t="s">
        <v>118</v>
      </c>
      <c r="B239" s="378" t="s">
        <v>433</v>
      </c>
      <c r="C239" s="371">
        <v>45352</v>
      </c>
      <c r="D239" s="337"/>
      <c r="E239" s="323" t="s">
        <v>131</v>
      </c>
      <c r="F239" s="409" t="s">
        <v>434</v>
      </c>
      <c r="G239" s="318"/>
      <c r="H239" s="324">
        <v>300</v>
      </c>
      <c r="I239" s="325">
        <v>43</v>
      </c>
      <c r="J239" s="325">
        <f t="shared" ref="J239:J244" si="14">I239*H239</f>
        <v>12900</v>
      </c>
      <c r="K239" s="318">
        <f t="shared" si="13"/>
        <v>15480</v>
      </c>
      <c r="L239" s="322">
        <v>15480</v>
      </c>
      <c r="M239" s="371">
        <v>45361</v>
      </c>
      <c r="N239" s="322">
        <f>+Table7[[#This Row],[стойност с ДДС]]-Table7[[#This Row],[направено плащане]]</f>
        <v>0</v>
      </c>
      <c r="O239" s="327"/>
    </row>
    <row r="240" spans="1:15" ht="20.100000000000001" customHeight="1" x14ac:dyDescent="0.3">
      <c r="A240" s="151" t="s">
        <v>118</v>
      </c>
      <c r="B240" s="378" t="s">
        <v>435</v>
      </c>
      <c r="C240" s="371">
        <v>45353</v>
      </c>
      <c r="D240" s="337"/>
      <c r="E240" s="323" t="s">
        <v>131</v>
      </c>
      <c r="F240" s="409" t="s">
        <v>436</v>
      </c>
      <c r="G240" s="318"/>
      <c r="H240" s="324">
        <v>100</v>
      </c>
      <c r="I240" s="325">
        <v>43</v>
      </c>
      <c r="J240" s="325">
        <f t="shared" si="14"/>
        <v>4300</v>
      </c>
      <c r="K240" s="318">
        <f t="shared" si="13"/>
        <v>5160</v>
      </c>
      <c r="L240" s="322">
        <v>5160</v>
      </c>
      <c r="M240" s="371">
        <v>45362</v>
      </c>
      <c r="N240" s="322">
        <f>+Table7[[#This Row],[стойност с ДДС]]-Table7[[#This Row],[направено плащане]]</f>
        <v>0</v>
      </c>
      <c r="O240" s="327">
        <v>45362</v>
      </c>
    </row>
    <row r="241" spans="1:15" ht="20.100000000000001" customHeight="1" x14ac:dyDescent="0.3">
      <c r="A241" s="151" t="s">
        <v>118</v>
      </c>
      <c r="B241" s="378" t="s">
        <v>435</v>
      </c>
      <c r="C241" s="371">
        <v>45353</v>
      </c>
      <c r="D241" s="337"/>
      <c r="E241" s="323" t="s">
        <v>131</v>
      </c>
      <c r="F241" s="409" t="s">
        <v>437</v>
      </c>
      <c r="G241" s="318"/>
      <c r="H241" s="324">
        <v>50</v>
      </c>
      <c r="I241" s="325">
        <v>46</v>
      </c>
      <c r="J241" s="325">
        <f t="shared" si="14"/>
        <v>2300</v>
      </c>
      <c r="K241" s="318">
        <f t="shared" si="13"/>
        <v>2760</v>
      </c>
      <c r="L241" s="322">
        <v>2760</v>
      </c>
      <c r="M241" s="371">
        <v>45362</v>
      </c>
      <c r="N241" s="322">
        <f>+Table7[[#This Row],[стойност с ДДС]]-Table7[[#This Row],[направено плащане]]</f>
        <v>0</v>
      </c>
      <c r="O241" s="327">
        <v>45362</v>
      </c>
    </row>
    <row r="242" spans="1:15" ht="20.100000000000001" customHeight="1" x14ac:dyDescent="0.3">
      <c r="A242" s="151" t="s">
        <v>118</v>
      </c>
      <c r="B242" s="378" t="s">
        <v>438</v>
      </c>
      <c r="C242" s="371">
        <v>45356</v>
      </c>
      <c r="D242" s="337"/>
      <c r="E242" s="323" t="s">
        <v>131</v>
      </c>
      <c r="F242" s="409" t="s">
        <v>439</v>
      </c>
      <c r="G242" s="318"/>
      <c r="H242" s="324">
        <v>50</v>
      </c>
      <c r="I242" s="325">
        <v>46.5</v>
      </c>
      <c r="J242" s="325">
        <f t="shared" si="14"/>
        <v>2325</v>
      </c>
      <c r="K242" s="318">
        <f t="shared" si="13"/>
        <v>2790</v>
      </c>
      <c r="L242" s="322">
        <v>2790</v>
      </c>
      <c r="M242" s="371">
        <v>45363</v>
      </c>
      <c r="N242" s="322">
        <f>+Table7[[#This Row],[стойност с ДДС]]-Table7[[#This Row],[направено плащане]]</f>
        <v>0</v>
      </c>
      <c r="O242" s="327">
        <v>45363</v>
      </c>
    </row>
    <row r="243" spans="1:15" ht="20.100000000000001" customHeight="1" x14ac:dyDescent="0.3">
      <c r="A243" s="151" t="s">
        <v>118</v>
      </c>
      <c r="B243" s="378" t="s">
        <v>438</v>
      </c>
      <c r="C243" s="371">
        <v>45356</v>
      </c>
      <c r="D243" s="337"/>
      <c r="E243" s="323" t="s">
        <v>131</v>
      </c>
      <c r="F243" s="409" t="s">
        <v>440</v>
      </c>
      <c r="G243" s="318"/>
      <c r="H243" s="324">
        <v>50</v>
      </c>
      <c r="I243" s="325">
        <v>46.4</v>
      </c>
      <c r="J243" s="325">
        <f t="shared" si="14"/>
        <v>2320</v>
      </c>
      <c r="K243" s="318">
        <f t="shared" si="13"/>
        <v>2784</v>
      </c>
      <c r="L243" s="322">
        <v>2784</v>
      </c>
      <c r="M243" s="371">
        <v>45363</v>
      </c>
      <c r="N243" s="322">
        <f>+Table7[[#This Row],[стойност с ДДС]]-Table7[[#This Row],[направено плащане]]</f>
        <v>0</v>
      </c>
      <c r="O243" s="327">
        <v>45363</v>
      </c>
    </row>
    <row r="244" spans="1:15" ht="20.100000000000001" customHeight="1" x14ac:dyDescent="0.3">
      <c r="A244" s="151" t="s">
        <v>118</v>
      </c>
      <c r="B244" s="378" t="s">
        <v>441</v>
      </c>
      <c r="C244" s="371">
        <v>45357</v>
      </c>
      <c r="D244" s="337"/>
      <c r="E244" s="323" t="s">
        <v>131</v>
      </c>
      <c r="F244" s="409" t="s">
        <v>442</v>
      </c>
      <c r="G244" s="318"/>
      <c r="H244" s="324">
        <v>100</v>
      </c>
      <c r="I244" s="325">
        <v>46.5</v>
      </c>
      <c r="J244" s="325">
        <f t="shared" si="14"/>
        <v>4650</v>
      </c>
      <c r="K244" s="318">
        <f t="shared" si="13"/>
        <v>5580</v>
      </c>
      <c r="L244" s="322">
        <v>5580</v>
      </c>
      <c r="M244" s="371">
        <v>45366</v>
      </c>
      <c r="N244" s="322">
        <f>+Table7[[#This Row],[стойност с ДДС]]-Table7[[#This Row],[направено плащане]]</f>
        <v>0</v>
      </c>
      <c r="O244" s="327"/>
    </row>
    <row r="245" spans="1:15" ht="20.100000000000001" customHeight="1" x14ac:dyDescent="0.3">
      <c r="A245" s="210" t="s">
        <v>413</v>
      </c>
      <c r="B245" s="378" t="s">
        <v>443</v>
      </c>
      <c r="C245" s="371">
        <v>45322</v>
      </c>
      <c r="D245" s="337"/>
      <c r="E245" s="332" t="s">
        <v>415</v>
      </c>
      <c r="F245" s="409" t="s">
        <v>412</v>
      </c>
      <c r="G245" s="318"/>
      <c r="H245" s="324">
        <v>1</v>
      </c>
      <c r="I245" s="325">
        <f>1701.28*1.95583</f>
        <v>3327.4144624</v>
      </c>
      <c r="J245" s="325">
        <f>I245*Table7[[#This Row],[Количество]]</f>
        <v>3327.4144624</v>
      </c>
      <c r="K245" s="318">
        <f>+Table7[[#This Row],[стойност]]</f>
        <v>3327.4144624</v>
      </c>
      <c r="L245" s="322">
        <v>3327.41</v>
      </c>
      <c r="M245" s="371">
        <v>45369</v>
      </c>
      <c r="N245" s="322">
        <f>+Table7[[#This Row],[стойност с ДДС]]-Table7[[#This Row],[направено плащане]]</f>
        <v>4.4624000001931563E-3</v>
      </c>
      <c r="O245" s="327"/>
    </row>
    <row r="246" spans="1:15" ht="20.100000000000001" customHeight="1" x14ac:dyDescent="0.3">
      <c r="A246" s="151" t="s">
        <v>444</v>
      </c>
      <c r="B246" s="378" t="s">
        <v>445</v>
      </c>
      <c r="C246" s="371">
        <v>45350</v>
      </c>
      <c r="D246" s="337"/>
      <c r="E246" s="323" t="s">
        <v>131</v>
      </c>
      <c r="F246" s="409" t="s">
        <v>446</v>
      </c>
      <c r="G246" s="318" t="s">
        <v>133</v>
      </c>
      <c r="H246" s="324">
        <v>80</v>
      </c>
      <c r="I246" s="325">
        <v>45.5</v>
      </c>
      <c r="J246" s="325">
        <f t="shared" si="12"/>
        <v>3640</v>
      </c>
      <c r="K246" s="318">
        <f>+Table7[[#This Row],[стойност]]*1.2</f>
        <v>4368</v>
      </c>
      <c r="L246" s="322">
        <v>4368</v>
      </c>
      <c r="M246" s="371">
        <v>45369</v>
      </c>
      <c r="N246" s="322">
        <f>+Table7[[#This Row],[стойност с ДДС]]-Table7[[#This Row],[направено плащане]]</f>
        <v>0</v>
      </c>
      <c r="O246" s="327"/>
    </row>
    <row r="247" spans="1:15" ht="20.100000000000001" customHeight="1" x14ac:dyDescent="0.3">
      <c r="A247" s="151" t="s">
        <v>114</v>
      </c>
      <c r="B247" s="378" t="s">
        <v>447</v>
      </c>
      <c r="C247" s="371">
        <v>45352</v>
      </c>
      <c r="D247" s="337"/>
      <c r="E247" s="323" t="s">
        <v>131</v>
      </c>
      <c r="F247" s="409"/>
      <c r="G247" s="318" t="s">
        <v>133</v>
      </c>
      <c r="H247" s="324">
        <v>40</v>
      </c>
      <c r="I247" s="325">
        <v>46</v>
      </c>
      <c r="J247" s="325">
        <f t="shared" si="12"/>
        <v>1840</v>
      </c>
      <c r="K247" s="318">
        <f>1843.92+2*1.95583</f>
        <v>1847.8316600000001</v>
      </c>
      <c r="L247" s="322">
        <v>1847.83</v>
      </c>
      <c r="M247" s="371">
        <v>45369</v>
      </c>
      <c r="N247" s="322">
        <f>+Table7[[#This Row],[стойност с ДДС]]-Table7[[#This Row],[направено плащане]]</f>
        <v>1.6600000001290027E-3</v>
      </c>
      <c r="O247" s="327"/>
    </row>
    <row r="248" spans="1:15" ht="20.100000000000001" customHeight="1" x14ac:dyDescent="0.3">
      <c r="A248" s="151" t="s">
        <v>448</v>
      </c>
      <c r="B248" s="378" t="s">
        <v>449</v>
      </c>
      <c r="C248" s="371">
        <v>45335</v>
      </c>
      <c r="D248" s="337"/>
      <c r="E248" s="332" t="s">
        <v>450</v>
      </c>
      <c r="F248" s="409"/>
      <c r="G248" s="322" t="s">
        <v>406</v>
      </c>
      <c r="H248" s="324"/>
      <c r="I248" s="325"/>
      <c r="J248" s="325">
        <f t="shared" si="12"/>
        <v>0</v>
      </c>
      <c r="K248" s="318">
        <v>1047.1500000000001</v>
      </c>
      <c r="L248" s="322">
        <v>1047.1500000000001</v>
      </c>
      <c r="M248" s="371">
        <v>45369</v>
      </c>
      <c r="N248" s="322">
        <f>+Table7[[#This Row],[стойност с ДДС]]-Table7[[#This Row],[направено плащане]]</f>
        <v>0</v>
      </c>
      <c r="O248" s="327"/>
    </row>
    <row r="249" spans="1:15" ht="20.100000000000001" customHeight="1" x14ac:dyDescent="0.3">
      <c r="A249" s="151" t="s">
        <v>157</v>
      </c>
      <c r="B249" s="378" t="s">
        <v>451</v>
      </c>
      <c r="C249" s="371">
        <v>45351</v>
      </c>
      <c r="D249" s="337"/>
      <c r="E249" s="323" t="s">
        <v>131</v>
      </c>
      <c r="F249" s="409" t="s">
        <v>279</v>
      </c>
      <c r="G249" s="318" t="s">
        <v>133</v>
      </c>
      <c r="H249" s="324">
        <v>150</v>
      </c>
      <c r="I249" s="325">
        <v>47</v>
      </c>
      <c r="J249" s="325">
        <f t="shared" si="12"/>
        <v>7050</v>
      </c>
      <c r="K249" s="318">
        <f>J249*1.2</f>
        <v>8460</v>
      </c>
      <c r="L249" s="322">
        <v>8460</v>
      </c>
      <c r="M249" s="371">
        <v>45369</v>
      </c>
      <c r="N249" s="322">
        <f>+Table7[[#This Row],[стойност с ДДС]]-Table7[[#This Row],[направено плащане]]</f>
        <v>0</v>
      </c>
      <c r="O249" s="327"/>
    </row>
    <row r="250" spans="1:15" ht="20.100000000000001" customHeight="1" x14ac:dyDescent="0.3">
      <c r="A250" s="151" t="s">
        <v>159</v>
      </c>
      <c r="B250" s="378" t="s">
        <v>452</v>
      </c>
      <c r="C250" s="371">
        <v>45357</v>
      </c>
      <c r="D250" s="337"/>
      <c r="E250" s="331" t="s">
        <v>263</v>
      </c>
      <c r="F250" s="409"/>
      <c r="G250" s="318"/>
      <c r="H250" s="324">
        <v>400</v>
      </c>
      <c r="I250" s="325">
        <f>23.77507*1.95583</f>
        <v>46.499995158099999</v>
      </c>
      <c r="J250" s="325">
        <f>I250*H250</f>
        <v>18599.99806324</v>
      </c>
      <c r="K250" s="318">
        <f>+Table7[[#This Row],[стойност]]</f>
        <v>18599.99806324</v>
      </c>
      <c r="L250" s="322">
        <v>18600</v>
      </c>
      <c r="M250" s="371">
        <v>45364</v>
      </c>
      <c r="N250" s="322">
        <f>+Table7[[#This Row],[стойност с ДДС]]-Table7[[#This Row],[направено плащане]]</f>
        <v>-1.9367599998076912E-3</v>
      </c>
      <c r="O250" s="327"/>
    </row>
    <row r="251" spans="1:15" ht="20.100000000000001" customHeight="1" x14ac:dyDescent="0.25">
      <c r="A251" s="151" t="s">
        <v>99</v>
      </c>
      <c r="B251" s="378" t="s">
        <v>453</v>
      </c>
      <c r="C251" s="371">
        <v>45352</v>
      </c>
      <c r="D251" s="337"/>
      <c r="E251" s="328" t="s">
        <v>454</v>
      </c>
      <c r="F251" s="409" t="s">
        <v>455</v>
      </c>
      <c r="G251" s="322" t="s">
        <v>406</v>
      </c>
      <c r="H251" s="324">
        <v>68</v>
      </c>
      <c r="I251" s="325">
        <v>1437.8228999999999</v>
      </c>
      <c r="J251" s="325">
        <f t="shared" si="12"/>
        <v>97771.95719999999</v>
      </c>
      <c r="K251" s="318">
        <f>J251*1.2</f>
        <v>117326.34863999998</v>
      </c>
      <c r="L251" s="322">
        <v>117326.35</v>
      </c>
      <c r="M251" s="371">
        <v>45361</v>
      </c>
      <c r="N251" s="322">
        <f>+Table7[[#This Row],[стойност с ДДС]]-Table7[[#This Row],[направено плащане]]</f>
        <v>-1.3600000238511711E-3</v>
      </c>
      <c r="O251" s="327">
        <v>45361</v>
      </c>
    </row>
    <row r="252" spans="1:15" ht="20.100000000000001" customHeight="1" x14ac:dyDescent="0.3">
      <c r="A252" s="151" t="s">
        <v>444</v>
      </c>
      <c r="B252" s="378" t="s">
        <v>456</v>
      </c>
      <c r="C252" s="371">
        <v>45355</v>
      </c>
      <c r="D252" s="337"/>
      <c r="E252" s="323" t="s">
        <v>131</v>
      </c>
      <c r="F252" s="409" t="s">
        <v>457</v>
      </c>
      <c r="G252" s="322"/>
      <c r="H252" s="324">
        <v>20</v>
      </c>
      <c r="I252" s="325">
        <v>46</v>
      </c>
      <c r="J252" s="325">
        <f>I252*H252</f>
        <v>920</v>
      </c>
      <c r="K252" s="318">
        <f>J252*1.2</f>
        <v>1104</v>
      </c>
      <c r="L252" s="322">
        <v>1104</v>
      </c>
      <c r="M252" s="371">
        <v>45365</v>
      </c>
      <c r="N252" s="322">
        <f>+Table7[[#This Row],[стойност с ДДС]]-Table7[[#This Row],[направено плащане]]</f>
        <v>0</v>
      </c>
      <c r="O252" s="327">
        <v>45365</v>
      </c>
    </row>
    <row r="253" spans="1:15" ht="20.100000000000001" customHeight="1" x14ac:dyDescent="0.25">
      <c r="A253" s="151" t="s">
        <v>99</v>
      </c>
      <c r="B253" s="378">
        <v>8000004168</v>
      </c>
      <c r="C253" s="371">
        <v>45356</v>
      </c>
      <c r="D253" s="337"/>
      <c r="E253" s="328" t="s">
        <v>328</v>
      </c>
      <c r="F253" s="409"/>
      <c r="G253" s="318" t="s">
        <v>133</v>
      </c>
      <c r="H253" s="324">
        <v>1839.1590000000001</v>
      </c>
      <c r="I253" s="325">
        <v>53.73348</v>
      </c>
      <c r="J253" s="325">
        <f>I253*H253</f>
        <v>98824.413343320004</v>
      </c>
      <c r="K253" s="318">
        <f>J253*1.2</f>
        <v>118589.296011984</v>
      </c>
      <c r="L253" s="322">
        <v>118589.3</v>
      </c>
      <c r="M253" s="371">
        <v>45366</v>
      </c>
      <c r="N253" s="322">
        <f>+Table7[[#This Row],[стойност с ДДС]]-Table7[[#This Row],[направено плащане]]</f>
        <v>-3.9880160038592294E-3</v>
      </c>
      <c r="O253" s="327"/>
    </row>
    <row r="254" spans="1:15" ht="20.100000000000001" customHeight="1" x14ac:dyDescent="0.25">
      <c r="A254" s="151" t="s">
        <v>99</v>
      </c>
      <c r="B254" s="378">
        <v>8000004166</v>
      </c>
      <c r="C254" s="371">
        <v>45356</v>
      </c>
      <c r="D254" s="337"/>
      <c r="E254" s="328" t="s">
        <v>458</v>
      </c>
      <c r="F254" s="409"/>
      <c r="G254" s="318" t="s">
        <v>133</v>
      </c>
      <c r="H254" s="324">
        <v>6278</v>
      </c>
      <c r="I254" s="325"/>
      <c r="J254" s="325">
        <v>153151.32</v>
      </c>
      <c r="K254" s="318">
        <f>J254*1.2</f>
        <v>183781.584</v>
      </c>
      <c r="L254" s="322">
        <v>183781.58</v>
      </c>
      <c r="M254" s="371">
        <v>45369</v>
      </c>
      <c r="N254" s="322">
        <f>+Table7[[#This Row],[стойност с ДДС]]-Table7[[#This Row],[направено плащане]]</f>
        <v>4.0000000153668225E-3</v>
      </c>
      <c r="O254" s="327"/>
    </row>
    <row r="255" spans="1:15" ht="20.100000000000001" customHeight="1" x14ac:dyDescent="0.25">
      <c r="A255" s="151" t="s">
        <v>99</v>
      </c>
      <c r="B255" s="378">
        <v>8000004166</v>
      </c>
      <c r="C255" s="371">
        <v>45356</v>
      </c>
      <c r="D255" s="337"/>
      <c r="E255" s="328" t="s">
        <v>459</v>
      </c>
      <c r="F255" s="409"/>
      <c r="G255" s="318" t="s">
        <v>133</v>
      </c>
      <c r="H255" s="324">
        <v>23</v>
      </c>
      <c r="I255" s="325"/>
      <c r="J255" s="325">
        <v>1018.13</v>
      </c>
      <c r="K255" s="318">
        <f>+Table7[[#This Row],[стойност]]*1.2</f>
        <v>1221.7559999999999</v>
      </c>
      <c r="L255" s="322">
        <v>1221.76</v>
      </c>
      <c r="M255" s="371">
        <v>45369</v>
      </c>
      <c r="N255" s="322">
        <f>+Table7[[#This Row],[стойност с ДДС]]-Table7[[#This Row],[направено плащане]]</f>
        <v>-4.0000000001327862E-3</v>
      </c>
      <c r="O255" s="327"/>
    </row>
    <row r="256" spans="1:15" ht="20.100000000000001" customHeight="1" x14ac:dyDescent="0.3">
      <c r="A256" s="151" t="s">
        <v>99</v>
      </c>
      <c r="B256" s="378">
        <v>8000004166</v>
      </c>
      <c r="C256" s="371">
        <v>45356</v>
      </c>
      <c r="D256" s="337"/>
      <c r="E256" s="331" t="s">
        <v>460</v>
      </c>
      <c r="F256" s="409"/>
      <c r="G256" s="318" t="s">
        <v>133</v>
      </c>
      <c r="H256" s="324">
        <v>2544.9299999999998</v>
      </c>
      <c r="I256" s="325"/>
      <c r="J256" s="325">
        <v>100284.24</v>
      </c>
      <c r="K256" s="318">
        <f t="shared" ref="K256:K263" si="15">J256*1.2</f>
        <v>120341.088</v>
      </c>
      <c r="L256" s="322">
        <v>120341.09</v>
      </c>
      <c r="M256" s="371">
        <v>45369</v>
      </c>
      <c r="N256" s="322">
        <f>+Table7[[#This Row],[стойност с ДДС]]-Table7[[#This Row],[направено плащане]]</f>
        <v>-1.999999993131496E-3</v>
      </c>
      <c r="O256" s="327"/>
    </row>
    <row r="257" spans="1:15" ht="20.100000000000001" customHeight="1" x14ac:dyDescent="0.3">
      <c r="A257" s="151" t="s">
        <v>99</v>
      </c>
      <c r="B257" s="378">
        <v>8000004167</v>
      </c>
      <c r="C257" s="371">
        <v>45356</v>
      </c>
      <c r="D257" s="337"/>
      <c r="E257" s="331" t="s">
        <v>121</v>
      </c>
      <c r="F257" s="409"/>
      <c r="G257" s="318" t="s">
        <v>133</v>
      </c>
      <c r="H257" s="324">
        <v>16919</v>
      </c>
      <c r="I257" s="325"/>
      <c r="J257" s="325">
        <v>39382.660000000003</v>
      </c>
      <c r="K257" s="318">
        <f t="shared" si="15"/>
        <v>47259.192000000003</v>
      </c>
      <c r="L257" s="322">
        <v>47259.19</v>
      </c>
      <c r="M257" s="371">
        <v>45366</v>
      </c>
      <c r="N257" s="322">
        <f>+Table7[[#This Row],[стойност с ДДС]]-Table7[[#This Row],[направено плащане]]</f>
        <v>2.0000000004074536E-3</v>
      </c>
      <c r="O257" s="327"/>
    </row>
    <row r="258" spans="1:15" ht="20.100000000000001" customHeight="1" x14ac:dyDescent="0.3">
      <c r="A258" s="151" t="s">
        <v>99</v>
      </c>
      <c r="B258" s="378">
        <v>8000004167</v>
      </c>
      <c r="C258" s="371">
        <v>45356</v>
      </c>
      <c r="D258" s="337"/>
      <c r="E258" s="331" t="s">
        <v>461</v>
      </c>
      <c r="F258" s="409"/>
      <c r="G258" s="318" t="s">
        <v>133</v>
      </c>
      <c r="H258" s="324">
        <v>5264.7719999999999</v>
      </c>
      <c r="I258" s="325"/>
      <c r="J258" s="325">
        <v>15318.42</v>
      </c>
      <c r="K258" s="318">
        <f t="shared" si="15"/>
        <v>18382.103999999999</v>
      </c>
      <c r="L258" s="322">
        <v>18382.099999999999</v>
      </c>
      <c r="M258" s="371">
        <v>45366</v>
      </c>
      <c r="N258" s="322">
        <f>+Table7[[#This Row],[стойност с ДДС]]-Table7[[#This Row],[направено плащане]]</f>
        <v>4.0000000008149073E-3</v>
      </c>
      <c r="O258" s="327"/>
    </row>
    <row r="259" spans="1:15" ht="20.100000000000001" customHeight="1" x14ac:dyDescent="0.3">
      <c r="A259" s="151" t="s">
        <v>99</v>
      </c>
      <c r="B259" s="378">
        <v>8000004167</v>
      </c>
      <c r="C259" s="371">
        <v>45356</v>
      </c>
      <c r="D259" s="337"/>
      <c r="E259" s="331" t="s">
        <v>462</v>
      </c>
      <c r="F259" s="409"/>
      <c r="G259" s="318" t="s">
        <v>133</v>
      </c>
      <c r="H259" s="324">
        <v>195475.25899999999</v>
      </c>
      <c r="I259" s="325"/>
      <c r="J259" s="325">
        <v>40209.269999999997</v>
      </c>
      <c r="K259" s="318">
        <f t="shared" si="15"/>
        <v>48251.123999999996</v>
      </c>
      <c r="L259" s="322">
        <v>48251.12</v>
      </c>
      <c r="M259" s="371">
        <v>45366</v>
      </c>
      <c r="N259" s="322">
        <f>+Table7[[#This Row],[стойност с ДДС]]-Table7[[#This Row],[направено плащане]]</f>
        <v>3.9999999935389496E-3</v>
      </c>
      <c r="O259" s="327"/>
    </row>
    <row r="260" spans="1:15" ht="20.100000000000001" customHeight="1" x14ac:dyDescent="0.3">
      <c r="A260" s="151" t="s">
        <v>99</v>
      </c>
      <c r="B260" s="378">
        <v>8000004167</v>
      </c>
      <c r="C260" s="371">
        <v>45356</v>
      </c>
      <c r="D260" s="337"/>
      <c r="E260" s="331" t="s">
        <v>463</v>
      </c>
      <c r="F260" s="409"/>
      <c r="G260" s="318" t="s">
        <v>133</v>
      </c>
      <c r="H260" s="324">
        <v>195475.25899999999</v>
      </c>
      <c r="I260" s="325"/>
      <c r="J260" s="325">
        <v>56844.19</v>
      </c>
      <c r="K260" s="318">
        <f t="shared" si="15"/>
        <v>68213.028000000006</v>
      </c>
      <c r="L260" s="322">
        <v>68213.03</v>
      </c>
      <c r="M260" s="371">
        <v>45366</v>
      </c>
      <c r="N260" s="322">
        <f>+Table7[[#This Row],[стойност с ДДС]]-Table7[[#This Row],[направено плащане]]</f>
        <v>-1.999999993131496E-3</v>
      </c>
      <c r="O260" s="327"/>
    </row>
    <row r="261" spans="1:15" ht="20.100000000000001" customHeight="1" x14ac:dyDescent="0.3">
      <c r="A261" s="151" t="s">
        <v>99</v>
      </c>
      <c r="B261" s="378">
        <v>8000004167</v>
      </c>
      <c r="C261" s="371">
        <v>45356</v>
      </c>
      <c r="D261" s="337"/>
      <c r="E261" s="339" t="s">
        <v>464</v>
      </c>
      <c r="F261" s="409"/>
      <c r="G261" s="318" t="s">
        <v>133</v>
      </c>
      <c r="H261" s="324">
        <v>139275.25899999999</v>
      </c>
      <c r="I261" s="325"/>
      <c r="J261" s="325">
        <v>3676.87</v>
      </c>
      <c r="K261" s="318">
        <f t="shared" si="15"/>
        <v>4412.2439999999997</v>
      </c>
      <c r="L261" s="322">
        <v>4412.24</v>
      </c>
      <c r="M261" s="371">
        <v>45366</v>
      </c>
      <c r="N261" s="322">
        <f>+Table7[[#This Row],[стойност с ДДС]]-Table7[[#This Row],[направено плащане]]</f>
        <v>3.9999999999054126E-3</v>
      </c>
      <c r="O261" s="327"/>
    </row>
    <row r="262" spans="1:15" ht="20.100000000000001" customHeight="1" x14ac:dyDescent="0.3">
      <c r="A262" s="151" t="s">
        <v>99</v>
      </c>
      <c r="B262" s="378">
        <v>8000004167</v>
      </c>
      <c r="C262" s="371">
        <v>45356</v>
      </c>
      <c r="D262" s="337"/>
      <c r="E262" s="339" t="s">
        <v>465</v>
      </c>
      <c r="F262" s="409"/>
      <c r="G262" s="318" t="s">
        <v>133</v>
      </c>
      <c r="H262" s="324">
        <v>195475.25899999999</v>
      </c>
      <c r="I262" s="325"/>
      <c r="J262" s="325">
        <v>-3264.43</v>
      </c>
      <c r="K262" s="318">
        <f t="shared" si="15"/>
        <v>-3917.3159999999998</v>
      </c>
      <c r="L262" s="322">
        <v>-3917.32</v>
      </c>
      <c r="M262" s="371">
        <v>45366</v>
      </c>
      <c r="N262" s="322">
        <f>+Table7[[#This Row],[стойност с ДДС]]-Table7[[#This Row],[направено плащане]]</f>
        <v>4.0000000003601599E-3</v>
      </c>
      <c r="O262" s="327"/>
    </row>
    <row r="263" spans="1:15" ht="20.100000000000001" customHeight="1" x14ac:dyDescent="0.3">
      <c r="A263" s="151" t="s">
        <v>99</v>
      </c>
      <c r="B263" s="378">
        <v>8000004167</v>
      </c>
      <c r="C263" s="371">
        <v>45356</v>
      </c>
      <c r="D263" s="337"/>
      <c r="E263" s="331" t="s">
        <v>466</v>
      </c>
      <c r="F263" s="409"/>
      <c r="G263" s="318" t="s">
        <v>133</v>
      </c>
      <c r="H263" s="324">
        <v>466.70600000000002</v>
      </c>
      <c r="I263" s="325"/>
      <c r="J263" s="325">
        <v>1540.92</v>
      </c>
      <c r="K263" s="318">
        <f t="shared" si="15"/>
        <v>1849.104</v>
      </c>
      <c r="L263" s="322">
        <v>1849.1</v>
      </c>
      <c r="M263" s="371">
        <v>45366</v>
      </c>
      <c r="N263" s="322">
        <f>+Table7[[#This Row],[стойност с ДДС]]-Table7[[#This Row],[направено плащане]]</f>
        <v>4.0000000001327862E-3</v>
      </c>
      <c r="O263" s="327"/>
    </row>
    <row r="264" spans="1:15" ht="20.100000000000001" customHeight="1" x14ac:dyDescent="0.3">
      <c r="A264" s="151" t="s">
        <v>294</v>
      </c>
      <c r="B264" s="378" t="s">
        <v>467</v>
      </c>
      <c r="C264" s="371">
        <v>45356</v>
      </c>
      <c r="D264" s="337"/>
      <c r="E264" s="323" t="s">
        <v>263</v>
      </c>
      <c r="F264" s="409"/>
      <c r="G264" s="322" t="s">
        <v>133</v>
      </c>
      <c r="H264" s="324">
        <v>14500</v>
      </c>
      <c r="I264" s="325">
        <f>0.0269*1.95583</f>
        <v>5.2611827E-2</v>
      </c>
      <c r="J264" s="325">
        <f t="shared" ref="J264:J280" si="16">I264*H264</f>
        <v>762.87149150000005</v>
      </c>
      <c r="K264" s="318">
        <f>+Table7[[#This Row],[стойност]]</f>
        <v>762.87149150000005</v>
      </c>
      <c r="L264" s="322"/>
      <c r="M264" s="371"/>
      <c r="N264" s="322">
        <f>+Table7[[#This Row],[стойност с ДДС]]-Table7[[#This Row],[направено плащане]]</f>
        <v>762.87149150000005</v>
      </c>
      <c r="O264" s="327"/>
    </row>
    <row r="265" spans="1:15" ht="20.100000000000001" customHeight="1" x14ac:dyDescent="0.3">
      <c r="A265" s="206" t="s">
        <v>37</v>
      </c>
      <c r="B265" s="378" t="s">
        <v>468</v>
      </c>
      <c r="C265" s="371">
        <v>45356</v>
      </c>
      <c r="D265" s="337"/>
      <c r="E265" s="323" t="s">
        <v>131</v>
      </c>
      <c r="F265" s="409" t="s">
        <v>469</v>
      </c>
      <c r="G265" s="322" t="s">
        <v>133</v>
      </c>
      <c r="H265" s="324">
        <v>250</v>
      </c>
      <c r="I265" s="325">
        <v>45.1</v>
      </c>
      <c r="J265" s="325">
        <f t="shared" si="16"/>
        <v>11275</v>
      </c>
      <c r="K265" s="318">
        <f t="shared" ref="K265:K276" si="17">J265*1.2</f>
        <v>13530</v>
      </c>
      <c r="L265" s="322">
        <v>13530</v>
      </c>
      <c r="M265" s="371">
        <v>45366</v>
      </c>
      <c r="N265" s="322">
        <f>+Table7[[#This Row],[стойност с ДДС]]-Table7[[#This Row],[направено плащане]]</f>
        <v>0</v>
      </c>
      <c r="O265" s="327"/>
    </row>
    <row r="266" spans="1:15" ht="20.100000000000001" customHeight="1" x14ac:dyDescent="0.3">
      <c r="A266" s="206" t="s">
        <v>37</v>
      </c>
      <c r="B266" s="378">
        <v>8000001118</v>
      </c>
      <c r="C266" s="371">
        <v>45356</v>
      </c>
      <c r="D266" s="337"/>
      <c r="E266" s="323" t="s">
        <v>131</v>
      </c>
      <c r="F266" s="409" t="s">
        <v>470</v>
      </c>
      <c r="G266" s="322" t="s">
        <v>133</v>
      </c>
      <c r="H266" s="324">
        <v>200</v>
      </c>
      <c r="I266" s="325">
        <v>46.5</v>
      </c>
      <c r="J266" s="325">
        <f t="shared" si="16"/>
        <v>9300</v>
      </c>
      <c r="K266" s="318">
        <f t="shared" si="17"/>
        <v>11160</v>
      </c>
      <c r="L266" s="322">
        <v>11160</v>
      </c>
      <c r="M266" s="371">
        <v>45366</v>
      </c>
      <c r="N266" s="322">
        <f>+Table7[[#This Row],[стойност с ДДС]]-Table7[[#This Row],[направено плащане]]</f>
        <v>0</v>
      </c>
      <c r="O266" s="327"/>
    </row>
    <row r="267" spans="1:15" ht="20.100000000000001" customHeight="1" x14ac:dyDescent="0.3">
      <c r="A267" s="151" t="s">
        <v>118</v>
      </c>
      <c r="B267" s="378" t="s">
        <v>471</v>
      </c>
      <c r="C267" s="371">
        <v>45359</v>
      </c>
      <c r="D267" s="337"/>
      <c r="E267" s="323" t="s">
        <v>131</v>
      </c>
      <c r="F267" s="409" t="s">
        <v>472</v>
      </c>
      <c r="G267" s="322" t="s">
        <v>133</v>
      </c>
      <c r="H267" s="324">
        <v>50</v>
      </c>
      <c r="I267" s="325">
        <v>46</v>
      </c>
      <c r="J267" s="325">
        <f t="shared" si="16"/>
        <v>2300</v>
      </c>
      <c r="K267" s="318">
        <f t="shared" si="17"/>
        <v>2760</v>
      </c>
      <c r="L267" s="322">
        <v>2760</v>
      </c>
      <c r="M267" s="371">
        <v>45365</v>
      </c>
      <c r="N267" s="322">
        <f>+Table7[[#This Row],[стойност с ДДС]]-Table7[[#This Row],[направено плащане]]</f>
        <v>0</v>
      </c>
      <c r="O267" s="340">
        <v>45366</v>
      </c>
    </row>
    <row r="268" spans="1:15" ht="20.100000000000001" customHeight="1" x14ac:dyDescent="0.3">
      <c r="A268" s="151" t="s">
        <v>118</v>
      </c>
      <c r="B268" s="378" t="s">
        <v>471</v>
      </c>
      <c r="C268" s="371">
        <v>45359</v>
      </c>
      <c r="D268" s="337"/>
      <c r="E268" s="323" t="s">
        <v>131</v>
      </c>
      <c r="F268" s="409" t="s">
        <v>473</v>
      </c>
      <c r="G268" s="322" t="s">
        <v>133</v>
      </c>
      <c r="H268" s="324">
        <v>50</v>
      </c>
      <c r="I268" s="325">
        <v>46</v>
      </c>
      <c r="J268" s="325">
        <f t="shared" si="16"/>
        <v>2300</v>
      </c>
      <c r="K268" s="318">
        <f t="shared" si="17"/>
        <v>2760</v>
      </c>
      <c r="L268" s="322">
        <v>2760</v>
      </c>
      <c r="M268" s="371">
        <v>45365</v>
      </c>
      <c r="N268" s="322">
        <f>+Table7[[#This Row],[стойност с ДДС]]-Table7[[#This Row],[направено плащане]]</f>
        <v>0</v>
      </c>
      <c r="O268" s="340">
        <v>45366</v>
      </c>
    </row>
    <row r="269" spans="1:15" ht="20.100000000000001" customHeight="1" x14ac:dyDescent="0.3">
      <c r="A269" s="151" t="s">
        <v>118</v>
      </c>
      <c r="B269" s="378" t="s">
        <v>471</v>
      </c>
      <c r="C269" s="371">
        <v>45359</v>
      </c>
      <c r="D269" s="337"/>
      <c r="E269" s="323" t="s">
        <v>131</v>
      </c>
      <c r="F269" s="409" t="s">
        <v>474</v>
      </c>
      <c r="G269" s="322" t="s">
        <v>133</v>
      </c>
      <c r="H269" s="324">
        <v>50</v>
      </c>
      <c r="I269" s="325">
        <v>45.5</v>
      </c>
      <c r="J269" s="325">
        <f t="shared" si="16"/>
        <v>2275</v>
      </c>
      <c r="K269" s="318">
        <f t="shared" si="17"/>
        <v>2730</v>
      </c>
      <c r="L269" s="322">
        <v>2730</v>
      </c>
      <c r="M269" s="371">
        <v>45365</v>
      </c>
      <c r="N269" s="322">
        <f>+Table7[[#This Row],[стойност с ДДС]]-Table7[[#This Row],[направено плащане]]</f>
        <v>0</v>
      </c>
      <c r="O269" s="340">
        <v>45366</v>
      </c>
    </row>
    <row r="270" spans="1:15" ht="20.100000000000001" customHeight="1" x14ac:dyDescent="0.3">
      <c r="A270" s="151" t="s">
        <v>118</v>
      </c>
      <c r="B270" s="378" t="s">
        <v>471</v>
      </c>
      <c r="C270" s="371">
        <v>45359</v>
      </c>
      <c r="D270" s="337"/>
      <c r="E270" s="323" t="s">
        <v>131</v>
      </c>
      <c r="F270" s="409" t="s">
        <v>475</v>
      </c>
      <c r="G270" s="322" t="s">
        <v>133</v>
      </c>
      <c r="H270" s="324">
        <v>70</v>
      </c>
      <c r="I270" s="325">
        <v>45.5</v>
      </c>
      <c r="J270" s="325">
        <f t="shared" si="16"/>
        <v>3185</v>
      </c>
      <c r="K270" s="318">
        <f t="shared" si="17"/>
        <v>3822</v>
      </c>
      <c r="L270" s="322">
        <v>3822</v>
      </c>
      <c r="M270" s="371">
        <v>45365</v>
      </c>
      <c r="N270" s="322">
        <f>+Table7[[#This Row],[стойност с ДДС]]-Table7[[#This Row],[направено плащане]]</f>
        <v>0</v>
      </c>
      <c r="O270" s="340">
        <v>45366</v>
      </c>
    </row>
    <row r="271" spans="1:15" ht="20.100000000000001" customHeight="1" x14ac:dyDescent="0.3">
      <c r="A271" s="151" t="s">
        <v>118</v>
      </c>
      <c r="B271" s="378" t="s">
        <v>476</v>
      </c>
      <c r="C271" s="371">
        <v>45359</v>
      </c>
      <c r="D271" s="337"/>
      <c r="E271" s="323" t="s">
        <v>131</v>
      </c>
      <c r="F271" s="409" t="s">
        <v>477</v>
      </c>
      <c r="G271" s="322" t="s">
        <v>133</v>
      </c>
      <c r="H271" s="324">
        <v>360</v>
      </c>
      <c r="I271" s="325">
        <v>44.5</v>
      </c>
      <c r="J271" s="325">
        <f t="shared" si="16"/>
        <v>16020</v>
      </c>
      <c r="K271" s="318">
        <f t="shared" si="17"/>
        <v>19224</v>
      </c>
      <c r="L271" s="322">
        <v>19224</v>
      </c>
      <c r="M271" s="371">
        <v>45365</v>
      </c>
      <c r="N271" s="322">
        <f>+Table7[[#This Row],[стойност с ДДС]]-Table7[[#This Row],[направено плащане]]</f>
        <v>0</v>
      </c>
      <c r="O271" s="340">
        <v>45366</v>
      </c>
    </row>
    <row r="272" spans="1:15" ht="20.100000000000001" customHeight="1" x14ac:dyDescent="0.3">
      <c r="A272" s="151" t="s">
        <v>118</v>
      </c>
      <c r="B272" s="378" t="s">
        <v>478</v>
      </c>
      <c r="C272" s="371">
        <v>45359</v>
      </c>
      <c r="D272" s="337"/>
      <c r="E272" s="323" t="s">
        <v>131</v>
      </c>
      <c r="F272" s="409" t="s">
        <v>479</v>
      </c>
      <c r="G272" s="322" t="s">
        <v>133</v>
      </c>
      <c r="H272" s="324">
        <v>50</v>
      </c>
      <c r="I272" s="325">
        <v>44</v>
      </c>
      <c r="J272" s="325">
        <f t="shared" si="16"/>
        <v>2200</v>
      </c>
      <c r="K272" s="318">
        <f t="shared" si="17"/>
        <v>2640</v>
      </c>
      <c r="L272" s="322">
        <v>2640</v>
      </c>
      <c r="M272" s="371">
        <v>45365</v>
      </c>
      <c r="N272" s="322">
        <f>+Table7[[#This Row],[стойност с ДДС]]-Table7[[#This Row],[направено плащане]]</f>
        <v>0</v>
      </c>
      <c r="O272" s="327">
        <v>45366</v>
      </c>
    </row>
    <row r="273" spans="1:15" ht="20.100000000000001" customHeight="1" x14ac:dyDescent="0.3">
      <c r="A273" s="151" t="s">
        <v>118</v>
      </c>
      <c r="B273" s="378" t="s">
        <v>480</v>
      </c>
      <c r="C273" s="371">
        <v>45354</v>
      </c>
      <c r="D273" s="337"/>
      <c r="E273" s="323" t="s">
        <v>131</v>
      </c>
      <c r="F273" s="409" t="s">
        <v>481</v>
      </c>
      <c r="G273" s="322"/>
      <c r="H273" s="324">
        <v>150</v>
      </c>
      <c r="I273" s="325">
        <v>46</v>
      </c>
      <c r="J273" s="325">
        <f>I273*H273</f>
        <v>6900</v>
      </c>
      <c r="K273" s="318">
        <f>J273*1.2</f>
        <v>8280</v>
      </c>
      <c r="L273" s="322">
        <v>8280</v>
      </c>
      <c r="M273" s="371">
        <v>45369</v>
      </c>
      <c r="N273" s="322">
        <f>+Table7[[#This Row],[стойност с ДДС]]-Table7[[#This Row],[направено плащане]]</f>
        <v>0</v>
      </c>
      <c r="O273" s="327"/>
    </row>
    <row r="274" spans="1:15" ht="20.100000000000001" customHeight="1" x14ac:dyDescent="0.3">
      <c r="A274" s="151" t="s">
        <v>448</v>
      </c>
      <c r="B274" s="378" t="s">
        <v>482</v>
      </c>
      <c r="C274" s="371">
        <v>45351</v>
      </c>
      <c r="D274" s="337"/>
      <c r="E274" s="332" t="s">
        <v>450</v>
      </c>
      <c r="F274" s="409" t="s">
        <v>344</v>
      </c>
      <c r="G274" s="322"/>
      <c r="H274" s="324"/>
      <c r="I274" s="325">
        <v>750</v>
      </c>
      <c r="J274" s="325">
        <f>I274*H274</f>
        <v>0</v>
      </c>
      <c r="K274" s="318">
        <v>294.75</v>
      </c>
      <c r="L274" s="322">
        <v>294.75</v>
      </c>
      <c r="M274" s="371">
        <v>45370</v>
      </c>
      <c r="N274" s="322">
        <f>+Table7[[#This Row],[стойност с ДДС]]-Table7[[#This Row],[направено плащане]]</f>
        <v>0</v>
      </c>
      <c r="O274" s="327"/>
    </row>
    <row r="275" spans="1:15" ht="20.100000000000001" customHeight="1" x14ac:dyDescent="0.3">
      <c r="A275" s="151" t="s">
        <v>157</v>
      </c>
      <c r="B275" s="378" t="s">
        <v>483</v>
      </c>
      <c r="C275" s="371">
        <v>45362</v>
      </c>
      <c r="D275" s="337"/>
      <c r="E275" s="323" t="s">
        <v>131</v>
      </c>
      <c r="F275" s="409"/>
      <c r="G275" s="322" t="s">
        <v>133</v>
      </c>
      <c r="H275" s="324">
        <v>30</v>
      </c>
      <c r="I275" s="325">
        <v>44.2</v>
      </c>
      <c r="J275" s="325">
        <f t="shared" si="16"/>
        <v>1326</v>
      </c>
      <c r="K275" s="318">
        <f t="shared" si="17"/>
        <v>1591.2</v>
      </c>
      <c r="L275" s="322">
        <v>1591.2</v>
      </c>
      <c r="M275" s="371">
        <v>45365</v>
      </c>
      <c r="N275" s="322">
        <f>+Table7[[#This Row],[стойност с ДДС]]-Table7[[#This Row],[направено плащане]]</f>
        <v>0</v>
      </c>
      <c r="O275" s="340">
        <v>45362</v>
      </c>
    </row>
    <row r="276" spans="1:15" ht="20.100000000000001" customHeight="1" x14ac:dyDescent="0.3">
      <c r="A276" s="151" t="s">
        <v>153</v>
      </c>
      <c r="B276" s="378" t="s">
        <v>484</v>
      </c>
      <c r="C276" s="371">
        <v>45359</v>
      </c>
      <c r="D276" s="337"/>
      <c r="E276" s="323" t="s">
        <v>131</v>
      </c>
      <c r="F276" s="409" t="s">
        <v>485</v>
      </c>
      <c r="G276" s="322" t="s">
        <v>133</v>
      </c>
      <c r="H276" s="324">
        <v>560</v>
      </c>
      <c r="I276" s="325">
        <v>44.2</v>
      </c>
      <c r="J276" s="325">
        <f t="shared" si="16"/>
        <v>24752</v>
      </c>
      <c r="K276" s="318">
        <f t="shared" si="17"/>
        <v>29702.399999999998</v>
      </c>
      <c r="L276" s="322">
        <v>29702.400000000001</v>
      </c>
      <c r="M276" s="371">
        <v>45365</v>
      </c>
      <c r="N276" s="322">
        <f>+Table7[[#This Row],[стойност с ДДС]]-Table7[[#This Row],[направено плащане]]</f>
        <v>0</v>
      </c>
      <c r="O276" s="340">
        <v>45366</v>
      </c>
    </row>
    <row r="277" spans="1:15" ht="20.100000000000001" customHeight="1" x14ac:dyDescent="0.3">
      <c r="A277" s="151" t="s">
        <v>159</v>
      </c>
      <c r="B277" s="378" t="s">
        <v>486</v>
      </c>
      <c r="C277" s="371">
        <v>45359</v>
      </c>
      <c r="D277" s="337"/>
      <c r="E277" s="323" t="s">
        <v>131</v>
      </c>
      <c r="F277" s="409"/>
      <c r="G277" s="322" t="s">
        <v>133</v>
      </c>
      <c r="H277" s="324">
        <v>250</v>
      </c>
      <c r="I277" s="325">
        <f>22.75249*1.95583</f>
        <v>44.5000025167</v>
      </c>
      <c r="J277" s="325">
        <v>11127.67</v>
      </c>
      <c r="K277" s="322">
        <v>11127.67</v>
      </c>
      <c r="L277" s="322">
        <v>11127.67</v>
      </c>
      <c r="M277" s="371">
        <v>45365</v>
      </c>
      <c r="N277" s="322">
        <f>+Table7[[#This Row],[стойност с ДДС]]-Table7[[#This Row],[направено плащане]]</f>
        <v>0</v>
      </c>
      <c r="O277" s="340">
        <v>45366</v>
      </c>
    </row>
    <row r="278" spans="1:15" ht="20.100000000000001" customHeight="1" x14ac:dyDescent="0.3">
      <c r="A278" s="151" t="s">
        <v>101</v>
      </c>
      <c r="B278" s="387" t="s">
        <v>487</v>
      </c>
      <c r="C278" s="371">
        <v>45358</v>
      </c>
      <c r="D278" s="337"/>
      <c r="E278" s="323" t="s">
        <v>131</v>
      </c>
      <c r="F278" s="409" t="s">
        <v>488</v>
      </c>
      <c r="G278" s="322" t="s">
        <v>133</v>
      </c>
      <c r="H278" s="324">
        <v>12</v>
      </c>
      <c r="I278" s="325">
        <v>46.5</v>
      </c>
      <c r="J278" s="325">
        <f t="shared" si="16"/>
        <v>558</v>
      </c>
      <c r="K278" s="318">
        <f t="shared" ref="K278:K281" si="18">J278*1.2</f>
        <v>669.6</v>
      </c>
      <c r="L278" s="322">
        <v>669.6</v>
      </c>
      <c r="M278" s="371">
        <v>45369</v>
      </c>
      <c r="N278" s="322">
        <f>+Table7[[#This Row],[стойност с ДДС]]-Table7[[#This Row],[направено плащане]]</f>
        <v>0</v>
      </c>
      <c r="O278" s="340">
        <v>45364</v>
      </c>
    </row>
    <row r="279" spans="1:15" ht="20.100000000000001" customHeight="1" x14ac:dyDescent="0.3">
      <c r="A279" s="151" t="s">
        <v>101</v>
      </c>
      <c r="B279" s="387" t="s">
        <v>487</v>
      </c>
      <c r="C279" s="371">
        <v>45358</v>
      </c>
      <c r="D279" s="337"/>
      <c r="E279" s="323" t="s">
        <v>131</v>
      </c>
      <c r="F279" s="409" t="s">
        <v>489</v>
      </c>
      <c r="G279" s="322" t="s">
        <v>133</v>
      </c>
      <c r="H279" s="324">
        <v>50</v>
      </c>
      <c r="I279" s="325">
        <v>45</v>
      </c>
      <c r="J279" s="325">
        <f>I279*H279</f>
        <v>2250</v>
      </c>
      <c r="K279" s="318">
        <f t="shared" si="18"/>
        <v>2700</v>
      </c>
      <c r="L279" s="322">
        <v>2700</v>
      </c>
      <c r="M279" s="371">
        <v>45369</v>
      </c>
      <c r="N279" s="322">
        <f>+Table7[[#This Row],[стойност с ДДС]]-Table7[[#This Row],[направено плащане]]</f>
        <v>0</v>
      </c>
      <c r="O279" s="327">
        <v>45364</v>
      </c>
    </row>
    <row r="280" spans="1:15" ht="20.100000000000001" customHeight="1" x14ac:dyDescent="0.3">
      <c r="A280" s="151" t="s">
        <v>118</v>
      </c>
      <c r="B280" s="378" t="s">
        <v>490</v>
      </c>
      <c r="C280" s="371">
        <v>45358</v>
      </c>
      <c r="D280" s="337"/>
      <c r="E280" s="323" t="s">
        <v>131</v>
      </c>
      <c r="F280" s="409" t="s">
        <v>491</v>
      </c>
      <c r="G280" s="322" t="s">
        <v>133</v>
      </c>
      <c r="H280" s="324">
        <v>150</v>
      </c>
      <c r="I280" s="325">
        <v>46</v>
      </c>
      <c r="J280" s="325">
        <f t="shared" si="16"/>
        <v>6900</v>
      </c>
      <c r="K280" s="318">
        <f t="shared" si="18"/>
        <v>8280</v>
      </c>
      <c r="L280" s="322">
        <v>8280</v>
      </c>
      <c r="M280" s="371">
        <v>45364</v>
      </c>
      <c r="N280" s="322">
        <f>+Table7[[#This Row],[стойност с ДДС]]-Table7[[#This Row],[направено плащане]]</f>
        <v>0</v>
      </c>
      <c r="O280" s="327">
        <v>45365</v>
      </c>
    </row>
    <row r="281" spans="1:15" ht="20.100000000000001" customHeight="1" x14ac:dyDescent="0.3">
      <c r="A281" s="151" t="s">
        <v>118</v>
      </c>
      <c r="B281" s="378" t="s">
        <v>490</v>
      </c>
      <c r="C281" s="371">
        <v>45358</v>
      </c>
      <c r="D281" s="337"/>
      <c r="E281" s="323" t="s">
        <v>131</v>
      </c>
      <c r="F281" s="409" t="s">
        <v>492</v>
      </c>
      <c r="G281" s="322" t="s">
        <v>133</v>
      </c>
      <c r="H281" s="324">
        <v>50</v>
      </c>
      <c r="I281" s="325">
        <v>45</v>
      </c>
      <c r="J281" s="325">
        <f>I281*H281</f>
        <v>2250</v>
      </c>
      <c r="K281" s="318">
        <f t="shared" si="18"/>
        <v>2700</v>
      </c>
      <c r="L281" s="322">
        <v>2700</v>
      </c>
      <c r="M281" s="371">
        <v>45364</v>
      </c>
      <c r="N281" s="322">
        <f>+Table7[[#This Row],[стойност с ДДС]]-Table7[[#This Row],[направено плащане]]</f>
        <v>0</v>
      </c>
      <c r="O281" s="327">
        <v>45365</v>
      </c>
    </row>
    <row r="282" spans="1:15" ht="20.100000000000001" customHeight="1" x14ac:dyDescent="0.3">
      <c r="A282" s="151" t="s">
        <v>99</v>
      </c>
      <c r="B282" s="378" t="s">
        <v>493</v>
      </c>
      <c r="C282" s="371">
        <v>45355</v>
      </c>
      <c r="D282" s="337"/>
      <c r="E282" s="323" t="s">
        <v>131</v>
      </c>
      <c r="F282" s="409" t="s">
        <v>494</v>
      </c>
      <c r="G282" s="322" t="s">
        <v>133</v>
      </c>
      <c r="H282" s="324">
        <v>200</v>
      </c>
      <c r="I282" s="325">
        <v>49</v>
      </c>
      <c r="J282" s="325">
        <f t="shared" ref="J282:J284" si="19">I282*H282</f>
        <v>9800</v>
      </c>
      <c r="K282" s="318">
        <f t="shared" ref="K282:K284" si="20">J282*1.2</f>
        <v>11760</v>
      </c>
      <c r="L282" s="322">
        <v>11760</v>
      </c>
      <c r="M282" s="371">
        <v>45364</v>
      </c>
      <c r="N282" s="322">
        <f>+Table7[[#This Row],[стойност с ДДС]]-Table7[[#This Row],[направено плащане]]</f>
        <v>0</v>
      </c>
      <c r="O282" s="340">
        <v>45359</v>
      </c>
    </row>
    <row r="283" spans="1:15" ht="20.100000000000001" customHeight="1" x14ac:dyDescent="0.3">
      <c r="A283" s="151" t="s">
        <v>99</v>
      </c>
      <c r="B283" s="378" t="s">
        <v>493</v>
      </c>
      <c r="C283" s="371">
        <v>45355</v>
      </c>
      <c r="D283" s="337"/>
      <c r="E283" s="323" t="s">
        <v>131</v>
      </c>
      <c r="F283" s="409" t="s">
        <v>495</v>
      </c>
      <c r="G283" s="322" t="s">
        <v>133</v>
      </c>
      <c r="H283" s="324">
        <v>77</v>
      </c>
      <c r="I283" s="325">
        <v>49</v>
      </c>
      <c r="J283" s="325">
        <f t="shared" si="19"/>
        <v>3773</v>
      </c>
      <c r="K283" s="318">
        <f t="shared" si="20"/>
        <v>4527.5999999999995</v>
      </c>
      <c r="L283" s="322">
        <v>4527.6000000000004</v>
      </c>
      <c r="M283" s="371">
        <v>45364</v>
      </c>
      <c r="N283" s="322">
        <f>+Table7[[#This Row],[стойност с ДДС]]-Table7[[#This Row],[направено плащане]]</f>
        <v>0</v>
      </c>
      <c r="O283" s="340">
        <v>45359</v>
      </c>
    </row>
    <row r="284" spans="1:15" ht="20.100000000000001" customHeight="1" x14ac:dyDescent="0.3">
      <c r="A284" s="151" t="s">
        <v>268</v>
      </c>
      <c r="B284" s="378" t="s">
        <v>496</v>
      </c>
      <c r="C284" s="371">
        <v>45361</v>
      </c>
      <c r="D284" s="337"/>
      <c r="E284" s="323" t="s">
        <v>131</v>
      </c>
      <c r="F284" s="409"/>
      <c r="G284" s="322" t="s">
        <v>133</v>
      </c>
      <c r="H284" s="324">
        <v>80</v>
      </c>
      <c r="I284" s="325">
        <v>44.5</v>
      </c>
      <c r="J284" s="325">
        <f t="shared" si="19"/>
        <v>3560</v>
      </c>
      <c r="K284" s="318">
        <f t="shared" si="20"/>
        <v>4272</v>
      </c>
      <c r="L284" s="322">
        <v>4272</v>
      </c>
      <c r="M284" s="371">
        <v>45365</v>
      </c>
      <c r="N284" s="322">
        <f>+Table7[[#This Row],[стойност с ДДС]]-Table7[[#This Row],[направено плащане]]</f>
        <v>0</v>
      </c>
      <c r="O284" s="327">
        <v>45365</v>
      </c>
    </row>
    <row r="285" spans="1:15" ht="20.100000000000001" customHeight="1" x14ac:dyDescent="0.3">
      <c r="A285" s="151" t="s">
        <v>114</v>
      </c>
      <c r="B285" s="378" t="s">
        <v>497</v>
      </c>
      <c r="C285" s="371">
        <v>45366</v>
      </c>
      <c r="D285" s="337"/>
      <c r="E285" s="323" t="s">
        <v>131</v>
      </c>
      <c r="F285" s="409"/>
      <c r="G285" s="322" t="s">
        <v>133</v>
      </c>
      <c r="H285" s="324">
        <v>80</v>
      </c>
      <c r="I285" s="325">
        <v>45</v>
      </c>
      <c r="J285" s="325">
        <v>3604.78</v>
      </c>
      <c r="K285" s="318">
        <v>3604.78</v>
      </c>
      <c r="L285" s="322">
        <v>3604.78</v>
      </c>
      <c r="M285" s="371">
        <v>45371</v>
      </c>
      <c r="N285" s="322">
        <f>+Table7[[#This Row],[стойност с ДДС]]-Table7[[#This Row],[направено плащане]]</f>
        <v>0</v>
      </c>
      <c r="O285" s="340">
        <v>45372</v>
      </c>
    </row>
    <row r="286" spans="1:15" ht="20.100000000000001" customHeight="1" x14ac:dyDescent="0.3">
      <c r="A286" s="151" t="s">
        <v>118</v>
      </c>
      <c r="B286" s="378" t="s">
        <v>498</v>
      </c>
      <c r="C286" s="371">
        <v>45365</v>
      </c>
      <c r="D286" s="337"/>
      <c r="E286" s="323" t="s">
        <v>131</v>
      </c>
      <c r="F286" s="409" t="s">
        <v>499</v>
      </c>
      <c r="G286" s="322" t="s">
        <v>133</v>
      </c>
      <c r="H286" s="324">
        <v>200</v>
      </c>
      <c r="I286" s="325">
        <v>45</v>
      </c>
      <c r="J286" s="325">
        <f>I286*H286</f>
        <v>9000</v>
      </c>
      <c r="K286" s="318">
        <f t="shared" ref="K286:K292" si="21">J286*1.2</f>
        <v>10800</v>
      </c>
      <c r="L286" s="322">
        <v>10800</v>
      </c>
      <c r="M286" s="371">
        <v>45371</v>
      </c>
      <c r="N286" s="322">
        <f>+Table7[[#This Row],[стойност с ДДС]]-Table7[[#This Row],[направено плащане]]</f>
        <v>0</v>
      </c>
      <c r="O286" s="327">
        <v>45372</v>
      </c>
    </row>
    <row r="287" spans="1:15" ht="20.100000000000001" customHeight="1" x14ac:dyDescent="0.3">
      <c r="A287" s="151" t="s">
        <v>118</v>
      </c>
      <c r="B287" s="378" t="s">
        <v>498</v>
      </c>
      <c r="C287" s="371">
        <v>45365</v>
      </c>
      <c r="D287" s="337"/>
      <c r="E287" s="323" t="s">
        <v>131</v>
      </c>
      <c r="F287" s="409" t="s">
        <v>500</v>
      </c>
      <c r="G287" s="322" t="s">
        <v>133</v>
      </c>
      <c r="H287" s="324">
        <v>70</v>
      </c>
      <c r="I287" s="325">
        <v>46</v>
      </c>
      <c r="J287" s="325">
        <f>I287*H287</f>
        <v>3220</v>
      </c>
      <c r="K287" s="318">
        <f t="shared" si="21"/>
        <v>3864</v>
      </c>
      <c r="L287" s="322">
        <v>3864</v>
      </c>
      <c r="M287" s="371">
        <v>45371</v>
      </c>
      <c r="N287" s="322">
        <f>+Table7[[#This Row],[стойност с ДДС]]-Table7[[#This Row],[направено плащане]]</f>
        <v>0</v>
      </c>
      <c r="O287" s="327">
        <v>45372</v>
      </c>
    </row>
    <row r="288" spans="1:15" ht="20.100000000000001" customHeight="1" x14ac:dyDescent="0.3">
      <c r="A288" s="151" t="s">
        <v>118</v>
      </c>
      <c r="B288" s="378" t="s">
        <v>498</v>
      </c>
      <c r="C288" s="371">
        <v>45365</v>
      </c>
      <c r="D288" s="337"/>
      <c r="E288" s="323" t="s">
        <v>131</v>
      </c>
      <c r="F288" s="409" t="s">
        <v>501</v>
      </c>
      <c r="G288" s="322" t="s">
        <v>133</v>
      </c>
      <c r="H288" s="324">
        <v>30</v>
      </c>
      <c r="I288" s="325">
        <v>46</v>
      </c>
      <c r="J288" s="325">
        <f>I288*H288</f>
        <v>1380</v>
      </c>
      <c r="K288" s="318">
        <f t="shared" si="21"/>
        <v>1656</v>
      </c>
      <c r="L288" s="322">
        <v>1656</v>
      </c>
      <c r="M288" s="371">
        <v>45371</v>
      </c>
      <c r="N288" s="322">
        <f>+Table7[[#This Row],[стойност с ДДС]]-Table7[[#This Row],[направено плащане]]</f>
        <v>0</v>
      </c>
      <c r="O288" s="327">
        <v>45372</v>
      </c>
    </row>
    <row r="289" spans="1:15" ht="20.100000000000001" customHeight="1" x14ac:dyDescent="0.3">
      <c r="A289" s="151" t="s">
        <v>118</v>
      </c>
      <c r="B289" s="378" t="s">
        <v>502</v>
      </c>
      <c r="C289" s="371">
        <v>45364</v>
      </c>
      <c r="D289" s="337"/>
      <c r="E289" s="323" t="s">
        <v>131</v>
      </c>
      <c r="F289" s="409" t="s">
        <v>503</v>
      </c>
      <c r="G289" s="322" t="s">
        <v>133</v>
      </c>
      <c r="H289" s="324">
        <v>80</v>
      </c>
      <c r="I289" s="325">
        <v>43.5</v>
      </c>
      <c r="J289" s="325">
        <f t="shared" ref="J289:J300" si="22">I289*H289</f>
        <v>3480</v>
      </c>
      <c r="K289" s="318">
        <f t="shared" si="21"/>
        <v>4176</v>
      </c>
      <c r="L289" s="322">
        <v>4176</v>
      </c>
      <c r="M289" s="371">
        <v>45370</v>
      </c>
      <c r="N289" s="322">
        <f>+Table7[[#This Row],[стойност с ДДС]]-Table7[[#This Row],[направено плащане]]</f>
        <v>0</v>
      </c>
      <c r="O289" s="340">
        <v>45371</v>
      </c>
    </row>
    <row r="290" spans="1:15" ht="20.100000000000001" customHeight="1" x14ac:dyDescent="0.3">
      <c r="A290" s="151" t="s">
        <v>118</v>
      </c>
      <c r="B290" s="378" t="s">
        <v>504</v>
      </c>
      <c r="C290" s="371">
        <v>45363</v>
      </c>
      <c r="D290" s="337"/>
      <c r="E290" s="323" t="s">
        <v>131</v>
      </c>
      <c r="F290" s="409" t="s">
        <v>505</v>
      </c>
      <c r="G290" s="322" t="s">
        <v>133</v>
      </c>
      <c r="H290" s="324">
        <v>80</v>
      </c>
      <c r="I290" s="325">
        <v>44</v>
      </c>
      <c r="J290" s="325">
        <f t="shared" si="22"/>
        <v>3520</v>
      </c>
      <c r="K290" s="318">
        <f t="shared" si="21"/>
        <v>4224</v>
      </c>
      <c r="L290" s="322">
        <v>4224</v>
      </c>
      <c r="M290" s="371">
        <v>45369</v>
      </c>
      <c r="N290" s="322">
        <f>+Table7[[#This Row],[стойност с ДДС]]-Table7[[#This Row],[направено плащане]]</f>
        <v>0</v>
      </c>
      <c r="O290" s="340">
        <v>45370</v>
      </c>
    </row>
    <row r="291" spans="1:15" ht="20.100000000000001" customHeight="1" x14ac:dyDescent="0.3">
      <c r="A291" s="151" t="s">
        <v>268</v>
      </c>
      <c r="B291" s="378" t="s">
        <v>506</v>
      </c>
      <c r="C291" s="371">
        <v>45364</v>
      </c>
      <c r="D291" s="337"/>
      <c r="E291" s="323" t="s">
        <v>131</v>
      </c>
      <c r="F291" s="409"/>
      <c r="G291" s="322" t="s">
        <v>133</v>
      </c>
      <c r="H291" s="324">
        <v>100</v>
      </c>
      <c r="I291" s="325">
        <v>44</v>
      </c>
      <c r="J291" s="325">
        <f t="shared" si="22"/>
        <v>4400</v>
      </c>
      <c r="K291" s="318">
        <f t="shared" si="21"/>
        <v>5280</v>
      </c>
      <c r="L291" s="322">
        <v>5280</v>
      </c>
      <c r="M291" s="371">
        <v>45370</v>
      </c>
      <c r="N291" s="322">
        <f>+Table7[[#This Row],[стойност с ДДС]]-Table7[[#This Row],[направено плащане]]</f>
        <v>0</v>
      </c>
      <c r="O291" s="340">
        <v>45371</v>
      </c>
    </row>
    <row r="292" spans="1:15" ht="20.100000000000001" customHeight="1" x14ac:dyDescent="0.3">
      <c r="A292" s="151" t="s">
        <v>352</v>
      </c>
      <c r="B292" s="378" t="s">
        <v>507</v>
      </c>
      <c r="C292" s="371">
        <v>45363</v>
      </c>
      <c r="D292" s="337"/>
      <c r="E292" s="323" t="s">
        <v>131</v>
      </c>
      <c r="F292" s="409" t="s">
        <v>508</v>
      </c>
      <c r="G292" s="322" t="s">
        <v>133</v>
      </c>
      <c r="H292" s="324">
        <v>100</v>
      </c>
      <c r="I292" s="325">
        <v>43.5</v>
      </c>
      <c r="J292" s="325">
        <f t="shared" si="22"/>
        <v>4350</v>
      </c>
      <c r="K292" s="318">
        <f t="shared" si="21"/>
        <v>5220</v>
      </c>
      <c r="L292" s="322">
        <v>5220</v>
      </c>
      <c r="M292" s="371">
        <v>45366</v>
      </c>
      <c r="N292" s="322">
        <f>+Table7[[#This Row],[стойност с ДДС]]-Table7[[#This Row],[направено плащане]]</f>
        <v>0</v>
      </c>
      <c r="O292" s="340"/>
    </row>
    <row r="293" spans="1:15" ht="20.100000000000001" customHeight="1" x14ac:dyDescent="0.3">
      <c r="A293" s="151" t="s">
        <v>114</v>
      </c>
      <c r="B293" s="378" t="s">
        <v>509</v>
      </c>
      <c r="C293" s="371">
        <v>45351</v>
      </c>
      <c r="D293" s="337"/>
      <c r="E293" s="323" t="s">
        <v>131</v>
      </c>
      <c r="F293" s="409"/>
      <c r="G293" s="322" t="s">
        <v>133</v>
      </c>
      <c r="H293" s="324">
        <v>50</v>
      </c>
      <c r="I293" s="325">
        <v>46</v>
      </c>
      <c r="J293" s="325">
        <f t="shared" si="22"/>
        <v>2300</v>
      </c>
      <c r="K293" s="318">
        <f>+Table7[[#This Row],[стойност]]</f>
        <v>2300</v>
      </c>
      <c r="L293" s="318">
        <f>+Table7[[#This Row],[стойност]]</f>
        <v>2300</v>
      </c>
      <c r="M293" s="371">
        <v>45365</v>
      </c>
      <c r="N293" s="322">
        <f>+Table7[[#This Row],[стойност с ДДС]]-Table7[[#This Row],[направено плащане]]</f>
        <v>0</v>
      </c>
      <c r="O293" s="340">
        <v>45358</v>
      </c>
    </row>
    <row r="294" spans="1:15" ht="20.100000000000001" customHeight="1" x14ac:dyDescent="0.3">
      <c r="A294" s="151" t="s">
        <v>114</v>
      </c>
      <c r="B294" s="378" t="s">
        <v>510</v>
      </c>
      <c r="C294" s="371">
        <v>45363</v>
      </c>
      <c r="D294" s="337"/>
      <c r="E294" s="323" t="s">
        <v>131</v>
      </c>
      <c r="F294" s="409"/>
      <c r="G294" s="322" t="s">
        <v>133</v>
      </c>
      <c r="H294" s="324">
        <v>120</v>
      </c>
      <c r="I294" s="325">
        <v>44.2</v>
      </c>
      <c r="J294" s="325">
        <f t="shared" si="22"/>
        <v>5304</v>
      </c>
      <c r="K294" s="318">
        <f>+Table7[[#This Row],[стойност]]</f>
        <v>5304</v>
      </c>
      <c r="L294" s="318">
        <f>+Table7[[#This Row],[стойност]]</f>
        <v>5304</v>
      </c>
      <c r="M294" s="371">
        <v>45369</v>
      </c>
      <c r="N294" s="322">
        <f>+Table7[[#This Row],[стойност с ДДС]]-Table7[[#This Row],[направено плащане]]</f>
        <v>0</v>
      </c>
      <c r="O294" s="340">
        <v>45370</v>
      </c>
    </row>
    <row r="295" spans="1:15" ht="20.100000000000001" customHeight="1" x14ac:dyDescent="0.3">
      <c r="A295" s="151" t="s">
        <v>114</v>
      </c>
      <c r="B295" s="378" t="s">
        <v>511</v>
      </c>
      <c r="C295" s="371">
        <v>45350</v>
      </c>
      <c r="D295" s="337"/>
      <c r="E295" s="323" t="s">
        <v>131</v>
      </c>
      <c r="F295" s="409"/>
      <c r="G295" s="322" t="s">
        <v>133</v>
      </c>
      <c r="H295" s="324">
        <v>100</v>
      </c>
      <c r="I295" s="325">
        <v>45.55</v>
      </c>
      <c r="J295" s="325">
        <f t="shared" si="22"/>
        <v>4555</v>
      </c>
      <c r="K295" s="318">
        <f>+Table7[[#This Row],[стойност]]</f>
        <v>4555</v>
      </c>
      <c r="L295" s="322">
        <v>4555</v>
      </c>
      <c r="M295" s="371">
        <v>45365</v>
      </c>
      <c r="N295" s="322">
        <f>+Table7[[#This Row],[стойност с ДДС]]-Table7[[#This Row],[направено плащане]]</f>
        <v>0</v>
      </c>
      <c r="O295" s="340">
        <v>45357</v>
      </c>
    </row>
    <row r="296" spans="1:15" ht="20.100000000000001" customHeight="1" x14ac:dyDescent="0.3">
      <c r="A296" s="151" t="s">
        <v>114</v>
      </c>
      <c r="B296" s="378" t="s">
        <v>511</v>
      </c>
      <c r="C296" s="371">
        <v>45350</v>
      </c>
      <c r="D296" s="337"/>
      <c r="E296" s="323" t="s">
        <v>131</v>
      </c>
      <c r="F296" s="409"/>
      <c r="G296" s="322" t="s">
        <v>133</v>
      </c>
      <c r="H296" s="324">
        <v>100</v>
      </c>
      <c r="I296" s="325">
        <v>45.5</v>
      </c>
      <c r="J296" s="325">
        <f>I296*H296</f>
        <v>4550</v>
      </c>
      <c r="K296" s="318">
        <f>+Table7[[#This Row],[стойност]]</f>
        <v>4550</v>
      </c>
      <c r="L296" s="322">
        <v>4550</v>
      </c>
      <c r="M296" s="371">
        <v>45365</v>
      </c>
      <c r="N296" s="322">
        <f>+Table7[[#This Row],[стойност с ДДС]]-Table7[[#This Row],[направено плащане]]</f>
        <v>0</v>
      </c>
      <c r="O296" s="340">
        <v>45357</v>
      </c>
    </row>
    <row r="297" spans="1:15" ht="20.100000000000001" customHeight="1" x14ac:dyDescent="0.3">
      <c r="A297" s="151" t="s">
        <v>159</v>
      </c>
      <c r="B297" s="378" t="s">
        <v>512</v>
      </c>
      <c r="C297" s="371">
        <v>45364</v>
      </c>
      <c r="D297" s="337"/>
      <c r="E297" s="323" t="s">
        <v>131</v>
      </c>
      <c r="F297" s="409" t="s">
        <v>513</v>
      </c>
      <c r="G297" s="322" t="s">
        <v>133</v>
      </c>
      <c r="H297" s="324">
        <v>180</v>
      </c>
      <c r="I297" s="325">
        <f>22.49684*1.95583</f>
        <v>43.999994577199999</v>
      </c>
      <c r="J297" s="325">
        <f t="shared" si="22"/>
        <v>7919.9990238959999</v>
      </c>
      <c r="K297" s="318">
        <v>7921.9</v>
      </c>
      <c r="L297" s="322">
        <v>7921.9</v>
      </c>
      <c r="M297" s="371">
        <v>45371</v>
      </c>
      <c r="N297" s="322">
        <f>+Table7[[#This Row],[стойност с ДДС]]-Table7[[#This Row],[направено плащане]]</f>
        <v>0</v>
      </c>
      <c r="O297" s="340">
        <v>45372</v>
      </c>
    </row>
    <row r="298" spans="1:15" ht="20.100000000000001" customHeight="1" x14ac:dyDescent="0.3">
      <c r="A298" s="151" t="s">
        <v>157</v>
      </c>
      <c r="B298" s="378" t="s">
        <v>514</v>
      </c>
      <c r="C298" s="371">
        <v>45364</v>
      </c>
      <c r="D298" s="337"/>
      <c r="E298" s="323" t="s">
        <v>131</v>
      </c>
      <c r="F298" s="409" t="s">
        <v>279</v>
      </c>
      <c r="G298" s="322" t="s">
        <v>133</v>
      </c>
      <c r="H298" s="324">
        <v>20</v>
      </c>
      <c r="I298" s="325">
        <v>43.55</v>
      </c>
      <c r="J298" s="325">
        <f t="shared" si="22"/>
        <v>871</v>
      </c>
      <c r="K298" s="318">
        <f t="shared" ref="K298:K305" si="23">J298*1.2</f>
        <v>1045.2</v>
      </c>
      <c r="L298" s="322">
        <v>1045.2</v>
      </c>
      <c r="M298" s="371">
        <v>45369</v>
      </c>
      <c r="N298" s="322">
        <f>+Table7[[#This Row],[стойност с ДДС]]-Table7[[#This Row],[направено плащане]]</f>
        <v>0</v>
      </c>
      <c r="O298" s="340">
        <v>45370</v>
      </c>
    </row>
    <row r="299" spans="1:15" ht="20.100000000000001" customHeight="1" x14ac:dyDescent="0.3">
      <c r="A299" s="206" t="s">
        <v>37</v>
      </c>
      <c r="B299" s="378" t="s">
        <v>515</v>
      </c>
      <c r="C299" s="371">
        <v>45363</v>
      </c>
      <c r="D299" s="337"/>
      <c r="E299" s="323" t="s">
        <v>131</v>
      </c>
      <c r="F299" s="409" t="s">
        <v>516</v>
      </c>
      <c r="G299" s="322" t="s">
        <v>133</v>
      </c>
      <c r="H299" s="324">
        <v>150</v>
      </c>
      <c r="I299" s="325">
        <v>44</v>
      </c>
      <c r="J299" s="325">
        <f t="shared" si="22"/>
        <v>6600</v>
      </c>
      <c r="K299" s="318">
        <f t="shared" si="23"/>
        <v>7920</v>
      </c>
      <c r="L299" s="322">
        <v>7920</v>
      </c>
      <c r="M299" s="371">
        <v>45366</v>
      </c>
      <c r="N299" s="322">
        <f>+Table7[[#This Row],[стойност с ДДС]]-Table7[[#This Row],[направено плащане]]</f>
        <v>0</v>
      </c>
      <c r="O299" s="340">
        <v>45369</v>
      </c>
    </row>
    <row r="300" spans="1:15" ht="20.100000000000001" customHeight="1" x14ac:dyDescent="0.3">
      <c r="A300" s="206" t="s">
        <v>37</v>
      </c>
      <c r="B300" s="378" t="s">
        <v>517</v>
      </c>
      <c r="C300" s="371">
        <v>45362</v>
      </c>
      <c r="D300" s="337"/>
      <c r="E300" s="323" t="s">
        <v>131</v>
      </c>
      <c r="F300" s="409"/>
      <c r="G300" s="322" t="s">
        <v>133</v>
      </c>
      <c r="H300" s="324">
        <v>200</v>
      </c>
      <c r="I300" s="325">
        <v>44.6</v>
      </c>
      <c r="J300" s="325">
        <f t="shared" si="22"/>
        <v>8920</v>
      </c>
      <c r="K300" s="318">
        <f t="shared" si="23"/>
        <v>10704</v>
      </c>
      <c r="L300" s="322">
        <v>10704</v>
      </c>
      <c r="M300" s="371">
        <v>45366</v>
      </c>
      <c r="N300" s="322">
        <f>+Table7[[#This Row],[стойност с ДДС]]-Table7[[#This Row],[направено плащане]]</f>
        <v>0</v>
      </c>
      <c r="O300" s="340">
        <v>45366</v>
      </c>
    </row>
    <row r="301" spans="1:15" ht="20.100000000000001" customHeight="1" x14ac:dyDescent="0.3">
      <c r="A301" s="151" t="s">
        <v>444</v>
      </c>
      <c r="B301" s="378" t="s">
        <v>518</v>
      </c>
      <c r="C301" s="371">
        <v>45359</v>
      </c>
      <c r="D301" s="337"/>
      <c r="E301" s="323" t="s">
        <v>131</v>
      </c>
      <c r="F301" s="409" t="s">
        <v>519</v>
      </c>
      <c r="G301" s="322" t="s">
        <v>133</v>
      </c>
      <c r="H301" s="324">
        <v>10</v>
      </c>
      <c r="I301" s="325">
        <v>46</v>
      </c>
      <c r="J301" s="325">
        <f>I301*H301</f>
        <v>460</v>
      </c>
      <c r="K301" s="318">
        <f t="shared" si="23"/>
        <v>552</v>
      </c>
      <c r="L301" s="322">
        <v>552</v>
      </c>
      <c r="M301" s="371">
        <v>45371</v>
      </c>
      <c r="N301" s="322">
        <f>+Table7[[#This Row],[стойност с ДДС]]-Table7[[#This Row],[направено плащане]]</f>
        <v>0</v>
      </c>
      <c r="O301" s="340">
        <v>45364</v>
      </c>
    </row>
    <row r="302" spans="1:15" ht="20.100000000000001" customHeight="1" x14ac:dyDescent="0.3">
      <c r="A302" s="151" t="s">
        <v>444</v>
      </c>
      <c r="B302" s="378" t="s">
        <v>517</v>
      </c>
      <c r="C302" s="371">
        <v>45363</v>
      </c>
      <c r="D302" s="337"/>
      <c r="E302" s="323" t="s">
        <v>131</v>
      </c>
      <c r="F302" s="409" t="s">
        <v>520</v>
      </c>
      <c r="G302" s="322" t="s">
        <v>133</v>
      </c>
      <c r="H302" s="324">
        <v>100</v>
      </c>
      <c r="I302" s="325">
        <v>44</v>
      </c>
      <c r="J302" s="325">
        <f>I302*H302</f>
        <v>4400</v>
      </c>
      <c r="K302" s="318">
        <f t="shared" si="23"/>
        <v>5280</v>
      </c>
      <c r="L302" s="322">
        <v>5280</v>
      </c>
      <c r="M302" s="371">
        <v>45371</v>
      </c>
      <c r="N302" s="322">
        <f>+Table7[[#This Row],[стойност с ДДС]]-Table7[[#This Row],[направено плащане]]</f>
        <v>0</v>
      </c>
      <c r="O302" s="340">
        <v>45521</v>
      </c>
    </row>
    <row r="303" spans="1:15" ht="20.100000000000001" customHeight="1" x14ac:dyDescent="0.3">
      <c r="A303" s="151" t="s">
        <v>118</v>
      </c>
      <c r="B303" s="378" t="s">
        <v>521</v>
      </c>
      <c r="C303" s="371">
        <v>45366</v>
      </c>
      <c r="D303" s="337"/>
      <c r="E303" s="323" t="s">
        <v>131</v>
      </c>
      <c r="F303" s="409" t="s">
        <v>522</v>
      </c>
      <c r="G303" s="322" t="s">
        <v>133</v>
      </c>
      <c r="H303" s="324">
        <v>57</v>
      </c>
      <c r="I303" s="325">
        <v>47.81</v>
      </c>
      <c r="J303" s="325">
        <f>I303*H303</f>
        <v>2725.17</v>
      </c>
      <c r="K303" s="318">
        <f t="shared" si="23"/>
        <v>3270.2040000000002</v>
      </c>
      <c r="L303" s="322">
        <v>3170.2</v>
      </c>
      <c r="M303" s="371">
        <v>45372</v>
      </c>
      <c r="N303" s="322">
        <f>+Table7[[#This Row],[стойност с ДДС]]-Table7[[#This Row],[направено плащане]]</f>
        <v>100.00400000000036</v>
      </c>
      <c r="O303" s="340">
        <v>45373</v>
      </c>
    </row>
    <row r="304" spans="1:15" ht="20.100000000000001" customHeight="1" x14ac:dyDescent="0.3">
      <c r="A304" s="151" t="s">
        <v>118</v>
      </c>
      <c r="B304" s="378" t="s">
        <v>523</v>
      </c>
      <c r="C304" s="371">
        <v>45366</v>
      </c>
      <c r="D304" s="337"/>
      <c r="E304" s="323" t="s">
        <v>131</v>
      </c>
      <c r="F304" s="409" t="s">
        <v>524</v>
      </c>
      <c r="G304" s="322" t="s">
        <v>133</v>
      </c>
      <c r="H304" s="324">
        <v>400</v>
      </c>
      <c r="I304" s="325">
        <v>46</v>
      </c>
      <c r="J304" s="325">
        <f>I304*H304</f>
        <v>18400</v>
      </c>
      <c r="K304" s="318">
        <f t="shared" si="23"/>
        <v>22080</v>
      </c>
      <c r="L304" s="322">
        <v>22080</v>
      </c>
      <c r="M304" s="371">
        <v>45372</v>
      </c>
      <c r="N304" s="322"/>
      <c r="O304" s="340">
        <v>45373</v>
      </c>
    </row>
    <row r="305" spans="1:15" ht="20.100000000000001" customHeight="1" x14ac:dyDescent="0.3">
      <c r="A305" s="151" t="s">
        <v>118</v>
      </c>
      <c r="B305" s="378" t="s">
        <v>525</v>
      </c>
      <c r="C305" s="371">
        <v>45368</v>
      </c>
      <c r="D305" s="337"/>
      <c r="E305" s="323" t="s">
        <v>131</v>
      </c>
      <c r="F305" s="409" t="s">
        <v>526</v>
      </c>
      <c r="G305" s="322" t="s">
        <v>133</v>
      </c>
      <c r="H305" s="324">
        <v>200</v>
      </c>
      <c r="I305" s="325">
        <v>46.5</v>
      </c>
      <c r="J305" s="325">
        <f>I305*H305</f>
        <v>9300</v>
      </c>
      <c r="K305" s="318">
        <f t="shared" si="23"/>
        <v>11160</v>
      </c>
      <c r="L305" s="322">
        <v>11160</v>
      </c>
      <c r="M305" s="371">
        <v>45372</v>
      </c>
      <c r="N305" s="322">
        <f>+Table7[[#This Row],[стойност с ДДС]]-Table7[[#This Row],[направено плащане]]</f>
        <v>0</v>
      </c>
      <c r="O305" s="340">
        <v>45373</v>
      </c>
    </row>
    <row r="306" spans="1:15" ht="20.100000000000001" customHeight="1" x14ac:dyDescent="0.3">
      <c r="A306" s="151" t="s">
        <v>527</v>
      </c>
      <c r="B306" s="378" t="s">
        <v>528</v>
      </c>
      <c r="C306" s="371">
        <v>44805</v>
      </c>
      <c r="D306" s="337"/>
      <c r="E306" s="332" t="s">
        <v>450</v>
      </c>
      <c r="F306" s="409" t="s">
        <v>529</v>
      </c>
      <c r="G306" s="322"/>
      <c r="H306" s="324">
        <v>1</v>
      </c>
      <c r="I306" s="325">
        <v>2112.8000000000002</v>
      </c>
      <c r="J306" s="325">
        <v>2112.8000000000002</v>
      </c>
      <c r="K306" s="318">
        <v>2112.8000000000002</v>
      </c>
      <c r="L306" s="322">
        <v>2112.8000000000002</v>
      </c>
      <c r="M306" s="371">
        <v>45370</v>
      </c>
      <c r="N306" s="322">
        <f>+Table7[[#This Row],[стойност с ДДС]]-Table7[[#This Row],[направено плащане]]</f>
        <v>0</v>
      </c>
      <c r="O306" s="327"/>
    </row>
    <row r="307" spans="1:15" ht="20.100000000000001" customHeight="1" x14ac:dyDescent="0.3">
      <c r="A307" s="151" t="s">
        <v>527</v>
      </c>
      <c r="B307" s="378" t="s">
        <v>530</v>
      </c>
      <c r="C307" s="371">
        <v>45205</v>
      </c>
      <c r="D307" s="337"/>
      <c r="E307" s="332" t="s">
        <v>450</v>
      </c>
      <c r="F307" s="409" t="s">
        <v>531</v>
      </c>
      <c r="G307" s="322"/>
      <c r="H307" s="324">
        <v>1</v>
      </c>
      <c r="I307" s="325">
        <v>2676.12</v>
      </c>
      <c r="J307" s="325">
        <f>I307*H307</f>
        <v>2676.12</v>
      </c>
      <c r="K307" s="318">
        <v>2676.12</v>
      </c>
      <c r="L307" s="322">
        <v>2676.12</v>
      </c>
      <c r="M307" s="371">
        <v>45370</v>
      </c>
      <c r="N307" s="322">
        <f>+Table7[[#This Row],[стойност с ДДС]]-Table7[[#This Row],[направено плащане]]</f>
        <v>0</v>
      </c>
      <c r="O307" s="327"/>
    </row>
    <row r="308" spans="1:15" ht="20.100000000000001" customHeight="1" x14ac:dyDescent="0.3">
      <c r="A308" s="97" t="s">
        <v>157</v>
      </c>
      <c r="B308" s="378" t="s">
        <v>532</v>
      </c>
      <c r="C308" s="371">
        <v>45369</v>
      </c>
      <c r="D308" s="337"/>
      <c r="E308" s="331" t="s">
        <v>131</v>
      </c>
      <c r="F308" s="411"/>
      <c r="G308" s="327"/>
      <c r="H308" s="324">
        <v>80</v>
      </c>
      <c r="I308" s="325">
        <v>47</v>
      </c>
      <c r="J308" s="325">
        <f>I308*H308</f>
        <v>3760</v>
      </c>
      <c r="K308" s="318">
        <f>J308*1.2</f>
        <v>4512</v>
      </c>
      <c r="L308" s="322"/>
      <c r="M308" s="371"/>
      <c r="N308" s="322">
        <f>+Table7[[#This Row],[стойност с ДДС]]-Table7[[#This Row],[направено плащане]]</f>
        <v>4512</v>
      </c>
      <c r="O308" s="327">
        <v>45373</v>
      </c>
    </row>
    <row r="309" spans="1:15" ht="20.100000000000001" customHeight="1" x14ac:dyDescent="0.3">
      <c r="A309" s="151" t="s">
        <v>157</v>
      </c>
      <c r="B309" s="378" t="s">
        <v>532</v>
      </c>
      <c r="C309" s="371">
        <v>45369</v>
      </c>
      <c r="D309" s="337"/>
      <c r="E309" s="331" t="s">
        <v>131</v>
      </c>
      <c r="F309" s="409"/>
      <c r="G309" s="322"/>
      <c r="H309" s="324">
        <v>350</v>
      </c>
      <c r="I309" s="325">
        <v>47.9</v>
      </c>
      <c r="J309" s="325">
        <f>+Table7[[#This Row],[единична цена]]*Table7[[#This Row],[Количество]]</f>
        <v>16765</v>
      </c>
      <c r="K309" s="318">
        <f>+Table7[[#This Row],[стойност]]*1.2</f>
        <v>20118</v>
      </c>
      <c r="L309" s="322"/>
      <c r="M309" s="371"/>
      <c r="N309" s="322">
        <f>+Table7[[#This Row],[стойност с ДДС]]-Table7[[#This Row],[направено плащане]]</f>
        <v>20118</v>
      </c>
      <c r="O309" s="327">
        <v>45373</v>
      </c>
    </row>
    <row r="310" spans="1:15" ht="20.100000000000001" customHeight="1" x14ac:dyDescent="0.3">
      <c r="A310" s="151" t="s">
        <v>256</v>
      </c>
      <c r="B310" s="378" t="s">
        <v>533</v>
      </c>
      <c r="C310" s="371">
        <v>45365</v>
      </c>
      <c r="D310" s="337"/>
      <c r="E310" s="331" t="s">
        <v>131</v>
      </c>
      <c r="F310" s="409" t="s">
        <v>534</v>
      </c>
      <c r="G310" s="322"/>
      <c r="H310" s="324">
        <v>4843</v>
      </c>
      <c r="I310" s="325">
        <v>50</v>
      </c>
      <c r="J310" s="325">
        <f>I310*H310</f>
        <v>242150</v>
      </c>
      <c r="K310" s="318">
        <f>J310*1.2</f>
        <v>290580</v>
      </c>
      <c r="L310" s="322"/>
      <c r="M310" s="371"/>
      <c r="N310" s="322">
        <f>+Table7[[#This Row],[стойност с ДДС]]-Table7[[#This Row],[направено плащане]]</f>
        <v>290580</v>
      </c>
      <c r="O310" s="340">
        <v>45365</v>
      </c>
    </row>
    <row r="311" spans="1:15" ht="20.100000000000001" customHeight="1" x14ac:dyDescent="0.3">
      <c r="A311" s="210" t="s">
        <v>413</v>
      </c>
      <c r="B311" s="378" t="s">
        <v>535</v>
      </c>
      <c r="C311" s="371">
        <v>45351</v>
      </c>
      <c r="D311" s="337"/>
      <c r="E311" s="332" t="s">
        <v>415</v>
      </c>
      <c r="F311" s="409" t="s">
        <v>536</v>
      </c>
      <c r="G311" s="322"/>
      <c r="H311" s="324">
        <v>1</v>
      </c>
      <c r="I311" s="325">
        <v>3000.73</v>
      </c>
      <c r="J311" s="325">
        <f>I311*H311</f>
        <v>3000.73</v>
      </c>
      <c r="K311" s="318">
        <v>3000.73</v>
      </c>
      <c r="L311" s="322">
        <v>3000.73</v>
      </c>
      <c r="M311" s="371">
        <v>45371</v>
      </c>
      <c r="N311" s="322">
        <f>+Table7[[#This Row],[стойност с ДДС]]-Table7[[#This Row],[направено плащане]]</f>
        <v>0</v>
      </c>
      <c r="O311" s="341">
        <v>45366</v>
      </c>
    </row>
    <row r="312" spans="1:15" ht="20.100000000000001" customHeight="1" x14ac:dyDescent="0.3">
      <c r="A312" s="151" t="s">
        <v>157</v>
      </c>
      <c r="B312" s="378" t="s">
        <v>537</v>
      </c>
      <c r="C312" s="371">
        <v>45369</v>
      </c>
      <c r="D312" s="337"/>
      <c r="E312" s="331" t="s">
        <v>131</v>
      </c>
      <c r="F312" s="409"/>
      <c r="G312" s="322"/>
      <c r="H312" s="324">
        <v>50</v>
      </c>
      <c r="I312" s="325">
        <v>47</v>
      </c>
      <c r="J312" s="325">
        <f>+Table7[[#This Row],[единична цена]]*Table7[[#This Row],[Количество]]</f>
        <v>2350</v>
      </c>
      <c r="K312" s="318">
        <f t="shared" ref="K312" si="24">J312*1.2</f>
        <v>2820</v>
      </c>
      <c r="L312" s="322">
        <v>2820</v>
      </c>
      <c r="M312" s="371">
        <v>45372</v>
      </c>
      <c r="N312" s="322">
        <f>+Table7[[#This Row],[стойност с ДДС]]-Table7[[#This Row],[направено плащане]]</f>
        <v>0</v>
      </c>
      <c r="O312" s="327">
        <v>45373</v>
      </c>
    </row>
    <row r="313" spans="1:15" ht="20.100000000000001" customHeight="1" x14ac:dyDescent="0.3">
      <c r="A313" s="151" t="s">
        <v>268</v>
      </c>
      <c r="B313" s="378" t="s">
        <v>538</v>
      </c>
      <c r="C313" s="371">
        <v>45365</v>
      </c>
      <c r="D313" s="337"/>
      <c r="E313" s="331" t="s">
        <v>131</v>
      </c>
      <c r="F313" s="387" t="s">
        <v>539</v>
      </c>
      <c r="G313" s="322"/>
      <c r="H313" s="324"/>
      <c r="I313" s="325"/>
      <c r="J313" s="325">
        <v>49.01</v>
      </c>
      <c r="K313" s="318">
        <v>48895.75</v>
      </c>
      <c r="L313" s="322">
        <v>48895.75</v>
      </c>
      <c r="M313" s="373">
        <v>45379</v>
      </c>
      <c r="N313" s="322">
        <f>+Table7[[#This Row],[стойност с ДДС]]-Table7[[#This Row],[направено плащане]]</f>
        <v>0</v>
      </c>
      <c r="O313" s="327">
        <v>45366</v>
      </c>
    </row>
    <row r="314" spans="1:15" ht="20.100000000000001" customHeight="1" x14ac:dyDescent="0.3">
      <c r="A314" s="151" t="s">
        <v>268</v>
      </c>
      <c r="B314" s="378" t="s">
        <v>540</v>
      </c>
      <c r="C314" s="371">
        <v>45363</v>
      </c>
      <c r="D314" s="337"/>
      <c r="E314" s="331" t="s">
        <v>131</v>
      </c>
      <c r="F314" s="387" t="s">
        <v>541</v>
      </c>
      <c r="G314" s="322"/>
      <c r="H314" s="324"/>
      <c r="I314" s="325"/>
      <c r="J314" s="325">
        <v>47.73</v>
      </c>
      <c r="K314" s="322">
        <v>146687.25</v>
      </c>
      <c r="L314" s="322">
        <v>146687.25</v>
      </c>
      <c r="M314" s="373">
        <v>45379</v>
      </c>
      <c r="N314" s="322">
        <f>+Table7[[#This Row],[стойност с ДДС]]-Table7[[#This Row],[направено плащане]]</f>
        <v>0</v>
      </c>
      <c r="O314" s="327">
        <v>45379</v>
      </c>
    </row>
    <row r="315" spans="1:15" ht="20.100000000000001" customHeight="1" x14ac:dyDescent="0.3">
      <c r="A315" s="206" t="s">
        <v>420</v>
      </c>
      <c r="B315" s="381" t="s">
        <v>542</v>
      </c>
      <c r="C315" s="373">
        <v>45370</v>
      </c>
      <c r="D315" s="343"/>
      <c r="E315" s="332" t="s">
        <v>422</v>
      </c>
      <c r="F315" s="412"/>
      <c r="G315" s="342"/>
      <c r="H315" s="344"/>
      <c r="I315" s="345">
        <v>1</v>
      </c>
      <c r="J315" s="345">
        <v>453.72</v>
      </c>
      <c r="K315" s="320">
        <v>544.46</v>
      </c>
      <c r="L315" s="342"/>
      <c r="M315" s="373"/>
      <c r="N315" s="342">
        <f>+Table7[[#This Row],[стойност с ДДС]]-Table7[[#This Row],[направено плащане]]</f>
        <v>544.46</v>
      </c>
      <c r="O315" s="346">
        <v>45400</v>
      </c>
    </row>
    <row r="316" spans="1:15" ht="20.100000000000001" customHeight="1" x14ac:dyDescent="0.3">
      <c r="A316" s="206" t="s">
        <v>543</v>
      </c>
      <c r="B316" s="378" t="s">
        <v>544</v>
      </c>
      <c r="C316" s="371">
        <v>45394</v>
      </c>
      <c r="D316" s="337"/>
      <c r="E316" s="332" t="s">
        <v>422</v>
      </c>
      <c r="F316" s="409"/>
      <c r="G316" s="322"/>
      <c r="H316" s="324"/>
      <c r="I316" s="325">
        <v>30</v>
      </c>
      <c r="J316" s="325">
        <v>30</v>
      </c>
      <c r="K316" s="318">
        <f>J316*1.2</f>
        <v>36</v>
      </c>
      <c r="L316" s="322">
        <v>36</v>
      </c>
      <c r="M316" s="371">
        <v>45373</v>
      </c>
      <c r="N316" s="322">
        <f>+Table7[[#This Row],[стойност с ДДС]]-Table7[[#This Row],[направено плащане]]</f>
        <v>0</v>
      </c>
      <c r="O316" s="327"/>
    </row>
    <row r="317" spans="1:15" ht="20.100000000000001" customHeight="1" x14ac:dyDescent="0.3">
      <c r="A317" s="206" t="s">
        <v>543</v>
      </c>
      <c r="B317" s="378" t="s">
        <v>545</v>
      </c>
      <c r="C317" s="373">
        <v>45379</v>
      </c>
      <c r="D317" s="343"/>
      <c r="E317" s="332" t="s">
        <v>422</v>
      </c>
      <c r="F317" s="412"/>
      <c r="G317" s="342"/>
      <c r="H317" s="344"/>
      <c r="I317" s="345">
        <v>30</v>
      </c>
      <c r="J317" s="345">
        <v>30</v>
      </c>
      <c r="K317" s="320">
        <v>36</v>
      </c>
      <c r="L317" s="342">
        <v>36</v>
      </c>
      <c r="M317" s="373">
        <v>45373</v>
      </c>
      <c r="N317" s="342">
        <f>+Table7[[#This Row],[стойност с ДДС]]-Table7[[#This Row],[направено плащане]]</f>
        <v>0</v>
      </c>
      <c r="O317" s="346"/>
    </row>
    <row r="318" spans="1:15" ht="20.100000000000001" customHeight="1" x14ac:dyDescent="0.3">
      <c r="A318" s="206" t="s">
        <v>268</v>
      </c>
      <c r="B318" s="381" t="s">
        <v>496</v>
      </c>
      <c r="C318" s="373">
        <v>45361</v>
      </c>
      <c r="D318" s="343"/>
      <c r="E318" s="323" t="s">
        <v>263</v>
      </c>
      <c r="F318" s="412"/>
      <c r="G318" s="342"/>
      <c r="H318" s="344">
        <v>80</v>
      </c>
      <c r="I318" s="345">
        <v>44.5</v>
      </c>
      <c r="J318" s="345">
        <f t="shared" ref="J318:J334" si="25">I318*H318</f>
        <v>3560</v>
      </c>
      <c r="K318" s="320">
        <f>J318*1.2</f>
        <v>4272</v>
      </c>
      <c r="L318" s="342"/>
      <c r="M318" s="373"/>
      <c r="N318" s="342">
        <f>+Table7[[#This Row],[стойност с ДДС]]-Table7[[#This Row],[направено плащане]]</f>
        <v>4272</v>
      </c>
      <c r="O318" s="346">
        <v>45366</v>
      </c>
    </row>
    <row r="319" spans="1:15" ht="20.100000000000001" customHeight="1" x14ac:dyDescent="0.3">
      <c r="A319" s="206" t="s">
        <v>157</v>
      </c>
      <c r="B319" s="381" t="s">
        <v>546</v>
      </c>
      <c r="C319" s="373">
        <v>45371</v>
      </c>
      <c r="D319" s="343"/>
      <c r="E319" s="331" t="s">
        <v>131</v>
      </c>
      <c r="F319" s="412"/>
      <c r="G319" s="342"/>
      <c r="H319" s="344">
        <v>200</v>
      </c>
      <c r="I319" s="345">
        <v>47.5</v>
      </c>
      <c r="J319" s="345">
        <f t="shared" si="25"/>
        <v>9500</v>
      </c>
      <c r="K319" s="320">
        <f t="shared" ref="K319:K324" si="26">J319*1.2</f>
        <v>11400</v>
      </c>
      <c r="L319" s="342">
        <v>11400</v>
      </c>
      <c r="M319" s="373">
        <v>45376</v>
      </c>
      <c r="N319" s="342">
        <f>+Table7[[#This Row],[стойност с ДДС]]-Table7[[#This Row],[направено плащане]]</f>
        <v>0</v>
      </c>
      <c r="O319" s="346">
        <v>45378</v>
      </c>
    </row>
    <row r="320" spans="1:15" ht="20.100000000000001" customHeight="1" x14ac:dyDescent="0.3">
      <c r="A320" s="206" t="s">
        <v>101</v>
      </c>
      <c r="B320" s="388" t="s">
        <v>547</v>
      </c>
      <c r="C320" s="373">
        <v>45369</v>
      </c>
      <c r="D320" s="343"/>
      <c r="E320" s="331" t="s">
        <v>131</v>
      </c>
      <c r="F320" s="412" t="s">
        <v>548</v>
      </c>
      <c r="G320" s="342"/>
      <c r="H320" s="344">
        <v>150</v>
      </c>
      <c r="I320" s="345">
        <v>47</v>
      </c>
      <c r="J320" s="345">
        <f t="shared" si="25"/>
        <v>7050</v>
      </c>
      <c r="K320" s="320">
        <f t="shared" si="26"/>
        <v>8460</v>
      </c>
      <c r="L320" s="342">
        <v>8460</v>
      </c>
      <c r="M320" s="373">
        <v>45373</v>
      </c>
      <c r="N320" s="342">
        <f>+Table7[[#This Row],[стойност с ДДС]]-Table7[[#This Row],[направено плащане]]</f>
        <v>0</v>
      </c>
      <c r="O320" s="346">
        <v>45378</v>
      </c>
    </row>
    <row r="321" spans="1:15" ht="20.100000000000001" customHeight="1" x14ac:dyDescent="0.3">
      <c r="A321" s="206" t="s">
        <v>352</v>
      </c>
      <c r="B321" s="381" t="s">
        <v>549</v>
      </c>
      <c r="C321" s="373">
        <v>45360</v>
      </c>
      <c r="D321" s="343"/>
      <c r="E321" s="331" t="s">
        <v>131</v>
      </c>
      <c r="F321" s="412" t="s">
        <v>550</v>
      </c>
      <c r="G321" s="342"/>
      <c r="H321" s="344">
        <v>120</v>
      </c>
      <c r="I321" s="345">
        <v>44.6</v>
      </c>
      <c r="J321" s="345">
        <f t="shared" si="25"/>
        <v>5352</v>
      </c>
      <c r="K321" s="320">
        <f t="shared" si="26"/>
        <v>6422.4</v>
      </c>
      <c r="L321" s="342">
        <v>6422.4</v>
      </c>
      <c r="M321" s="373">
        <v>45373</v>
      </c>
      <c r="N321" s="342">
        <f>+Table7[[#This Row],[стойност с ДДС]]-Table7[[#This Row],[направено плащане]]</f>
        <v>0</v>
      </c>
      <c r="O321" s="346">
        <v>45378</v>
      </c>
    </row>
    <row r="322" spans="1:15" ht="20.100000000000001" customHeight="1" x14ac:dyDescent="0.3">
      <c r="A322" s="206" t="s">
        <v>37</v>
      </c>
      <c r="B322" s="381" t="s">
        <v>551</v>
      </c>
      <c r="C322" s="373">
        <v>45372</v>
      </c>
      <c r="D322" s="343"/>
      <c r="E322" s="331" t="s">
        <v>131</v>
      </c>
      <c r="F322" s="412" t="s">
        <v>552</v>
      </c>
      <c r="G322" s="342"/>
      <c r="H322" s="344">
        <v>500</v>
      </c>
      <c r="I322" s="345">
        <v>47.5</v>
      </c>
      <c r="J322" s="345">
        <f t="shared" si="25"/>
        <v>23750</v>
      </c>
      <c r="K322" s="320">
        <f t="shared" si="26"/>
        <v>28500</v>
      </c>
      <c r="L322" s="342">
        <v>28500</v>
      </c>
      <c r="M322" s="373">
        <v>45377</v>
      </c>
      <c r="N322" s="342">
        <f>+Table7[[#This Row],[стойност с ДДС]]-Table7[[#This Row],[направено плащане]]</f>
        <v>0</v>
      </c>
      <c r="O322" s="346">
        <v>45378</v>
      </c>
    </row>
    <row r="323" spans="1:15" ht="20.100000000000001" customHeight="1" x14ac:dyDescent="0.3">
      <c r="A323" s="206" t="s">
        <v>37</v>
      </c>
      <c r="B323" s="381" t="s">
        <v>551</v>
      </c>
      <c r="C323" s="373">
        <v>45372</v>
      </c>
      <c r="D323" s="343"/>
      <c r="E323" s="331" t="s">
        <v>131</v>
      </c>
      <c r="F323" s="412" t="s">
        <v>553</v>
      </c>
      <c r="G323" s="342"/>
      <c r="H323" s="344">
        <v>500</v>
      </c>
      <c r="I323" s="345">
        <v>47.5</v>
      </c>
      <c r="J323" s="345">
        <f t="shared" si="25"/>
        <v>23750</v>
      </c>
      <c r="K323" s="320">
        <f t="shared" si="26"/>
        <v>28500</v>
      </c>
      <c r="L323" s="342">
        <v>28500</v>
      </c>
      <c r="M323" s="373">
        <v>45377</v>
      </c>
      <c r="N323" s="342">
        <f>+Table7[[#This Row],[стойност с ДДС]]-Table7[[#This Row],[направено плащане]]</f>
        <v>0</v>
      </c>
      <c r="O323" s="346">
        <v>45378</v>
      </c>
    </row>
    <row r="324" spans="1:15" ht="20.100000000000001" customHeight="1" x14ac:dyDescent="0.3">
      <c r="A324" s="151" t="s">
        <v>34</v>
      </c>
      <c r="B324" s="378" t="s">
        <v>554</v>
      </c>
      <c r="C324" s="371">
        <v>45372</v>
      </c>
      <c r="D324" s="337"/>
      <c r="E324" s="331" t="s">
        <v>131</v>
      </c>
      <c r="F324" s="409" t="s">
        <v>555</v>
      </c>
      <c r="G324" s="322"/>
      <c r="H324" s="324">
        <v>100</v>
      </c>
      <c r="I324" s="325">
        <v>46.8</v>
      </c>
      <c r="J324" s="325">
        <f t="shared" si="25"/>
        <v>4680</v>
      </c>
      <c r="K324" s="318">
        <f t="shared" si="26"/>
        <v>5616</v>
      </c>
      <c r="L324" s="322">
        <v>5616</v>
      </c>
      <c r="M324" s="371">
        <v>45377</v>
      </c>
      <c r="N324" s="322">
        <f>+Table7[[#This Row],[стойност с ДДС]]-Table7[[#This Row],[направено плащане]]</f>
        <v>0</v>
      </c>
      <c r="O324" s="346">
        <v>45378</v>
      </c>
    </row>
    <row r="325" spans="1:15" ht="20.100000000000001" customHeight="1" x14ac:dyDescent="0.3">
      <c r="A325" s="206" t="s">
        <v>420</v>
      </c>
      <c r="B325" s="381" t="s">
        <v>556</v>
      </c>
      <c r="C325" s="373">
        <v>45370</v>
      </c>
      <c r="D325" s="343"/>
      <c r="E325" s="332" t="s">
        <v>422</v>
      </c>
      <c r="F325" s="412"/>
      <c r="G325" s="342"/>
      <c r="H325" s="344"/>
      <c r="I325" s="345"/>
      <c r="J325" s="345">
        <f t="shared" si="25"/>
        <v>0</v>
      </c>
      <c r="K325" s="320">
        <v>544.46</v>
      </c>
      <c r="L325" s="342"/>
      <c r="M325" s="373"/>
      <c r="N325" s="342">
        <f>+Table7[[#This Row],[стойност с ДДС]]-Table7[[#This Row],[направено плащане]]</f>
        <v>544.46</v>
      </c>
      <c r="O325" s="346"/>
    </row>
    <row r="326" spans="1:15" ht="20.100000000000001" customHeight="1" x14ac:dyDescent="0.3">
      <c r="A326" s="206" t="s">
        <v>118</v>
      </c>
      <c r="B326" s="381" t="s">
        <v>557</v>
      </c>
      <c r="C326" s="373">
        <v>45096</v>
      </c>
      <c r="D326" s="343"/>
      <c r="E326" s="331" t="s">
        <v>131</v>
      </c>
      <c r="F326" s="412" t="s">
        <v>558</v>
      </c>
      <c r="G326" s="342"/>
      <c r="H326" s="344">
        <v>500</v>
      </c>
      <c r="I326" s="345">
        <v>47.6</v>
      </c>
      <c r="J326" s="345">
        <f t="shared" si="25"/>
        <v>23800</v>
      </c>
      <c r="K326" s="320">
        <f t="shared" ref="K326:K331" si="27">J326*1.2</f>
        <v>28560</v>
      </c>
      <c r="L326" s="342">
        <v>28560</v>
      </c>
      <c r="M326" s="373">
        <v>45376</v>
      </c>
      <c r="N326" s="342">
        <f>+Table7[[#This Row],[стойност с ДДС]]-Table7[[#This Row],[направено плащане]]</f>
        <v>0</v>
      </c>
      <c r="O326" s="346">
        <v>45377</v>
      </c>
    </row>
    <row r="327" spans="1:15" ht="20.100000000000001" customHeight="1" x14ac:dyDescent="0.3">
      <c r="A327" s="206" t="s">
        <v>118</v>
      </c>
      <c r="B327" s="381" t="s">
        <v>557</v>
      </c>
      <c r="C327" s="373">
        <v>45096</v>
      </c>
      <c r="D327" s="343"/>
      <c r="E327" s="331" t="s">
        <v>131</v>
      </c>
      <c r="F327" s="412" t="s">
        <v>559</v>
      </c>
      <c r="G327" s="342"/>
      <c r="H327" s="344">
        <v>400</v>
      </c>
      <c r="I327" s="345">
        <v>47.5</v>
      </c>
      <c r="J327" s="345">
        <f t="shared" si="25"/>
        <v>19000</v>
      </c>
      <c r="K327" s="320">
        <f t="shared" si="27"/>
        <v>22800</v>
      </c>
      <c r="L327" s="342">
        <v>22800</v>
      </c>
      <c r="M327" s="373">
        <v>45376</v>
      </c>
      <c r="N327" s="342">
        <f>+Table7[[#This Row],[стойност с ДДС]]-Table7[[#This Row],[направено плащане]]</f>
        <v>0</v>
      </c>
      <c r="O327" s="346">
        <v>45377</v>
      </c>
    </row>
    <row r="328" spans="1:15" ht="20.100000000000001" customHeight="1" x14ac:dyDescent="0.3">
      <c r="A328" s="206" t="s">
        <v>352</v>
      </c>
      <c r="B328" s="381" t="s">
        <v>560</v>
      </c>
      <c r="C328" s="373">
        <v>45370</v>
      </c>
      <c r="D328" s="343"/>
      <c r="E328" s="331" t="s">
        <v>131</v>
      </c>
      <c r="F328" s="412" t="s">
        <v>561</v>
      </c>
      <c r="G328" s="342"/>
      <c r="H328" s="344">
        <v>100</v>
      </c>
      <c r="I328" s="345">
        <v>47.5</v>
      </c>
      <c r="J328" s="345">
        <f t="shared" si="25"/>
        <v>4750</v>
      </c>
      <c r="K328" s="320">
        <f t="shared" si="27"/>
        <v>5700</v>
      </c>
      <c r="L328" s="342">
        <v>5700</v>
      </c>
      <c r="M328" s="373">
        <v>45373</v>
      </c>
      <c r="N328" s="342">
        <f>+Table7[[#This Row],[стойност с ДДС]]-Table7[[#This Row],[направено плащане]]</f>
        <v>0</v>
      </c>
      <c r="O328" s="346">
        <v>45370</v>
      </c>
    </row>
    <row r="329" spans="1:15" ht="20.100000000000001" customHeight="1" x14ac:dyDescent="0.3">
      <c r="A329" s="206" t="s">
        <v>159</v>
      </c>
      <c r="B329" s="381" t="s">
        <v>562</v>
      </c>
      <c r="C329" s="373">
        <v>45370</v>
      </c>
      <c r="D329" s="343"/>
      <c r="E329" s="331" t="s">
        <v>131</v>
      </c>
      <c r="F329" s="412"/>
      <c r="G329" s="342"/>
      <c r="H329" s="344">
        <v>500</v>
      </c>
      <c r="I329" s="345">
        <f>24.28636*1.95583</f>
        <v>47.499991478799998</v>
      </c>
      <c r="J329" s="345">
        <f t="shared" si="25"/>
        <v>23749.995739399998</v>
      </c>
      <c r="K329" s="320">
        <f>+Table7[[#This Row],[стойност]]</f>
        <v>23749.995739399998</v>
      </c>
      <c r="L329" s="342">
        <v>23750</v>
      </c>
      <c r="M329" s="373">
        <v>45377</v>
      </c>
      <c r="N329" s="342">
        <f>+Table7[[#This Row],[стойност с ДДС]]-Table7[[#This Row],[направено плащане]]</f>
        <v>-4.2606000024534296E-3</v>
      </c>
      <c r="O329" s="346">
        <v>45378</v>
      </c>
    </row>
    <row r="330" spans="1:15" ht="20.100000000000001" customHeight="1" x14ac:dyDescent="0.3">
      <c r="A330" s="151" t="s">
        <v>268</v>
      </c>
      <c r="B330" s="381" t="s">
        <v>563</v>
      </c>
      <c r="C330" s="373">
        <v>45370</v>
      </c>
      <c r="D330" s="343"/>
      <c r="E330" s="331" t="s">
        <v>131</v>
      </c>
      <c r="F330" s="412"/>
      <c r="G330" s="342"/>
      <c r="H330" s="344">
        <v>600</v>
      </c>
      <c r="I330" s="345">
        <v>47.88</v>
      </c>
      <c r="J330" s="345">
        <f t="shared" si="25"/>
        <v>28728</v>
      </c>
      <c r="K330" s="320">
        <f t="shared" si="27"/>
        <v>34473.599999999999</v>
      </c>
      <c r="L330" s="342">
        <v>34473.599999999999</v>
      </c>
      <c r="M330" s="373">
        <v>45377</v>
      </c>
      <c r="N330" s="342">
        <f>+Table7[[#This Row],[стойност с ДДС]]-Table7[[#This Row],[направено плащане]]</f>
        <v>0</v>
      </c>
      <c r="O330" s="346">
        <v>45378</v>
      </c>
    </row>
    <row r="331" spans="1:15" ht="20.100000000000001" customHeight="1" x14ac:dyDescent="0.3">
      <c r="A331" s="206" t="s">
        <v>352</v>
      </c>
      <c r="B331" s="381" t="s">
        <v>564</v>
      </c>
      <c r="C331" s="373">
        <v>45373</v>
      </c>
      <c r="D331" s="343"/>
      <c r="E331" s="323" t="s">
        <v>131</v>
      </c>
      <c r="F331" s="412" t="s">
        <v>565</v>
      </c>
      <c r="G331" s="342"/>
      <c r="H331" s="344">
        <v>400</v>
      </c>
      <c r="I331" s="345">
        <v>45.5</v>
      </c>
      <c r="J331" s="345">
        <f t="shared" si="25"/>
        <v>18200</v>
      </c>
      <c r="K331" s="320">
        <f t="shared" si="27"/>
        <v>21840</v>
      </c>
      <c r="L331" s="342">
        <v>21840</v>
      </c>
      <c r="M331" s="373">
        <v>45378</v>
      </c>
      <c r="N331" s="342">
        <f>+Table7[[#This Row],[стойност с ДДС]]-Table7[[#This Row],[направено плащане]]</f>
        <v>0</v>
      </c>
      <c r="O331" s="327">
        <v>45373</v>
      </c>
    </row>
    <row r="332" spans="1:15" ht="20.100000000000001" customHeight="1" x14ac:dyDescent="0.3">
      <c r="A332" s="206" t="s">
        <v>114</v>
      </c>
      <c r="B332" s="381" t="s">
        <v>566</v>
      </c>
      <c r="C332" s="373">
        <v>45373</v>
      </c>
      <c r="D332" s="343"/>
      <c r="E332" s="323" t="s">
        <v>131</v>
      </c>
      <c r="F332" s="412"/>
      <c r="G332" s="342"/>
      <c r="H332" s="344">
        <v>200</v>
      </c>
      <c r="I332" s="345">
        <v>45.5</v>
      </c>
      <c r="J332" s="345">
        <f t="shared" si="25"/>
        <v>9100</v>
      </c>
      <c r="K332" s="320">
        <v>9106.11</v>
      </c>
      <c r="L332" s="342">
        <v>9106.11</v>
      </c>
      <c r="M332" s="373">
        <v>45379</v>
      </c>
      <c r="N332" s="342">
        <f>+Table7[[#This Row],[стойност с ДДС]]-Table7[[#This Row],[направено плащане]]</f>
        <v>0</v>
      </c>
      <c r="O332" s="346">
        <v>45360</v>
      </c>
    </row>
    <row r="333" spans="1:15" ht="20.100000000000001" customHeight="1" x14ac:dyDescent="0.3">
      <c r="A333" s="151" t="s">
        <v>268</v>
      </c>
      <c r="B333" s="378" t="s">
        <v>567</v>
      </c>
      <c r="C333" s="371">
        <v>45372</v>
      </c>
      <c r="D333" s="337"/>
      <c r="E333" s="331" t="s">
        <v>131</v>
      </c>
      <c r="F333" s="409"/>
      <c r="G333" s="322"/>
      <c r="H333" s="324">
        <v>844</v>
      </c>
      <c r="I333" s="325">
        <v>47</v>
      </c>
      <c r="J333" s="325">
        <f>I333*H333</f>
        <v>39668</v>
      </c>
      <c r="K333" s="318">
        <f>+Table7[[#This Row],[стойност]]</f>
        <v>39668</v>
      </c>
      <c r="L333" s="322">
        <v>39668</v>
      </c>
      <c r="M333" s="371">
        <v>45378</v>
      </c>
      <c r="N333" s="322">
        <f>+Table7[[#This Row],[стойност с ДДС]]-Table7[[#This Row],[направено плащане]]</f>
        <v>0</v>
      </c>
      <c r="O333" s="327">
        <v>45379</v>
      </c>
    </row>
    <row r="334" spans="1:15" ht="18.75" customHeight="1" x14ac:dyDescent="0.3">
      <c r="A334" s="206" t="s">
        <v>268</v>
      </c>
      <c r="B334" s="381" t="s">
        <v>568</v>
      </c>
      <c r="C334" s="373">
        <v>45372</v>
      </c>
      <c r="D334" s="343"/>
      <c r="E334" s="323" t="s">
        <v>131</v>
      </c>
      <c r="F334" s="412"/>
      <c r="G334" s="342"/>
      <c r="H334" s="344">
        <v>844</v>
      </c>
      <c r="I334" s="345">
        <v>47</v>
      </c>
      <c r="J334" s="345">
        <f t="shared" si="25"/>
        <v>39668</v>
      </c>
      <c r="K334" s="320">
        <f>J334*1.2</f>
        <v>47601.599999999999</v>
      </c>
      <c r="L334" s="342"/>
      <c r="M334" s="373"/>
      <c r="N334" s="342">
        <f>+Table7[[#This Row],[стойност с ДДС]]-Table7[[#This Row],[направено плащане]]</f>
        <v>47601.599999999999</v>
      </c>
      <c r="O334" s="327">
        <v>45379</v>
      </c>
    </row>
    <row r="335" spans="1:15" ht="20.100000000000001" customHeight="1" x14ac:dyDescent="0.3">
      <c r="A335" s="206" t="s">
        <v>159</v>
      </c>
      <c r="B335" s="381" t="s">
        <v>569</v>
      </c>
      <c r="C335" s="373">
        <v>45371</v>
      </c>
      <c r="D335" s="343"/>
      <c r="E335" s="323" t="s">
        <v>131</v>
      </c>
      <c r="F335" s="412"/>
      <c r="G335" s="342"/>
      <c r="H335" s="344">
        <v>1000</v>
      </c>
      <c r="I335" s="345">
        <f>24.292*1.95583</f>
        <v>47.511022360000005</v>
      </c>
      <c r="J335" s="345">
        <f>+Table7[[#This Row],[единична цена]]*Table7[[#This Row],[Количество]]</f>
        <v>47511.022360000003</v>
      </c>
      <c r="K335" s="320">
        <v>47511.41</v>
      </c>
      <c r="L335" s="342">
        <v>47511.41</v>
      </c>
      <c r="M335" s="373">
        <v>45378</v>
      </c>
      <c r="N335" s="342">
        <f>+Table7[[#This Row],[стойност с ДДС]]-Table7[[#This Row],[направено плащане]]</f>
        <v>0</v>
      </c>
      <c r="O335" s="346">
        <v>45384</v>
      </c>
    </row>
    <row r="336" spans="1:15" ht="20.100000000000001" customHeight="1" x14ac:dyDescent="0.25">
      <c r="A336" s="206" t="s">
        <v>159</v>
      </c>
      <c r="B336" s="381" t="s">
        <v>570</v>
      </c>
      <c r="C336" s="373">
        <v>45371</v>
      </c>
      <c r="D336" s="343"/>
      <c r="E336" s="347" t="s">
        <v>131</v>
      </c>
      <c r="F336" s="412"/>
      <c r="G336" s="342"/>
      <c r="H336" s="344">
        <v>156</v>
      </c>
      <c r="I336" s="345">
        <f>24.03073*1.95583</f>
        <v>47.000022655899997</v>
      </c>
      <c r="J336" s="345">
        <f t="shared" ref="J336:J341" si="28">I336*H336</f>
        <v>7332.0035343203999</v>
      </c>
      <c r="K336" s="320">
        <f>+Table7[[#This Row],[стойност]]</f>
        <v>7332.0035343203999</v>
      </c>
      <c r="L336" s="342"/>
      <c r="M336" s="373"/>
      <c r="N336" s="342">
        <f>+Table7[[#This Row],[стойност с ДДС]]-Table7[[#This Row],[направено плащане]]</f>
        <v>7332.0035343203999</v>
      </c>
      <c r="O336" s="346">
        <v>45384</v>
      </c>
    </row>
    <row r="337" spans="1:15" ht="20.100000000000001" customHeight="1" x14ac:dyDescent="0.25">
      <c r="A337" s="206" t="s">
        <v>37</v>
      </c>
      <c r="B337" s="381" t="s">
        <v>571</v>
      </c>
      <c r="C337" s="373">
        <v>45372</v>
      </c>
      <c r="D337" s="343"/>
      <c r="E337" s="347" t="s">
        <v>131</v>
      </c>
      <c r="F337" s="412" t="s">
        <v>572</v>
      </c>
      <c r="G337" s="342"/>
      <c r="H337" s="344">
        <v>45</v>
      </c>
      <c r="I337" s="345">
        <v>47</v>
      </c>
      <c r="J337" s="345">
        <f t="shared" si="28"/>
        <v>2115</v>
      </c>
      <c r="K337" s="320">
        <f>J337*1.2</f>
        <v>2538</v>
      </c>
      <c r="L337" s="342">
        <v>2538</v>
      </c>
      <c r="M337" s="373">
        <v>45377</v>
      </c>
      <c r="N337" s="342">
        <f>+Table7[[#This Row],[стойност с ДДС]]-Table7[[#This Row],[направено плащане]]</f>
        <v>0</v>
      </c>
      <c r="O337" s="346">
        <v>45378</v>
      </c>
    </row>
    <row r="338" spans="1:15" ht="20.100000000000001" customHeight="1" x14ac:dyDescent="0.25">
      <c r="A338" s="206" t="s">
        <v>99</v>
      </c>
      <c r="B338" s="381" t="s">
        <v>573</v>
      </c>
      <c r="C338" s="373">
        <v>45376</v>
      </c>
      <c r="D338" s="343"/>
      <c r="E338" s="347" t="s">
        <v>131</v>
      </c>
      <c r="F338" s="412" t="s">
        <v>574</v>
      </c>
      <c r="G338" s="342"/>
      <c r="H338" s="344">
        <v>20</v>
      </c>
      <c r="I338" s="345">
        <v>39.5</v>
      </c>
      <c r="J338" s="345">
        <f t="shared" si="28"/>
        <v>790</v>
      </c>
      <c r="K338" s="320">
        <f>J338*1.2</f>
        <v>948</v>
      </c>
      <c r="L338" s="342">
        <v>948</v>
      </c>
      <c r="M338" s="373">
        <v>45377</v>
      </c>
      <c r="N338" s="342">
        <f>+Table7[[#This Row],[стойност с ДДС]]-Table7[[#This Row],[направено плащане]]</f>
        <v>0</v>
      </c>
      <c r="O338" s="346">
        <v>45379</v>
      </c>
    </row>
    <row r="339" spans="1:15" ht="20.100000000000001" customHeight="1" x14ac:dyDescent="0.25">
      <c r="A339" s="206" t="s">
        <v>157</v>
      </c>
      <c r="B339" s="381" t="s">
        <v>575</v>
      </c>
      <c r="C339" s="373">
        <v>45372</v>
      </c>
      <c r="D339" s="343"/>
      <c r="E339" s="347" t="s">
        <v>131</v>
      </c>
      <c r="F339" s="412"/>
      <c r="G339" s="342"/>
      <c r="H339" s="344">
        <v>200</v>
      </c>
      <c r="I339" s="345">
        <v>47</v>
      </c>
      <c r="J339" s="345">
        <f t="shared" si="28"/>
        <v>9400</v>
      </c>
      <c r="K339" s="320">
        <f>J339*1.2</f>
        <v>11280</v>
      </c>
      <c r="L339" s="342"/>
      <c r="M339" s="373"/>
      <c r="N339" s="342">
        <f>+Table7[[#This Row],[стойност с ДДС]]-Table7[[#This Row],[направено плащане]]</f>
        <v>11280</v>
      </c>
      <c r="O339" s="346">
        <v>45378</v>
      </c>
    </row>
    <row r="340" spans="1:15" ht="20.100000000000001" customHeight="1" x14ac:dyDescent="0.25">
      <c r="A340" s="206" t="s">
        <v>37</v>
      </c>
      <c r="B340" s="381" t="s">
        <v>576</v>
      </c>
      <c r="C340" s="373">
        <v>45373</v>
      </c>
      <c r="D340" s="343"/>
      <c r="E340" s="347" t="s">
        <v>131</v>
      </c>
      <c r="F340" s="412" t="s">
        <v>577</v>
      </c>
      <c r="G340" s="342"/>
      <c r="H340" s="344">
        <v>1000</v>
      </c>
      <c r="I340" s="345">
        <v>45.5</v>
      </c>
      <c r="J340" s="345">
        <f t="shared" si="28"/>
        <v>45500</v>
      </c>
      <c r="K340" s="320">
        <f>J340*1.2</f>
        <v>54600</v>
      </c>
      <c r="L340" s="342">
        <v>54600</v>
      </c>
      <c r="M340" s="373">
        <v>45378</v>
      </c>
      <c r="N340" s="342">
        <f>+Table7[[#This Row],[стойност с ДДС]]-Table7[[#This Row],[направено плащане]]</f>
        <v>0</v>
      </c>
      <c r="O340" s="346">
        <v>45379</v>
      </c>
    </row>
    <row r="341" spans="1:15" ht="20.100000000000001" customHeight="1" x14ac:dyDescent="0.25">
      <c r="A341" s="206" t="s">
        <v>268</v>
      </c>
      <c r="B341" s="381" t="s">
        <v>578</v>
      </c>
      <c r="C341" s="373">
        <v>45373</v>
      </c>
      <c r="D341" s="343"/>
      <c r="E341" s="347" t="s">
        <v>131</v>
      </c>
      <c r="F341" s="412"/>
      <c r="G341" s="342"/>
      <c r="H341" s="344">
        <v>100</v>
      </c>
      <c r="I341" s="345">
        <v>44</v>
      </c>
      <c r="J341" s="345">
        <f t="shared" si="28"/>
        <v>4400</v>
      </c>
      <c r="K341" s="320">
        <f>J341*1.2</f>
        <v>5280</v>
      </c>
      <c r="L341" s="342">
        <v>5280</v>
      </c>
      <c r="M341" s="373">
        <v>45379</v>
      </c>
      <c r="N341" s="342">
        <f>+Table7[[#This Row],[стойност с ДДС]]-Table7[[#This Row],[направено плащане]]</f>
        <v>0</v>
      </c>
      <c r="O341" s="346">
        <v>45380</v>
      </c>
    </row>
    <row r="342" spans="1:15" ht="20.100000000000001" customHeight="1" x14ac:dyDescent="0.25">
      <c r="A342" s="206" t="s">
        <v>579</v>
      </c>
      <c r="B342" s="378" t="s">
        <v>580</v>
      </c>
      <c r="C342" s="371">
        <v>45377</v>
      </c>
      <c r="D342" s="337"/>
      <c r="E342" s="347" t="s">
        <v>131</v>
      </c>
      <c r="F342" s="409"/>
      <c r="G342" s="322"/>
      <c r="H342" s="324">
        <v>36286</v>
      </c>
      <c r="I342" s="325">
        <f>0.092502*0.39</f>
        <v>3.6075780000000002E-2</v>
      </c>
      <c r="J342" s="345">
        <f t="shared" ref="J342" si="29">I342*H342</f>
        <v>1309.0457530800002</v>
      </c>
      <c r="K342" s="320">
        <v>1309.08</v>
      </c>
      <c r="L342" s="322">
        <v>1309.08</v>
      </c>
      <c r="M342" s="371">
        <v>45380</v>
      </c>
      <c r="N342" s="342">
        <f>+Table7[[#This Row],[стойност с ДДС]]-Table7[[#This Row],[направено плащане]]</f>
        <v>0</v>
      </c>
      <c r="O342" s="327">
        <v>45382</v>
      </c>
    </row>
    <row r="343" spans="1:15" ht="20.100000000000001" customHeight="1" x14ac:dyDescent="0.25">
      <c r="A343" s="206" t="s">
        <v>37</v>
      </c>
      <c r="B343" s="381" t="s">
        <v>581</v>
      </c>
      <c r="C343" s="373">
        <v>45376</v>
      </c>
      <c r="D343" s="343"/>
      <c r="E343" s="347" t="s">
        <v>131</v>
      </c>
      <c r="F343" s="412" t="s">
        <v>582</v>
      </c>
      <c r="G343" s="342"/>
      <c r="H343" s="344">
        <v>500</v>
      </c>
      <c r="I343" s="345">
        <v>46.2</v>
      </c>
      <c r="J343" s="345">
        <f>I343*H343</f>
        <v>23100</v>
      </c>
      <c r="K343" s="320">
        <f>J343*1.2</f>
        <v>27720</v>
      </c>
      <c r="L343" s="342">
        <v>27720</v>
      </c>
      <c r="M343" s="373">
        <v>45379</v>
      </c>
      <c r="N343" s="342">
        <f>+Table7[[#This Row],[стойност с ДДС]]-Table7[[#This Row],[направено плащане]]</f>
        <v>0</v>
      </c>
      <c r="O343" s="346">
        <v>45380</v>
      </c>
    </row>
    <row r="344" spans="1:15" ht="20.100000000000001" customHeight="1" x14ac:dyDescent="0.25">
      <c r="A344" s="206" t="s">
        <v>37</v>
      </c>
      <c r="B344" s="381" t="s">
        <v>581</v>
      </c>
      <c r="C344" s="373">
        <v>45376</v>
      </c>
      <c r="D344" s="343"/>
      <c r="E344" s="347" t="s">
        <v>131</v>
      </c>
      <c r="F344" s="412" t="s">
        <v>583</v>
      </c>
      <c r="G344" s="342"/>
      <c r="H344" s="344">
        <v>500</v>
      </c>
      <c r="I344" s="345">
        <v>46.1</v>
      </c>
      <c r="J344" s="345">
        <f>I344*H344</f>
        <v>23050</v>
      </c>
      <c r="K344" s="320">
        <f>J344*1.2</f>
        <v>27660</v>
      </c>
      <c r="L344" s="342">
        <v>27660</v>
      </c>
      <c r="M344" s="373">
        <v>45379</v>
      </c>
      <c r="N344" s="342">
        <f>+Table7[[#This Row],[стойност с ДДС]]-Table7[[#This Row],[направено плащане]]</f>
        <v>0</v>
      </c>
      <c r="O344" s="346">
        <v>45380</v>
      </c>
    </row>
    <row r="345" spans="1:15" ht="20.100000000000001" customHeight="1" x14ac:dyDescent="0.25">
      <c r="A345" s="206" t="s">
        <v>118</v>
      </c>
      <c r="B345" s="381" t="s">
        <v>584</v>
      </c>
      <c r="C345" s="373">
        <v>45375</v>
      </c>
      <c r="D345" s="343"/>
      <c r="E345" s="347" t="s">
        <v>131</v>
      </c>
      <c r="F345" s="412" t="s">
        <v>585</v>
      </c>
      <c r="G345" s="342"/>
      <c r="H345" s="344">
        <v>200</v>
      </c>
      <c r="I345" s="345">
        <v>46</v>
      </c>
      <c r="J345" s="345">
        <f>I345*H345</f>
        <v>9200</v>
      </c>
      <c r="K345" s="320">
        <f>J345*1.2</f>
        <v>11040</v>
      </c>
      <c r="L345" s="342">
        <v>11040</v>
      </c>
      <c r="M345" s="373">
        <v>45379</v>
      </c>
      <c r="N345" s="342">
        <f>+Table7[[#This Row],[стойност с ДДС]]-Table7[[#This Row],[направено плащане]]</f>
        <v>0</v>
      </c>
      <c r="O345" s="346">
        <v>45380</v>
      </c>
    </row>
    <row r="346" spans="1:15" ht="20.100000000000001" customHeight="1" x14ac:dyDescent="0.25">
      <c r="A346" s="206" t="s">
        <v>118</v>
      </c>
      <c r="B346" s="381" t="s">
        <v>586</v>
      </c>
      <c r="C346" s="373">
        <v>45375</v>
      </c>
      <c r="D346" s="343"/>
      <c r="E346" s="347" t="s">
        <v>131</v>
      </c>
      <c r="F346" s="412" t="s">
        <v>587</v>
      </c>
      <c r="G346" s="342"/>
      <c r="H346" s="344">
        <v>50</v>
      </c>
      <c r="I346" s="345">
        <v>46</v>
      </c>
      <c r="J346" s="345">
        <f>I346*H346</f>
        <v>2300</v>
      </c>
      <c r="K346" s="320">
        <f>J346*1.2</f>
        <v>2760</v>
      </c>
      <c r="L346" s="342">
        <v>2760</v>
      </c>
      <c r="M346" s="373">
        <v>45379</v>
      </c>
      <c r="N346" s="342">
        <f>+Table7[[#This Row],[стойност с ДДС]]-Table7[[#This Row],[направено плащане]]</f>
        <v>0</v>
      </c>
      <c r="O346" s="346">
        <v>45380</v>
      </c>
    </row>
    <row r="347" spans="1:15" ht="20.100000000000001" customHeight="1" x14ac:dyDescent="0.25">
      <c r="A347" s="151" t="s">
        <v>118</v>
      </c>
      <c r="B347" s="378" t="s">
        <v>586</v>
      </c>
      <c r="C347" s="371">
        <v>45375</v>
      </c>
      <c r="D347" s="337"/>
      <c r="E347" s="328" t="s">
        <v>131</v>
      </c>
      <c r="F347" s="409" t="s">
        <v>588</v>
      </c>
      <c r="G347" s="322"/>
      <c r="H347" s="324">
        <v>50</v>
      </c>
      <c r="I347" s="325">
        <v>46</v>
      </c>
      <c r="J347" s="325">
        <f t="shared" ref="J347:J350" si="30">I347*H347</f>
        <v>2300</v>
      </c>
      <c r="K347" s="318">
        <f t="shared" ref="K347:K350" si="31">J347*1.2</f>
        <v>2760</v>
      </c>
      <c r="L347" s="322">
        <v>2760</v>
      </c>
      <c r="M347" s="373">
        <v>45379</v>
      </c>
      <c r="N347" s="322">
        <f>+Table7[[#This Row],[стойност с ДДС]]-Table7[[#This Row],[направено плащане]]</f>
        <v>0</v>
      </c>
      <c r="O347" s="346">
        <v>45380</v>
      </c>
    </row>
    <row r="348" spans="1:15" ht="20.100000000000001" customHeight="1" x14ac:dyDescent="0.25">
      <c r="A348" s="151" t="s">
        <v>118</v>
      </c>
      <c r="B348" s="378" t="s">
        <v>586</v>
      </c>
      <c r="C348" s="371">
        <v>45375</v>
      </c>
      <c r="D348" s="337"/>
      <c r="E348" s="328" t="s">
        <v>131</v>
      </c>
      <c r="F348" s="409" t="s">
        <v>589</v>
      </c>
      <c r="G348" s="322"/>
      <c r="H348" s="324">
        <v>50</v>
      </c>
      <c r="I348" s="325">
        <v>46</v>
      </c>
      <c r="J348" s="325">
        <f t="shared" si="30"/>
        <v>2300</v>
      </c>
      <c r="K348" s="318">
        <f t="shared" si="31"/>
        <v>2760</v>
      </c>
      <c r="L348" s="322">
        <v>2760</v>
      </c>
      <c r="M348" s="373">
        <v>45379</v>
      </c>
      <c r="N348" s="322">
        <f>+Table7[[#This Row],[стойност с ДДС]]-Table7[[#This Row],[направено плащане]]</f>
        <v>0</v>
      </c>
      <c r="O348" s="346">
        <v>45380</v>
      </c>
    </row>
    <row r="349" spans="1:15" ht="20.100000000000001" customHeight="1" x14ac:dyDescent="0.25">
      <c r="A349" s="151" t="s">
        <v>118</v>
      </c>
      <c r="B349" s="378" t="s">
        <v>586</v>
      </c>
      <c r="C349" s="371">
        <v>45375</v>
      </c>
      <c r="D349" s="337"/>
      <c r="E349" s="328" t="s">
        <v>131</v>
      </c>
      <c r="F349" s="409" t="s">
        <v>590</v>
      </c>
      <c r="G349" s="322"/>
      <c r="H349" s="324">
        <v>50</v>
      </c>
      <c r="I349" s="325">
        <v>46</v>
      </c>
      <c r="J349" s="325">
        <f t="shared" si="30"/>
        <v>2300</v>
      </c>
      <c r="K349" s="318">
        <f t="shared" si="31"/>
        <v>2760</v>
      </c>
      <c r="L349" s="322">
        <v>2760</v>
      </c>
      <c r="M349" s="373">
        <v>45379</v>
      </c>
      <c r="N349" s="322">
        <f>+Table7[[#This Row],[стойност с ДДС]]-Table7[[#This Row],[направено плащане]]</f>
        <v>0</v>
      </c>
      <c r="O349" s="346">
        <v>45380</v>
      </c>
    </row>
    <row r="350" spans="1:15" ht="20.100000000000001" customHeight="1" x14ac:dyDescent="0.25">
      <c r="A350" s="206" t="s">
        <v>118</v>
      </c>
      <c r="B350" s="381" t="s">
        <v>586</v>
      </c>
      <c r="C350" s="373">
        <v>45375</v>
      </c>
      <c r="D350" s="343"/>
      <c r="E350" s="347" t="s">
        <v>131</v>
      </c>
      <c r="F350" s="412" t="s">
        <v>591</v>
      </c>
      <c r="G350" s="342"/>
      <c r="H350" s="344">
        <v>100</v>
      </c>
      <c r="I350" s="345">
        <v>46</v>
      </c>
      <c r="J350" s="345">
        <f t="shared" si="30"/>
        <v>4600</v>
      </c>
      <c r="K350" s="320">
        <f t="shared" si="31"/>
        <v>5520</v>
      </c>
      <c r="L350" s="342">
        <v>5520</v>
      </c>
      <c r="M350" s="373">
        <v>45379</v>
      </c>
      <c r="N350" s="342">
        <f>+Table7[[#This Row],[стойност с ДДС]]-Table7[[#This Row],[направено плащане]]</f>
        <v>0</v>
      </c>
      <c r="O350" s="346">
        <v>45380</v>
      </c>
    </row>
    <row r="351" spans="1:15" ht="20.100000000000001" customHeight="1" x14ac:dyDescent="0.25">
      <c r="A351" s="206" t="s">
        <v>118</v>
      </c>
      <c r="B351" s="378" t="s">
        <v>592</v>
      </c>
      <c r="C351" s="371">
        <v>45373</v>
      </c>
      <c r="D351" s="337"/>
      <c r="E351" s="347" t="s">
        <v>131</v>
      </c>
      <c r="F351" s="409" t="s">
        <v>593</v>
      </c>
      <c r="G351" s="322"/>
      <c r="H351" s="324">
        <v>80</v>
      </c>
      <c r="I351" s="325">
        <v>45</v>
      </c>
      <c r="J351" s="325">
        <f t="shared" ref="J351:J358" si="32">I351*H351</f>
        <v>3600</v>
      </c>
      <c r="K351" s="318">
        <f t="shared" ref="K351:K358" si="33">J351*1.2</f>
        <v>4320</v>
      </c>
      <c r="L351" s="322">
        <v>4320</v>
      </c>
      <c r="M351" s="371">
        <v>45379</v>
      </c>
      <c r="N351" s="322">
        <f>+Table7[[#This Row],[стойност с ДДС]]-Table7[[#This Row],[направено плащане]]</f>
        <v>0</v>
      </c>
      <c r="O351" s="346">
        <v>45380</v>
      </c>
    </row>
    <row r="352" spans="1:15" ht="20.100000000000001" customHeight="1" x14ac:dyDescent="0.25">
      <c r="A352" s="206" t="s">
        <v>268</v>
      </c>
      <c r="B352" s="381" t="s">
        <v>594</v>
      </c>
      <c r="C352" s="373">
        <v>45373</v>
      </c>
      <c r="D352" s="343"/>
      <c r="E352" s="347" t="s">
        <v>131</v>
      </c>
      <c r="F352" s="412"/>
      <c r="G352" s="342"/>
      <c r="H352" s="344">
        <v>50</v>
      </c>
      <c r="I352" s="345">
        <v>44</v>
      </c>
      <c r="J352" s="345">
        <f t="shared" si="32"/>
        <v>2200</v>
      </c>
      <c r="K352" s="320">
        <f t="shared" si="33"/>
        <v>2640</v>
      </c>
      <c r="L352" s="342">
        <v>2640</v>
      </c>
      <c r="M352" s="373">
        <v>45379</v>
      </c>
      <c r="N352" s="342">
        <f>+Table7[[#This Row],[стойност с ДДС]]-Table7[[#This Row],[направено плащане]]</f>
        <v>0</v>
      </c>
      <c r="O352" s="346">
        <v>45380</v>
      </c>
    </row>
    <row r="353" spans="1:15" ht="20.100000000000001" customHeight="1" x14ac:dyDescent="0.25">
      <c r="A353" s="206" t="s">
        <v>157</v>
      </c>
      <c r="B353" s="381" t="s">
        <v>595</v>
      </c>
      <c r="C353" s="373">
        <v>45376</v>
      </c>
      <c r="D353" s="343"/>
      <c r="E353" s="347" t="s">
        <v>131</v>
      </c>
      <c r="F353" s="412"/>
      <c r="G353" s="342"/>
      <c r="H353" s="344">
        <v>100</v>
      </c>
      <c r="I353" s="345">
        <v>45.74</v>
      </c>
      <c r="J353" s="345">
        <f t="shared" si="32"/>
        <v>4574</v>
      </c>
      <c r="K353" s="320">
        <f t="shared" si="33"/>
        <v>5488.8</v>
      </c>
      <c r="L353" s="342">
        <v>5488.8</v>
      </c>
      <c r="M353" s="373">
        <v>45379</v>
      </c>
      <c r="N353" s="342">
        <f>+Table7[[#This Row],[стойност с ДДС]]-Table7[[#This Row],[направено плащане]]</f>
        <v>0</v>
      </c>
      <c r="O353" s="346">
        <v>45380</v>
      </c>
    </row>
    <row r="354" spans="1:15" ht="20.100000000000001" customHeight="1" x14ac:dyDescent="0.25">
      <c r="A354" s="206" t="s">
        <v>118</v>
      </c>
      <c r="B354" s="381" t="s">
        <v>596</v>
      </c>
      <c r="C354" s="373">
        <v>45377</v>
      </c>
      <c r="D354" s="343"/>
      <c r="E354" s="347" t="s">
        <v>131</v>
      </c>
      <c r="F354" s="412" t="s">
        <v>597</v>
      </c>
      <c r="G354" s="342"/>
      <c r="H354" s="344">
        <v>500</v>
      </c>
      <c r="I354" s="345">
        <v>46.65</v>
      </c>
      <c r="J354" s="345">
        <f t="shared" si="32"/>
        <v>23325</v>
      </c>
      <c r="K354" s="320">
        <f t="shared" si="33"/>
        <v>27990</v>
      </c>
      <c r="L354" s="342">
        <v>27990</v>
      </c>
      <c r="M354" s="373">
        <v>45383</v>
      </c>
      <c r="N354" s="342">
        <f>+Table7[[#This Row],[стойност с ДДС]]-Table7[[#This Row],[направено плащане]]</f>
        <v>0</v>
      </c>
      <c r="O354" s="346">
        <v>45384</v>
      </c>
    </row>
    <row r="355" spans="1:15" ht="20.100000000000001" customHeight="1" x14ac:dyDescent="0.25">
      <c r="A355" s="206" t="s">
        <v>118</v>
      </c>
      <c r="B355" s="381" t="s">
        <v>596</v>
      </c>
      <c r="C355" s="373">
        <v>45377</v>
      </c>
      <c r="D355" s="343"/>
      <c r="E355" s="347" t="s">
        <v>131</v>
      </c>
      <c r="F355" s="412" t="s">
        <v>598</v>
      </c>
      <c r="G355" s="342"/>
      <c r="H355" s="344">
        <v>200</v>
      </c>
      <c r="I355" s="345">
        <v>46.65</v>
      </c>
      <c r="J355" s="345">
        <f t="shared" si="32"/>
        <v>9330</v>
      </c>
      <c r="K355" s="320">
        <f t="shared" si="33"/>
        <v>11196</v>
      </c>
      <c r="L355" s="342">
        <v>11196</v>
      </c>
      <c r="M355" s="373">
        <v>45383</v>
      </c>
      <c r="N355" s="342">
        <f>+Table7[[#This Row],[стойност с ДДС]]-Table7[[#This Row],[направено плащане]]</f>
        <v>0</v>
      </c>
      <c r="O355" s="346">
        <v>45384</v>
      </c>
    </row>
    <row r="356" spans="1:15" ht="20.100000000000001" customHeight="1" x14ac:dyDescent="0.25">
      <c r="A356" s="206" t="s">
        <v>352</v>
      </c>
      <c r="B356" s="381" t="s">
        <v>599</v>
      </c>
      <c r="C356" s="373">
        <v>45377</v>
      </c>
      <c r="D356" s="343"/>
      <c r="E356" s="347" t="s">
        <v>131</v>
      </c>
      <c r="F356" s="412" t="s">
        <v>600</v>
      </c>
      <c r="G356" s="342"/>
      <c r="H356" s="344">
        <v>180</v>
      </c>
      <c r="I356" s="345">
        <v>46.65</v>
      </c>
      <c r="J356" s="345">
        <f t="shared" si="32"/>
        <v>8397</v>
      </c>
      <c r="K356" s="320">
        <f t="shared" si="33"/>
        <v>10076.4</v>
      </c>
      <c r="L356" s="342">
        <v>10076.4</v>
      </c>
      <c r="M356" s="373">
        <v>45380</v>
      </c>
      <c r="N356" s="342">
        <f>+Table7[[#This Row],[стойност с ДДС]]-Table7[[#This Row],[направено плащане]]</f>
        <v>0</v>
      </c>
      <c r="O356" s="346">
        <v>45384</v>
      </c>
    </row>
    <row r="357" spans="1:15" ht="20.100000000000001" customHeight="1" x14ac:dyDescent="0.25">
      <c r="A357" s="206" t="s">
        <v>37</v>
      </c>
      <c r="B357" s="381" t="s">
        <v>601</v>
      </c>
      <c r="C357" s="373">
        <v>45377</v>
      </c>
      <c r="D357" s="343"/>
      <c r="E357" s="347" t="s">
        <v>131</v>
      </c>
      <c r="F357" s="412" t="s">
        <v>602</v>
      </c>
      <c r="G357" s="342"/>
      <c r="H357" s="344">
        <v>147</v>
      </c>
      <c r="I357" s="345">
        <v>46.5</v>
      </c>
      <c r="J357" s="345">
        <f t="shared" si="32"/>
        <v>6835.5</v>
      </c>
      <c r="K357" s="320">
        <f t="shared" si="33"/>
        <v>8202.6</v>
      </c>
      <c r="L357" s="342">
        <v>8202.6</v>
      </c>
      <c r="M357" s="373">
        <v>45380</v>
      </c>
      <c r="N357" s="342">
        <f>+Table7[[#This Row],[стойност с ДДС]]-Table7[[#This Row],[направено плащане]]</f>
        <v>0</v>
      </c>
      <c r="O357" s="346">
        <v>45383</v>
      </c>
    </row>
    <row r="358" spans="1:15" ht="20.100000000000001" customHeight="1" x14ac:dyDescent="0.25">
      <c r="A358" s="206" t="s">
        <v>37</v>
      </c>
      <c r="B358" s="378" t="s">
        <v>603</v>
      </c>
      <c r="C358" s="371">
        <v>45377</v>
      </c>
      <c r="D358" s="337"/>
      <c r="E358" s="347" t="s">
        <v>131</v>
      </c>
      <c r="F358" s="409" t="s">
        <v>604</v>
      </c>
      <c r="G358" s="322"/>
      <c r="H358" s="324">
        <v>120</v>
      </c>
      <c r="I358" s="325">
        <v>46.65</v>
      </c>
      <c r="J358" s="325">
        <f t="shared" si="32"/>
        <v>5598</v>
      </c>
      <c r="K358" s="318">
        <f t="shared" si="33"/>
        <v>6717.5999999999995</v>
      </c>
      <c r="L358" s="322">
        <v>6717.6</v>
      </c>
      <c r="M358" s="371">
        <v>45380</v>
      </c>
      <c r="N358" s="322">
        <f>+Table7[[#This Row],[стойност с ДДС]]-Table7[[#This Row],[направено плащане]]</f>
        <v>0</v>
      </c>
      <c r="O358" s="327">
        <v>45383</v>
      </c>
    </row>
    <row r="359" spans="1:15" ht="20.100000000000001" customHeight="1" x14ac:dyDescent="0.25">
      <c r="A359" s="206" t="s">
        <v>159</v>
      </c>
      <c r="B359" s="381" t="s">
        <v>605</v>
      </c>
      <c r="C359" s="373">
        <v>45377</v>
      </c>
      <c r="D359" s="343"/>
      <c r="E359" s="347" t="s">
        <v>131</v>
      </c>
      <c r="F359" s="412"/>
      <c r="G359" s="342"/>
      <c r="H359" s="344">
        <v>153</v>
      </c>
      <c r="I359" s="345">
        <f>23.77507*1.95583</f>
        <v>46.499995158099999</v>
      </c>
      <c r="J359" s="345">
        <v>7116.22</v>
      </c>
      <c r="K359" s="320">
        <v>7116.22</v>
      </c>
      <c r="L359" s="342">
        <v>7116.22</v>
      </c>
      <c r="M359" s="373">
        <v>45386</v>
      </c>
      <c r="N359" s="342">
        <f>+Table7[[#This Row],[стойност с ДДС]]-Table7[[#This Row],[направено плащане]]</f>
        <v>0</v>
      </c>
      <c r="O359" s="346">
        <v>45387</v>
      </c>
    </row>
    <row r="360" spans="1:15" ht="20.100000000000001" customHeight="1" x14ac:dyDescent="0.3">
      <c r="A360" s="206" t="s">
        <v>606</v>
      </c>
      <c r="B360" s="381" t="s">
        <v>607</v>
      </c>
      <c r="C360" s="373" t="s">
        <v>608</v>
      </c>
      <c r="D360" s="343"/>
      <c r="E360" s="332" t="s">
        <v>609</v>
      </c>
      <c r="F360" s="412"/>
      <c r="G360" s="342"/>
      <c r="H360" s="344">
        <v>1</v>
      </c>
      <c r="I360" s="345">
        <v>420</v>
      </c>
      <c r="J360" s="345">
        <v>420</v>
      </c>
      <c r="K360" s="320">
        <f>+Table7[[#This Row],[стойност]]*1.95583</f>
        <v>821.44859999999994</v>
      </c>
      <c r="L360" s="342">
        <v>821.45</v>
      </c>
      <c r="M360" s="373">
        <v>45380</v>
      </c>
      <c r="N360" s="342">
        <f>+Table7[[#This Row],[стойност с ДДС]]-Table7[[#This Row],[направено плащане]]</f>
        <v>-1.4000000001033186E-3</v>
      </c>
      <c r="O360" s="346"/>
    </row>
    <row r="361" spans="1:15" ht="20.100000000000001" customHeight="1" x14ac:dyDescent="0.25">
      <c r="A361" s="206" t="s">
        <v>99</v>
      </c>
      <c r="B361" s="381" t="s">
        <v>610</v>
      </c>
      <c r="C361" s="373">
        <v>45379</v>
      </c>
      <c r="D361" s="343"/>
      <c r="E361" s="347" t="s">
        <v>131</v>
      </c>
      <c r="F361" s="412" t="s">
        <v>611</v>
      </c>
      <c r="G361" s="342"/>
      <c r="H361" s="344">
        <v>50</v>
      </c>
      <c r="I361" s="345">
        <v>51</v>
      </c>
      <c r="J361" s="345">
        <f>I361*H361</f>
        <v>2550</v>
      </c>
      <c r="K361" s="320">
        <f>J361*1.2</f>
        <v>3060</v>
      </c>
      <c r="L361" s="342">
        <v>3060</v>
      </c>
      <c r="M361" s="373">
        <v>45383</v>
      </c>
      <c r="N361" s="342">
        <f>+Table7[[#This Row],[стойност с ДДС]]-Table7[[#This Row],[направено плащане]]</f>
        <v>0</v>
      </c>
      <c r="O361" s="346"/>
    </row>
    <row r="362" spans="1:15" ht="20.100000000000001" customHeight="1" x14ac:dyDescent="0.25">
      <c r="A362" s="151" t="s">
        <v>99</v>
      </c>
      <c r="B362" s="378" t="s">
        <v>610</v>
      </c>
      <c r="C362" s="371">
        <v>45379</v>
      </c>
      <c r="D362" s="337"/>
      <c r="E362" s="328" t="s">
        <v>131</v>
      </c>
      <c r="F362" s="409" t="s">
        <v>612</v>
      </c>
      <c r="G362" s="322"/>
      <c r="H362" s="324">
        <v>200</v>
      </c>
      <c r="I362" s="325">
        <v>51</v>
      </c>
      <c r="J362" s="325">
        <f t="shared" ref="J362:J364" si="34">I362*H362</f>
        <v>10200</v>
      </c>
      <c r="K362" s="318">
        <f t="shared" ref="K362:K364" si="35">J362*1.2</f>
        <v>12240</v>
      </c>
      <c r="L362" s="322">
        <v>12240</v>
      </c>
      <c r="M362" s="373">
        <v>45383</v>
      </c>
      <c r="N362" s="322">
        <f>+Table7[[#This Row],[стойност с ДДС]]-Table7[[#This Row],[направено плащане]]</f>
        <v>0</v>
      </c>
      <c r="O362" s="327"/>
    </row>
    <row r="363" spans="1:15" ht="20.100000000000001" customHeight="1" x14ac:dyDescent="0.25">
      <c r="A363" s="151" t="s">
        <v>99</v>
      </c>
      <c r="B363" s="378" t="s">
        <v>610</v>
      </c>
      <c r="C363" s="371">
        <v>45379</v>
      </c>
      <c r="D363" s="337"/>
      <c r="E363" s="328" t="s">
        <v>131</v>
      </c>
      <c r="F363" s="409" t="s">
        <v>613</v>
      </c>
      <c r="G363" s="322"/>
      <c r="H363" s="324">
        <v>100</v>
      </c>
      <c r="I363" s="325">
        <v>51</v>
      </c>
      <c r="J363" s="325">
        <f t="shared" si="34"/>
        <v>5100</v>
      </c>
      <c r="K363" s="318">
        <f t="shared" si="35"/>
        <v>6120</v>
      </c>
      <c r="L363" s="322">
        <v>6120</v>
      </c>
      <c r="M363" s="373">
        <v>45383</v>
      </c>
      <c r="N363" s="322">
        <f>+Table7[[#This Row],[стойност с ДДС]]-Table7[[#This Row],[направено плащане]]</f>
        <v>0</v>
      </c>
      <c r="O363" s="327"/>
    </row>
    <row r="364" spans="1:15" ht="20.100000000000001" customHeight="1" x14ac:dyDescent="0.25">
      <c r="A364" s="206" t="s">
        <v>99</v>
      </c>
      <c r="B364" s="381" t="s">
        <v>610</v>
      </c>
      <c r="C364" s="373">
        <v>45379</v>
      </c>
      <c r="D364" s="343"/>
      <c r="E364" s="347" t="s">
        <v>131</v>
      </c>
      <c r="F364" s="412" t="s">
        <v>614</v>
      </c>
      <c r="G364" s="342"/>
      <c r="H364" s="344">
        <v>500</v>
      </c>
      <c r="I364" s="345">
        <v>51</v>
      </c>
      <c r="J364" s="345">
        <f t="shared" si="34"/>
        <v>25500</v>
      </c>
      <c r="K364" s="320">
        <f t="shared" si="35"/>
        <v>30600</v>
      </c>
      <c r="L364" s="342">
        <v>30600</v>
      </c>
      <c r="M364" s="373">
        <v>45383</v>
      </c>
      <c r="N364" s="342">
        <f>+Table7[[#This Row],[стойност с ДДС]]-Table7[[#This Row],[направено плащане]]</f>
        <v>0</v>
      </c>
      <c r="O364" s="346">
        <v>45384</v>
      </c>
    </row>
    <row r="365" spans="1:15" ht="20.100000000000001" customHeight="1" x14ac:dyDescent="0.25">
      <c r="A365" s="206" t="s">
        <v>101</v>
      </c>
      <c r="B365" s="388" t="s">
        <v>615</v>
      </c>
      <c r="C365" s="373">
        <v>45377</v>
      </c>
      <c r="D365" s="343"/>
      <c r="E365" s="347" t="s">
        <v>131</v>
      </c>
      <c r="F365" s="412" t="s">
        <v>616</v>
      </c>
      <c r="G365" s="342"/>
      <c r="H365" s="344">
        <v>28</v>
      </c>
      <c r="I365" s="345">
        <v>46</v>
      </c>
      <c r="J365" s="345">
        <f t="shared" ref="J365:J384" si="36">I365*H365</f>
        <v>1288</v>
      </c>
      <c r="K365" s="320">
        <f>J365*1.2</f>
        <v>1545.6</v>
      </c>
      <c r="L365" s="342">
        <v>1545.6</v>
      </c>
      <c r="M365" s="373">
        <v>45383</v>
      </c>
      <c r="N365" s="342">
        <f>+Table7[[#This Row],[стойност с ДДС]]-Table7[[#This Row],[направено плащане]]</f>
        <v>0</v>
      </c>
      <c r="O365" s="346">
        <v>45355</v>
      </c>
    </row>
    <row r="366" spans="1:15" ht="20.100000000000001" customHeight="1" x14ac:dyDescent="0.25">
      <c r="A366" s="206" t="s">
        <v>157</v>
      </c>
      <c r="B366" s="381" t="s">
        <v>617</v>
      </c>
      <c r="C366" s="373">
        <v>45377</v>
      </c>
      <c r="D366" s="343"/>
      <c r="E366" s="347" t="s">
        <v>131</v>
      </c>
      <c r="F366" s="412" t="s">
        <v>279</v>
      </c>
      <c r="G366" s="342"/>
      <c r="H366" s="344">
        <v>300</v>
      </c>
      <c r="I366" s="345">
        <v>46.7</v>
      </c>
      <c r="J366" s="345">
        <f t="shared" si="36"/>
        <v>14010</v>
      </c>
      <c r="K366" s="320">
        <f>J366*1.2</f>
        <v>16812</v>
      </c>
      <c r="L366" s="342">
        <v>16812</v>
      </c>
      <c r="M366" s="373">
        <v>45380</v>
      </c>
      <c r="N366" s="342">
        <f>+Table7[[#This Row],[стойност с ДДС]]-Table7[[#This Row],[направено плащане]]</f>
        <v>0</v>
      </c>
      <c r="O366" s="346">
        <v>45383</v>
      </c>
    </row>
    <row r="367" spans="1:15" ht="20.100000000000001" customHeight="1" x14ac:dyDescent="0.25">
      <c r="A367" s="206" t="s">
        <v>118</v>
      </c>
      <c r="B367" s="381" t="s">
        <v>618</v>
      </c>
      <c r="C367" s="373">
        <v>45378</v>
      </c>
      <c r="D367" s="343"/>
      <c r="E367" s="347" t="s">
        <v>131</v>
      </c>
      <c r="F367" s="412" t="s">
        <v>619</v>
      </c>
      <c r="G367" s="342"/>
      <c r="H367" s="344">
        <v>500</v>
      </c>
      <c r="I367" s="345">
        <v>46.3</v>
      </c>
      <c r="J367" s="345">
        <f t="shared" si="36"/>
        <v>23150</v>
      </c>
      <c r="K367" s="320">
        <f>J367*1.2</f>
        <v>27780</v>
      </c>
      <c r="L367" s="342"/>
      <c r="M367" s="373"/>
      <c r="N367" s="342">
        <f>+Table7[[#This Row],[стойност с ДДС]]-Table7[[#This Row],[направено плащане]]</f>
        <v>27780</v>
      </c>
      <c r="O367" s="346">
        <v>45385</v>
      </c>
    </row>
    <row r="368" spans="1:15" ht="20.100000000000001" customHeight="1" x14ac:dyDescent="0.25">
      <c r="A368" s="206" t="s">
        <v>118</v>
      </c>
      <c r="B368" s="381" t="s">
        <v>618</v>
      </c>
      <c r="C368" s="373">
        <v>45378</v>
      </c>
      <c r="D368" s="343"/>
      <c r="E368" s="347" t="s">
        <v>131</v>
      </c>
      <c r="F368" s="412" t="s">
        <v>620</v>
      </c>
      <c r="G368" s="342"/>
      <c r="H368" s="344">
        <v>350</v>
      </c>
      <c r="I368" s="345">
        <v>46</v>
      </c>
      <c r="J368" s="345">
        <f t="shared" si="36"/>
        <v>16100</v>
      </c>
      <c r="K368" s="320">
        <f>J368*1.2</f>
        <v>19320</v>
      </c>
      <c r="L368" s="342"/>
      <c r="M368" s="373"/>
      <c r="N368" s="342">
        <f>+Table7[[#This Row],[стойност с ДДС]]-Table7[[#This Row],[направено плащане]]</f>
        <v>19320</v>
      </c>
      <c r="O368" s="346">
        <v>45385</v>
      </c>
    </row>
    <row r="369" spans="1:15" ht="20.100000000000001" customHeight="1" x14ac:dyDescent="0.25">
      <c r="A369" s="206" t="s">
        <v>268</v>
      </c>
      <c r="B369" s="381" t="s">
        <v>567</v>
      </c>
      <c r="C369" s="373">
        <v>45372</v>
      </c>
      <c r="D369" s="343"/>
      <c r="E369" s="347" t="s">
        <v>131</v>
      </c>
      <c r="F369" s="412"/>
      <c r="G369" s="342"/>
      <c r="H369" s="344"/>
      <c r="I369" s="345"/>
      <c r="J369" s="345">
        <f t="shared" si="36"/>
        <v>0</v>
      </c>
      <c r="K369" s="320">
        <v>7933.6</v>
      </c>
      <c r="L369" s="342">
        <v>7933.6</v>
      </c>
      <c r="M369" s="373">
        <v>45380</v>
      </c>
      <c r="N369" s="342">
        <f>+Table7[[#This Row],[стойност с ДДС]]-Table7[[#This Row],[направено плащане]]</f>
        <v>0</v>
      </c>
      <c r="O369" s="346"/>
    </row>
    <row r="370" spans="1:15" ht="20.100000000000001" customHeight="1" x14ac:dyDescent="0.3">
      <c r="A370" s="206"/>
      <c r="B370" s="381"/>
      <c r="C370" s="373"/>
      <c r="D370" s="343"/>
      <c r="E370" s="332" t="s">
        <v>343</v>
      </c>
      <c r="F370" s="412" t="s">
        <v>621</v>
      </c>
      <c r="G370" s="342"/>
      <c r="H370" s="344"/>
      <c r="I370" s="345"/>
      <c r="J370" s="345">
        <f t="shared" si="36"/>
        <v>0</v>
      </c>
      <c r="K370" s="320">
        <v>821.65</v>
      </c>
      <c r="L370" s="342">
        <v>821.65</v>
      </c>
      <c r="M370" s="373">
        <v>45380</v>
      </c>
      <c r="N370" s="342">
        <f>+Table7[[#This Row],[стойност с ДДС]]-Table7[[#This Row],[направено плащане]]</f>
        <v>0</v>
      </c>
      <c r="O370" s="346"/>
    </row>
    <row r="371" spans="1:15" ht="20.100000000000001" customHeight="1" x14ac:dyDescent="0.3">
      <c r="A371" s="206"/>
      <c r="B371" s="381"/>
      <c r="C371" s="373"/>
      <c r="D371" s="343"/>
      <c r="E371" s="332" t="s">
        <v>622</v>
      </c>
      <c r="F371" s="412" t="s">
        <v>344</v>
      </c>
      <c r="G371" s="342"/>
      <c r="H371" s="344"/>
      <c r="I371" s="345"/>
      <c r="J371" s="345">
        <f t="shared" si="36"/>
        <v>0</v>
      </c>
      <c r="K371" s="320">
        <v>606.45000000000005</v>
      </c>
      <c r="L371" s="342">
        <v>606.45000000000005</v>
      </c>
      <c r="M371" s="373">
        <v>45380</v>
      </c>
      <c r="N371" s="342">
        <f>+Table7[[#This Row],[стойност с ДДС]]-Table7[[#This Row],[направено плащане]]</f>
        <v>0</v>
      </c>
      <c r="O371" s="346"/>
    </row>
    <row r="372" spans="1:15" ht="20.100000000000001" customHeight="1" x14ac:dyDescent="0.3">
      <c r="A372" s="206"/>
      <c r="B372" s="381"/>
      <c r="C372" s="373"/>
      <c r="D372" s="343"/>
      <c r="E372" s="332" t="s">
        <v>623</v>
      </c>
      <c r="F372" s="412" t="s">
        <v>412</v>
      </c>
      <c r="G372" s="342"/>
      <c r="H372" s="344"/>
      <c r="I372" s="345"/>
      <c r="J372" s="345">
        <f t="shared" si="36"/>
        <v>0</v>
      </c>
      <c r="K372" s="320">
        <v>7623.09</v>
      </c>
      <c r="L372" s="342">
        <v>7623.09</v>
      </c>
      <c r="M372" s="373">
        <v>45380</v>
      </c>
      <c r="N372" s="342">
        <f>+Table7[[#This Row],[стойност с ДДС]]-Table7[[#This Row],[направено плащане]]</f>
        <v>0</v>
      </c>
      <c r="O372" s="346"/>
    </row>
    <row r="373" spans="1:15" ht="20.100000000000001" customHeight="1" x14ac:dyDescent="0.3">
      <c r="A373" s="151"/>
      <c r="B373" s="378"/>
      <c r="C373" s="371"/>
      <c r="D373" s="337"/>
      <c r="E373" s="332" t="s">
        <v>623</v>
      </c>
      <c r="F373" s="409" t="s">
        <v>412</v>
      </c>
      <c r="G373" s="322"/>
      <c r="H373" s="324"/>
      <c r="I373" s="325"/>
      <c r="J373" s="325">
        <f t="shared" si="36"/>
        <v>0</v>
      </c>
      <c r="K373" s="318">
        <v>5868.9</v>
      </c>
      <c r="L373" s="322">
        <v>5868.9</v>
      </c>
      <c r="M373" s="371">
        <v>45380</v>
      </c>
      <c r="N373" s="322">
        <f>+Table7[[#This Row],[стойност с ДДС]]-Table7[[#This Row],[направено плащане]]</f>
        <v>0</v>
      </c>
      <c r="O373" s="327"/>
    </row>
    <row r="374" spans="1:15" ht="20.100000000000001" customHeight="1" x14ac:dyDescent="0.3">
      <c r="A374" s="151"/>
      <c r="B374" s="378"/>
      <c r="C374" s="371"/>
      <c r="D374" s="337"/>
      <c r="E374" s="332" t="s">
        <v>623</v>
      </c>
      <c r="F374" s="409" t="s">
        <v>344</v>
      </c>
      <c r="G374" s="322"/>
      <c r="H374" s="324"/>
      <c r="I374" s="325"/>
      <c r="J374" s="325">
        <f t="shared" si="36"/>
        <v>0</v>
      </c>
      <c r="K374" s="318">
        <v>10314.59</v>
      </c>
      <c r="L374" s="322">
        <v>10314.59</v>
      </c>
      <c r="M374" s="371">
        <v>45380</v>
      </c>
      <c r="N374" s="322">
        <f>+Table7[[#This Row],[стойност с ДДС]]-Table7[[#This Row],[направено плащане]]</f>
        <v>0</v>
      </c>
      <c r="O374" s="327"/>
    </row>
    <row r="375" spans="1:15" ht="20.100000000000001" customHeight="1" x14ac:dyDescent="0.25">
      <c r="A375" s="206" t="s">
        <v>352</v>
      </c>
      <c r="B375" s="381" t="s">
        <v>624</v>
      </c>
      <c r="C375" s="373">
        <v>45380</v>
      </c>
      <c r="D375" s="343"/>
      <c r="E375" s="347" t="s">
        <v>131</v>
      </c>
      <c r="F375" s="412" t="s">
        <v>625</v>
      </c>
      <c r="G375" s="342"/>
      <c r="H375" s="344">
        <v>50</v>
      </c>
      <c r="I375" s="345">
        <v>44</v>
      </c>
      <c r="J375" s="345">
        <f t="shared" si="36"/>
        <v>2200</v>
      </c>
      <c r="K375" s="320">
        <f t="shared" ref="K375:K381" si="37">J375*1.2</f>
        <v>2640</v>
      </c>
      <c r="L375" s="342">
        <v>2640</v>
      </c>
      <c r="M375" s="373">
        <v>45386</v>
      </c>
      <c r="N375" s="342">
        <f>+Table7[[#This Row],[стойност с ДДС]]-Table7[[#This Row],[направено плащане]]</f>
        <v>0</v>
      </c>
      <c r="O375" s="346"/>
    </row>
    <row r="376" spans="1:15" ht="20.100000000000001" customHeight="1" x14ac:dyDescent="0.25">
      <c r="A376" s="206" t="s">
        <v>352</v>
      </c>
      <c r="B376" s="381" t="s">
        <v>624</v>
      </c>
      <c r="C376" s="373">
        <v>45380</v>
      </c>
      <c r="D376" s="337"/>
      <c r="E376" s="347" t="s">
        <v>131</v>
      </c>
      <c r="F376" s="409" t="s">
        <v>626</v>
      </c>
      <c r="G376" s="322"/>
      <c r="H376" s="324">
        <v>100</v>
      </c>
      <c r="I376" s="325">
        <v>44</v>
      </c>
      <c r="J376" s="325">
        <f t="shared" si="36"/>
        <v>4400</v>
      </c>
      <c r="K376" s="318">
        <f t="shared" si="37"/>
        <v>5280</v>
      </c>
      <c r="L376" s="322">
        <v>5280</v>
      </c>
      <c r="M376" s="371">
        <v>45386</v>
      </c>
      <c r="N376" s="322">
        <f>+Table7[[#This Row],[стойност с ДДС]]-Table7[[#This Row],[направено плащане]]</f>
        <v>0</v>
      </c>
      <c r="O376" s="327"/>
    </row>
    <row r="377" spans="1:15" ht="20.100000000000001" customHeight="1" x14ac:dyDescent="0.25">
      <c r="A377" s="206" t="s">
        <v>37</v>
      </c>
      <c r="B377" s="381" t="s">
        <v>627</v>
      </c>
      <c r="C377" s="373">
        <v>45379</v>
      </c>
      <c r="D377" s="343"/>
      <c r="E377" s="347" t="s">
        <v>131</v>
      </c>
      <c r="F377" s="412"/>
      <c r="G377" s="342"/>
      <c r="H377" s="344">
        <v>500</v>
      </c>
      <c r="I377" s="345">
        <v>45.5</v>
      </c>
      <c r="J377" s="345">
        <f t="shared" si="36"/>
        <v>22750</v>
      </c>
      <c r="K377" s="320">
        <f t="shared" si="37"/>
        <v>27300</v>
      </c>
      <c r="L377" s="342"/>
      <c r="M377" s="373"/>
      <c r="N377" s="342">
        <f>+Table7[[#This Row],[стойност с ДДС]]-Table7[[#This Row],[направено плащане]]</f>
        <v>27300</v>
      </c>
      <c r="O377" s="346"/>
    </row>
    <row r="378" spans="1:15" ht="20.100000000000001" customHeight="1" x14ac:dyDescent="0.25">
      <c r="A378" s="206" t="s">
        <v>268</v>
      </c>
      <c r="B378" s="381" t="s">
        <v>568</v>
      </c>
      <c r="C378" s="373">
        <v>45378</v>
      </c>
      <c r="D378" s="343"/>
      <c r="E378" s="347" t="s">
        <v>131</v>
      </c>
      <c r="F378" s="412"/>
      <c r="G378" s="342"/>
      <c r="H378" s="344">
        <v>500</v>
      </c>
      <c r="I378" s="345">
        <v>46.3</v>
      </c>
      <c r="J378" s="345">
        <f t="shared" si="36"/>
        <v>23150</v>
      </c>
      <c r="K378" s="320">
        <f t="shared" si="37"/>
        <v>27780</v>
      </c>
      <c r="L378" s="342">
        <v>27780</v>
      </c>
      <c r="M378" s="373">
        <v>45385</v>
      </c>
      <c r="N378" s="342">
        <f>+Table7[[#This Row],[стойност с ДДС]]-Table7[[#This Row],[направено плащане]]</f>
        <v>0</v>
      </c>
      <c r="O378" s="346"/>
    </row>
    <row r="379" spans="1:15" ht="20.100000000000001" customHeight="1" x14ac:dyDescent="0.25">
      <c r="A379" s="206" t="s">
        <v>105</v>
      </c>
      <c r="B379" s="381" t="s">
        <v>628</v>
      </c>
      <c r="C379" s="373">
        <v>45379</v>
      </c>
      <c r="D379" s="343"/>
      <c r="E379" s="347" t="s">
        <v>131</v>
      </c>
      <c r="F379" s="412" t="s">
        <v>629</v>
      </c>
      <c r="G379" s="342"/>
      <c r="H379" s="344">
        <v>50</v>
      </c>
      <c r="I379" s="345">
        <v>45</v>
      </c>
      <c r="J379" s="345">
        <f t="shared" si="36"/>
        <v>2250</v>
      </c>
      <c r="K379" s="320">
        <f t="shared" si="37"/>
        <v>2700</v>
      </c>
      <c r="L379" s="342">
        <v>2700</v>
      </c>
      <c r="M379" s="373">
        <v>45408</v>
      </c>
      <c r="N379" s="342">
        <f>+Table7[[#This Row],[стойност с ДДС]]-Table7[[#This Row],[направено плащане]]</f>
        <v>0</v>
      </c>
      <c r="O379" s="346"/>
    </row>
    <row r="380" spans="1:15" ht="20.100000000000001" customHeight="1" x14ac:dyDescent="0.25">
      <c r="A380" s="206" t="s">
        <v>105</v>
      </c>
      <c r="B380" s="381" t="s">
        <v>628</v>
      </c>
      <c r="C380" s="373">
        <v>45379</v>
      </c>
      <c r="D380" s="337"/>
      <c r="E380" s="347" t="s">
        <v>131</v>
      </c>
      <c r="F380" s="409" t="s">
        <v>630</v>
      </c>
      <c r="G380" s="322"/>
      <c r="H380" s="324">
        <v>30</v>
      </c>
      <c r="I380" s="325">
        <v>44</v>
      </c>
      <c r="J380" s="325">
        <f t="shared" si="36"/>
        <v>1320</v>
      </c>
      <c r="K380" s="318">
        <f t="shared" si="37"/>
        <v>1584</v>
      </c>
      <c r="L380" s="322">
        <v>1584</v>
      </c>
      <c r="M380" s="371">
        <v>45408</v>
      </c>
      <c r="N380" s="322">
        <f>+Table7[[#This Row],[стойност с ДДС]]-Table7[[#This Row],[направено плащане]]</f>
        <v>0</v>
      </c>
      <c r="O380" s="327"/>
    </row>
    <row r="381" spans="1:15" ht="20.100000000000001" customHeight="1" x14ac:dyDescent="0.25">
      <c r="A381" s="206" t="s">
        <v>157</v>
      </c>
      <c r="B381" s="381" t="s">
        <v>631</v>
      </c>
      <c r="C381" s="373">
        <v>45378</v>
      </c>
      <c r="D381" s="343"/>
      <c r="E381" s="347" t="s">
        <v>131</v>
      </c>
      <c r="F381" s="412" t="s">
        <v>279</v>
      </c>
      <c r="G381" s="342"/>
      <c r="H381" s="344">
        <v>50</v>
      </c>
      <c r="I381" s="345">
        <v>45</v>
      </c>
      <c r="J381" s="345">
        <f t="shared" si="36"/>
        <v>2250</v>
      </c>
      <c r="K381" s="320">
        <f t="shared" si="37"/>
        <v>2700</v>
      </c>
      <c r="L381" s="342"/>
      <c r="M381" s="373"/>
      <c r="N381" s="342">
        <f>+Table7[[#This Row],[стойност с ДДС]]-Table7[[#This Row],[направено плащане]]</f>
        <v>2700</v>
      </c>
      <c r="O381" s="346"/>
    </row>
    <row r="382" spans="1:15" ht="20.100000000000001" customHeight="1" x14ac:dyDescent="0.25">
      <c r="A382" s="206" t="s">
        <v>114</v>
      </c>
      <c r="B382" s="381" t="s">
        <v>632</v>
      </c>
      <c r="C382" s="373">
        <v>45380</v>
      </c>
      <c r="D382" s="343"/>
      <c r="E382" s="347" t="s">
        <v>131</v>
      </c>
      <c r="F382" s="412"/>
      <c r="G382" s="342"/>
      <c r="H382" s="344">
        <v>50</v>
      </c>
      <c r="I382" s="345">
        <v>44</v>
      </c>
      <c r="J382" s="345">
        <v>2204.4299999999998</v>
      </c>
      <c r="K382" s="320">
        <f>+Table7[[#This Row],[стойност]]</f>
        <v>2204.4299999999998</v>
      </c>
      <c r="L382" s="342">
        <v>2204.4299999999998</v>
      </c>
      <c r="M382" s="373">
        <v>45386</v>
      </c>
      <c r="N382" s="342">
        <f>+Table7[[#This Row],[стойност с ДДС]]-Table7[[#This Row],[направено плащане]]</f>
        <v>0</v>
      </c>
      <c r="O382" s="346"/>
    </row>
    <row r="383" spans="1:15" ht="20.100000000000001" customHeight="1" x14ac:dyDescent="0.25">
      <c r="A383" s="206" t="s">
        <v>118</v>
      </c>
      <c r="B383" s="381" t="s">
        <v>633</v>
      </c>
      <c r="C383" s="373">
        <v>45379</v>
      </c>
      <c r="D383" s="343"/>
      <c r="E383" s="347" t="s">
        <v>131</v>
      </c>
      <c r="F383" s="412" t="s">
        <v>634</v>
      </c>
      <c r="G383" s="342"/>
      <c r="H383" s="344">
        <v>500</v>
      </c>
      <c r="I383" s="345">
        <v>45.5</v>
      </c>
      <c r="J383" s="345">
        <f t="shared" si="36"/>
        <v>22750</v>
      </c>
      <c r="K383" s="320">
        <f>J383*1.2</f>
        <v>27300</v>
      </c>
      <c r="L383" s="342">
        <v>27300</v>
      </c>
      <c r="M383" s="373">
        <v>45385</v>
      </c>
      <c r="N383" s="342">
        <f>+Table7[[#This Row],[стойност с ДДС]]-Table7[[#This Row],[направено плащане]]</f>
        <v>0</v>
      </c>
      <c r="O383" s="346"/>
    </row>
    <row r="384" spans="1:15" ht="20.100000000000001" customHeight="1" x14ac:dyDescent="0.25">
      <c r="A384" s="206" t="s">
        <v>253</v>
      </c>
      <c r="B384" s="381" t="s">
        <v>635</v>
      </c>
      <c r="C384" s="373">
        <v>45380</v>
      </c>
      <c r="D384" s="343"/>
      <c r="E384" s="347" t="s">
        <v>131</v>
      </c>
      <c r="F384" s="412" t="s">
        <v>636</v>
      </c>
      <c r="G384" s="342"/>
      <c r="H384" s="344">
        <v>30</v>
      </c>
      <c r="I384" s="345">
        <v>44.9</v>
      </c>
      <c r="J384" s="345">
        <f t="shared" si="36"/>
        <v>1347</v>
      </c>
      <c r="K384" s="320">
        <f>J384*1.2</f>
        <v>1616.3999999999999</v>
      </c>
      <c r="L384" s="342">
        <v>1616.4</v>
      </c>
      <c r="M384" s="373">
        <v>45386</v>
      </c>
      <c r="N384" s="342">
        <f>+Table7[[#This Row],[стойност с ДДС]]-Table7[[#This Row],[направено плащане]]</f>
        <v>0</v>
      </c>
      <c r="O384" s="346"/>
    </row>
    <row r="385" spans="1:15" ht="20.100000000000001" customHeight="1" x14ac:dyDescent="0.25">
      <c r="A385" s="206" t="s">
        <v>159</v>
      </c>
      <c r="B385" s="381" t="s">
        <v>570</v>
      </c>
      <c r="C385" s="373"/>
      <c r="D385" s="343"/>
      <c r="E385" s="347" t="s">
        <v>131</v>
      </c>
      <c r="F385" s="412"/>
      <c r="G385" s="342"/>
      <c r="H385" s="344">
        <v>656</v>
      </c>
      <c r="I385" s="345">
        <v>46.85</v>
      </c>
      <c r="J385" s="345">
        <v>30739.38</v>
      </c>
      <c r="K385" s="320">
        <f>+Table7[[#This Row],[стойност]]</f>
        <v>30739.38</v>
      </c>
      <c r="L385" s="342">
        <v>30739.38</v>
      </c>
      <c r="M385" s="373">
        <v>45383</v>
      </c>
      <c r="N385" s="342">
        <f>+Table7[[#This Row],[стойност с ДДС]]-Table7[[#This Row],[направено плащане]]</f>
        <v>0</v>
      </c>
      <c r="O385" s="346"/>
    </row>
    <row r="386" spans="1:15" ht="20.100000000000001" customHeight="1" x14ac:dyDescent="0.25">
      <c r="A386" s="206" t="s">
        <v>153</v>
      </c>
      <c r="B386" s="381" t="s">
        <v>637</v>
      </c>
      <c r="C386" s="373">
        <v>45382</v>
      </c>
      <c r="D386" s="343"/>
      <c r="E386" s="347" t="s">
        <v>131</v>
      </c>
      <c r="F386" s="412" t="s">
        <v>638</v>
      </c>
      <c r="G386" s="342"/>
      <c r="H386" s="344">
        <v>200</v>
      </c>
      <c r="I386" s="345">
        <v>43</v>
      </c>
      <c r="J386" s="345">
        <f t="shared" ref="J386:J398" si="38">I386*H386</f>
        <v>8600</v>
      </c>
      <c r="K386" s="320">
        <f t="shared" ref="K386:K402" si="39">J386*1.2</f>
        <v>10320</v>
      </c>
      <c r="L386" s="342">
        <v>10320</v>
      </c>
      <c r="M386" s="373">
        <v>45386</v>
      </c>
      <c r="N386" s="342">
        <f>+Table7[[#This Row],[стойност с ДДС]]-Table7[[#This Row],[направено плащане]]</f>
        <v>0</v>
      </c>
      <c r="O386" s="346"/>
    </row>
    <row r="387" spans="1:15" ht="20.100000000000001" customHeight="1" x14ac:dyDescent="0.25">
      <c r="A387" s="206" t="s">
        <v>37</v>
      </c>
      <c r="B387" s="378" t="s">
        <v>639</v>
      </c>
      <c r="C387" s="371">
        <v>45382</v>
      </c>
      <c r="D387" s="337"/>
      <c r="E387" s="347" t="s">
        <v>131</v>
      </c>
      <c r="F387" s="409" t="s">
        <v>640</v>
      </c>
      <c r="G387" s="322"/>
      <c r="H387" s="324">
        <v>800</v>
      </c>
      <c r="I387" s="325">
        <v>46.3</v>
      </c>
      <c r="J387" s="325">
        <f>I387*H387</f>
        <v>37040</v>
      </c>
      <c r="K387" s="318">
        <f>J387*1.2</f>
        <v>44448</v>
      </c>
      <c r="L387" s="322">
        <v>44448</v>
      </c>
      <c r="M387" s="371">
        <v>45390</v>
      </c>
      <c r="N387" s="322">
        <f>+Table7[[#This Row],[стойност с ДДС]]-Table7[[#This Row],[направено плащане]]</f>
        <v>0</v>
      </c>
      <c r="O387" s="327"/>
    </row>
    <row r="388" spans="1:15" ht="20.100000000000001" customHeight="1" x14ac:dyDescent="0.25">
      <c r="A388" s="206" t="s">
        <v>268</v>
      </c>
      <c r="B388" s="381" t="s">
        <v>641</v>
      </c>
      <c r="C388" s="373">
        <v>45382</v>
      </c>
      <c r="D388" s="343"/>
      <c r="E388" s="347" t="s">
        <v>131</v>
      </c>
      <c r="F388" s="412" t="s">
        <v>642</v>
      </c>
      <c r="G388" s="342"/>
      <c r="H388" s="344">
        <v>1</v>
      </c>
      <c r="I388" s="345">
        <v>40746.458299999998</v>
      </c>
      <c r="J388" s="345">
        <f t="shared" si="38"/>
        <v>40746.458299999998</v>
      </c>
      <c r="K388" s="320">
        <f t="shared" si="39"/>
        <v>48895.749959999994</v>
      </c>
      <c r="L388" s="342"/>
      <c r="M388" s="373"/>
      <c r="N388" s="342">
        <f>+Table7[[#This Row],[стойност с ДДС]]-Table7[[#This Row],[направено плащане]]</f>
        <v>48895.749959999994</v>
      </c>
      <c r="O388" s="346">
        <v>45391</v>
      </c>
    </row>
    <row r="389" spans="1:15" ht="20.100000000000001" customHeight="1" x14ac:dyDescent="0.25">
      <c r="A389" s="206" t="s">
        <v>268</v>
      </c>
      <c r="B389" s="378" t="s">
        <v>643</v>
      </c>
      <c r="C389" s="371">
        <v>45382</v>
      </c>
      <c r="D389" s="337"/>
      <c r="E389" s="347" t="s">
        <v>131</v>
      </c>
      <c r="F389" s="412" t="s">
        <v>642</v>
      </c>
      <c r="G389" s="322"/>
      <c r="H389" s="324">
        <v>1</v>
      </c>
      <c r="I389" s="325">
        <v>122239.375</v>
      </c>
      <c r="J389" s="325">
        <f t="shared" si="38"/>
        <v>122239.375</v>
      </c>
      <c r="K389" s="318">
        <f t="shared" si="39"/>
        <v>146687.25</v>
      </c>
      <c r="L389" s="322"/>
      <c r="M389" s="371"/>
      <c r="N389" s="322">
        <f>+Table7[[#This Row],[стойност с ДДС]]-Table7[[#This Row],[направено плащане]]</f>
        <v>146687.25</v>
      </c>
      <c r="O389" s="327"/>
    </row>
    <row r="390" spans="1:15" ht="20.100000000000001" customHeight="1" x14ac:dyDescent="0.25">
      <c r="A390" s="206" t="s">
        <v>352</v>
      </c>
      <c r="B390" s="381" t="s">
        <v>644</v>
      </c>
      <c r="C390" s="373">
        <v>45381</v>
      </c>
      <c r="D390" s="343"/>
      <c r="E390" s="347" t="s">
        <v>131</v>
      </c>
      <c r="F390" s="412"/>
      <c r="G390" s="342"/>
      <c r="H390" s="344">
        <v>180</v>
      </c>
      <c r="I390" s="345">
        <v>41</v>
      </c>
      <c r="J390" s="345">
        <f t="shared" si="38"/>
        <v>7380</v>
      </c>
      <c r="K390" s="320">
        <f t="shared" si="39"/>
        <v>8856</v>
      </c>
      <c r="L390" s="342">
        <v>8856</v>
      </c>
      <c r="M390" s="373">
        <v>45386</v>
      </c>
      <c r="N390" s="342">
        <f>+Table7[[#This Row],[стойност с ДДС]]-Table7[[#This Row],[направено плащане]]</f>
        <v>0</v>
      </c>
      <c r="O390" s="346"/>
    </row>
    <row r="391" spans="1:15" ht="20.100000000000001" customHeight="1" x14ac:dyDescent="0.25">
      <c r="A391" s="206" t="s">
        <v>37</v>
      </c>
      <c r="B391" s="381" t="s">
        <v>645</v>
      </c>
      <c r="C391" s="373">
        <v>45383</v>
      </c>
      <c r="D391" s="343"/>
      <c r="E391" s="347" t="s">
        <v>131</v>
      </c>
      <c r="F391" s="412" t="s">
        <v>646</v>
      </c>
      <c r="G391" s="342"/>
      <c r="H391" s="344">
        <v>500</v>
      </c>
      <c r="I391" s="345">
        <v>44.5</v>
      </c>
      <c r="J391" s="345">
        <f t="shared" si="38"/>
        <v>22250</v>
      </c>
      <c r="K391" s="320">
        <f t="shared" si="39"/>
        <v>26700</v>
      </c>
      <c r="L391" s="342">
        <v>26700</v>
      </c>
      <c r="M391" s="373">
        <v>45387</v>
      </c>
      <c r="N391" s="342">
        <f>+Table7[[#This Row],[стойност с ДДС]]-Table7[[#This Row],[направено плащане]]</f>
        <v>0</v>
      </c>
      <c r="O391" s="346">
        <v>45390</v>
      </c>
    </row>
    <row r="392" spans="1:15" ht="20.100000000000001" customHeight="1" x14ac:dyDescent="0.3">
      <c r="A392" s="206" t="s">
        <v>914</v>
      </c>
      <c r="B392" s="381" t="s">
        <v>647</v>
      </c>
      <c r="C392" s="373">
        <v>45383</v>
      </c>
      <c r="D392" s="343"/>
      <c r="E392" s="323" t="s">
        <v>263</v>
      </c>
      <c r="F392" s="412"/>
      <c r="G392" s="342">
        <v>45383</v>
      </c>
      <c r="H392" s="344">
        <v>225</v>
      </c>
      <c r="I392" s="345">
        <v>66.409000000000006</v>
      </c>
      <c r="J392" s="345">
        <f t="shared" si="38"/>
        <v>14942.025000000001</v>
      </c>
      <c r="K392" s="320">
        <f t="shared" si="39"/>
        <v>17930.43</v>
      </c>
      <c r="L392" s="342">
        <v>17930.43</v>
      </c>
      <c r="M392" s="373">
        <v>45394</v>
      </c>
      <c r="N392" s="342">
        <f>+Table7[[#This Row],[стойност с ДДС]]-Table7[[#This Row],[направено плащане]]</f>
        <v>0</v>
      </c>
      <c r="O392" s="346"/>
    </row>
    <row r="393" spans="1:15" ht="20.100000000000001" customHeight="1" x14ac:dyDescent="0.3">
      <c r="A393" s="206" t="s">
        <v>914</v>
      </c>
      <c r="B393" s="378" t="s">
        <v>648</v>
      </c>
      <c r="C393" s="371">
        <v>45383</v>
      </c>
      <c r="D393" s="337"/>
      <c r="E393" s="323" t="s">
        <v>263</v>
      </c>
      <c r="F393" s="409"/>
      <c r="G393" s="342">
        <v>45383</v>
      </c>
      <c r="H393" s="324">
        <v>225</v>
      </c>
      <c r="I393" s="325">
        <v>66.409036999999998</v>
      </c>
      <c r="J393" s="325">
        <f t="shared" si="38"/>
        <v>14942.033325</v>
      </c>
      <c r="K393" s="318">
        <f>J393*1.2</f>
        <v>17930.439989999999</v>
      </c>
      <c r="L393" s="322">
        <v>17930.439999999999</v>
      </c>
      <c r="M393" s="371">
        <v>45386</v>
      </c>
      <c r="N393" s="322">
        <f>+Table7[[#This Row],[стойност с ДДС]]-Table7[[#This Row],[направено плащане]]</f>
        <v>-9.9999997473787516E-6</v>
      </c>
      <c r="O393" s="327"/>
    </row>
    <row r="394" spans="1:15" ht="20.100000000000001" customHeight="1" x14ac:dyDescent="0.25">
      <c r="A394" s="206" t="s">
        <v>352</v>
      </c>
      <c r="B394" s="381" t="s">
        <v>649</v>
      </c>
      <c r="C394" s="373">
        <v>45383</v>
      </c>
      <c r="D394" s="343"/>
      <c r="E394" s="347" t="s">
        <v>131</v>
      </c>
      <c r="F394" s="412" t="s">
        <v>650</v>
      </c>
      <c r="G394" s="342"/>
      <c r="H394" s="344">
        <v>300</v>
      </c>
      <c r="I394" s="345">
        <v>42.9</v>
      </c>
      <c r="J394" s="345">
        <f t="shared" si="38"/>
        <v>12870</v>
      </c>
      <c r="K394" s="320">
        <f t="shared" si="39"/>
        <v>15444</v>
      </c>
      <c r="L394" s="342">
        <v>15444</v>
      </c>
      <c r="M394" s="373">
        <v>45387</v>
      </c>
      <c r="N394" s="342">
        <f>+Table7[[#This Row],[стойност с ДДС]]-Table7[[#This Row],[направено плащане]]</f>
        <v>0</v>
      </c>
      <c r="O394" s="346"/>
    </row>
    <row r="395" spans="1:15" ht="20.100000000000001" customHeight="1" x14ac:dyDescent="0.25">
      <c r="A395" s="206" t="s">
        <v>268</v>
      </c>
      <c r="B395" s="381" t="s">
        <v>651</v>
      </c>
      <c r="C395" s="373">
        <v>45379</v>
      </c>
      <c r="D395" s="343"/>
      <c r="E395" s="347" t="s">
        <v>131</v>
      </c>
      <c r="F395" s="412"/>
      <c r="G395" s="342"/>
      <c r="H395" s="344">
        <v>70</v>
      </c>
      <c r="I395" s="345">
        <v>45</v>
      </c>
      <c r="J395" s="345">
        <f t="shared" si="38"/>
        <v>3150</v>
      </c>
      <c r="K395" s="320">
        <f t="shared" si="39"/>
        <v>3780</v>
      </c>
      <c r="L395" s="342">
        <v>3780</v>
      </c>
      <c r="M395" s="373">
        <v>45385</v>
      </c>
      <c r="N395" s="342">
        <f>+Table7[[#This Row],[стойност с ДДС]]-Table7[[#This Row],[направено плащане]]</f>
        <v>0</v>
      </c>
      <c r="O395" s="346"/>
    </row>
    <row r="396" spans="1:15" ht="20.100000000000001" customHeight="1" x14ac:dyDescent="0.25">
      <c r="A396" s="206" t="s">
        <v>101</v>
      </c>
      <c r="B396" s="388" t="s">
        <v>652</v>
      </c>
      <c r="C396" s="373">
        <v>45382</v>
      </c>
      <c r="D396" s="343"/>
      <c r="E396" s="347" t="s">
        <v>131</v>
      </c>
      <c r="F396" s="412"/>
      <c r="G396" s="342"/>
      <c r="H396" s="344">
        <v>500</v>
      </c>
      <c r="I396" s="345">
        <v>45</v>
      </c>
      <c r="J396" s="345">
        <f t="shared" si="38"/>
        <v>22500</v>
      </c>
      <c r="K396" s="320">
        <f t="shared" si="39"/>
        <v>27000</v>
      </c>
      <c r="L396" s="342">
        <v>27000</v>
      </c>
      <c r="M396" s="373">
        <v>45386</v>
      </c>
      <c r="N396" s="342">
        <f>+Table7[[#This Row],[стойност с ДДС]]-Table7[[#This Row],[направено плащане]]</f>
        <v>0</v>
      </c>
      <c r="O396" s="346"/>
    </row>
    <row r="397" spans="1:15" ht="20.100000000000001" customHeight="1" x14ac:dyDescent="0.25">
      <c r="A397" s="206" t="s">
        <v>157</v>
      </c>
      <c r="B397" s="381" t="s">
        <v>653</v>
      </c>
      <c r="C397" s="373">
        <v>45382</v>
      </c>
      <c r="D397" s="343"/>
      <c r="E397" s="347" t="s">
        <v>131</v>
      </c>
      <c r="F397" s="412"/>
      <c r="G397" s="342"/>
      <c r="H397" s="344">
        <v>50</v>
      </c>
      <c r="I397" s="345">
        <v>44</v>
      </c>
      <c r="J397" s="345">
        <f t="shared" si="38"/>
        <v>2200</v>
      </c>
      <c r="K397" s="320">
        <f t="shared" si="39"/>
        <v>2640</v>
      </c>
      <c r="L397" s="342">
        <v>2640</v>
      </c>
      <c r="M397" s="373">
        <v>45386</v>
      </c>
      <c r="N397" s="342">
        <f>+Table7[[#This Row],[стойност с ДДС]]-Table7[[#This Row],[направено плащане]]</f>
        <v>0</v>
      </c>
      <c r="O397" s="346"/>
    </row>
    <row r="398" spans="1:15" ht="20.100000000000001" customHeight="1" x14ac:dyDescent="0.3">
      <c r="A398" s="206" t="s">
        <v>235</v>
      </c>
      <c r="B398" s="381" t="s">
        <v>654</v>
      </c>
      <c r="C398" s="373">
        <v>45383</v>
      </c>
      <c r="D398" s="343"/>
      <c r="E398" s="323" t="s">
        <v>263</v>
      </c>
      <c r="F398" s="412"/>
      <c r="G398" s="342"/>
      <c r="H398" s="344">
        <v>9300</v>
      </c>
      <c r="I398" s="345">
        <f>28.65*1.95583</f>
        <v>56.034529499999998</v>
      </c>
      <c r="J398" s="345">
        <f t="shared" si="38"/>
        <v>521121.12435</v>
      </c>
      <c r="K398" s="320">
        <f t="shared" si="39"/>
        <v>625345.34921999997</v>
      </c>
      <c r="L398" s="342"/>
      <c r="M398" s="373"/>
      <c r="N398" s="342">
        <f>+Table7[[#This Row],[стойност с ДДС]]-Table7[[#This Row],[направено плащане]]</f>
        <v>625345.34921999997</v>
      </c>
      <c r="O398" s="346"/>
    </row>
    <row r="399" spans="1:15" ht="20.100000000000001" customHeight="1" x14ac:dyDescent="0.3">
      <c r="A399" s="206" t="s">
        <v>655</v>
      </c>
      <c r="B399" s="381" t="s">
        <v>656</v>
      </c>
      <c r="C399" s="373">
        <v>45380</v>
      </c>
      <c r="D399" s="343"/>
      <c r="E399" s="332" t="s">
        <v>422</v>
      </c>
      <c r="F399" s="412"/>
      <c r="G399" s="342"/>
      <c r="H399" s="344"/>
      <c r="I399" s="345"/>
      <c r="J399" s="345">
        <v>6.3417000000000003</v>
      </c>
      <c r="K399" s="320">
        <f t="shared" si="39"/>
        <v>7.6100399999999997</v>
      </c>
      <c r="L399" s="342"/>
      <c r="M399" s="373"/>
      <c r="N399" s="342">
        <f>+Table7[[#This Row],[стойност с ДДС]]-Table7[[#This Row],[направено плащане]]</f>
        <v>7.6100399999999997</v>
      </c>
      <c r="O399" s="346"/>
    </row>
    <row r="400" spans="1:15" ht="20.100000000000001" customHeight="1" x14ac:dyDescent="0.25">
      <c r="A400" s="206" t="s">
        <v>118</v>
      </c>
      <c r="B400" s="381" t="s">
        <v>657</v>
      </c>
      <c r="C400" s="373">
        <v>45382</v>
      </c>
      <c r="D400" s="343"/>
      <c r="E400" s="347" t="s">
        <v>131</v>
      </c>
      <c r="F400" s="412" t="s">
        <v>658</v>
      </c>
      <c r="G400" s="342"/>
      <c r="H400" s="344">
        <v>200</v>
      </c>
      <c r="I400" s="345">
        <v>42.2</v>
      </c>
      <c r="J400" s="345">
        <f t="shared" ref="J400:J408" si="40">I400*H400</f>
        <v>8440</v>
      </c>
      <c r="K400" s="320">
        <f t="shared" si="39"/>
        <v>10128</v>
      </c>
      <c r="L400" s="342">
        <v>10128</v>
      </c>
      <c r="M400" s="373">
        <v>45386</v>
      </c>
      <c r="N400" s="342">
        <f>+Table7[[#This Row],[стойност с ДДС]]-Table7[[#This Row],[направено плащане]]</f>
        <v>0</v>
      </c>
      <c r="O400" s="346"/>
    </row>
    <row r="401" spans="1:15" ht="20.100000000000001" customHeight="1" x14ac:dyDescent="0.25">
      <c r="A401" s="206" t="s">
        <v>118</v>
      </c>
      <c r="B401" s="378" t="s">
        <v>659</v>
      </c>
      <c r="C401" s="371">
        <v>45380</v>
      </c>
      <c r="D401" s="337"/>
      <c r="E401" s="347" t="s">
        <v>131</v>
      </c>
      <c r="F401" s="409" t="s">
        <v>660</v>
      </c>
      <c r="G401" s="322"/>
      <c r="H401" s="324">
        <v>1200</v>
      </c>
      <c r="I401" s="325">
        <v>44.5</v>
      </c>
      <c r="J401" s="325">
        <f t="shared" si="40"/>
        <v>53400</v>
      </c>
      <c r="K401" s="318">
        <f>J401*1.2</f>
        <v>64080</v>
      </c>
      <c r="L401" s="322">
        <v>64080</v>
      </c>
      <c r="M401" s="371">
        <v>45386</v>
      </c>
      <c r="N401" s="322">
        <f>+Table7[[#This Row],[стойност с ДДС]]-Table7[[#This Row],[направено плащане]]</f>
        <v>0</v>
      </c>
      <c r="O401" s="327"/>
    </row>
    <row r="402" spans="1:15" ht="20.100000000000001" customHeight="1" x14ac:dyDescent="0.25">
      <c r="A402" s="206" t="s">
        <v>118</v>
      </c>
      <c r="B402" s="381" t="s">
        <v>659</v>
      </c>
      <c r="C402" s="373">
        <v>45380</v>
      </c>
      <c r="D402" s="343"/>
      <c r="E402" s="347" t="s">
        <v>131</v>
      </c>
      <c r="F402" s="412" t="s">
        <v>661</v>
      </c>
      <c r="G402" s="342"/>
      <c r="H402" s="344">
        <v>100</v>
      </c>
      <c r="I402" s="345">
        <v>45</v>
      </c>
      <c r="J402" s="345">
        <f t="shared" si="40"/>
        <v>4500</v>
      </c>
      <c r="K402" s="320">
        <f t="shared" si="39"/>
        <v>5400</v>
      </c>
      <c r="L402" s="342">
        <v>5400</v>
      </c>
      <c r="M402" s="373">
        <v>45386</v>
      </c>
      <c r="N402" s="342">
        <f>+Table7[[#This Row],[стойност с ДДС]]-Table7[[#This Row],[направено плащане]]</f>
        <v>0</v>
      </c>
      <c r="O402" s="346"/>
    </row>
    <row r="403" spans="1:15" ht="20.100000000000001" customHeight="1" x14ac:dyDescent="0.3">
      <c r="A403" s="206" t="s">
        <v>99</v>
      </c>
      <c r="B403" s="381" t="s">
        <v>662</v>
      </c>
      <c r="C403" s="373">
        <v>45384</v>
      </c>
      <c r="D403" s="343"/>
      <c r="E403" s="323" t="s">
        <v>458</v>
      </c>
      <c r="F403" s="412"/>
      <c r="G403" s="342"/>
      <c r="H403" s="344">
        <v>68</v>
      </c>
      <c r="I403" s="345">
        <v>927.62800000000004</v>
      </c>
      <c r="J403" s="345">
        <f t="shared" si="40"/>
        <v>63078.704000000005</v>
      </c>
      <c r="K403" s="320">
        <f>J403*1.2</f>
        <v>75694.444799999997</v>
      </c>
      <c r="L403" s="342">
        <v>75694.44</v>
      </c>
      <c r="M403" s="373">
        <v>45387</v>
      </c>
      <c r="N403" s="342">
        <f>+Table7[[#This Row],[стойност с ДДС]]-Table7[[#This Row],[направено плащане]]</f>
        <v>4.7999999951571226E-3</v>
      </c>
      <c r="O403" s="346"/>
    </row>
    <row r="404" spans="1:15" ht="20.100000000000001" customHeight="1" x14ac:dyDescent="0.25">
      <c r="A404" s="206" t="s">
        <v>118</v>
      </c>
      <c r="B404" s="381" t="s">
        <v>663</v>
      </c>
      <c r="C404" s="373">
        <v>45384</v>
      </c>
      <c r="D404" s="343"/>
      <c r="E404" s="347" t="s">
        <v>131</v>
      </c>
      <c r="F404" s="412" t="s">
        <v>664</v>
      </c>
      <c r="G404" s="342"/>
      <c r="H404" s="344">
        <v>500</v>
      </c>
      <c r="I404" s="345">
        <v>43.5</v>
      </c>
      <c r="J404" s="345">
        <f t="shared" si="40"/>
        <v>21750</v>
      </c>
      <c r="K404" s="320">
        <f>J404*1.2</f>
        <v>26100</v>
      </c>
      <c r="L404" s="342">
        <v>26100</v>
      </c>
      <c r="M404" s="373">
        <v>45390</v>
      </c>
      <c r="N404" s="342">
        <f>+Table7[[#This Row],[стойност с ДДС]]-Table7[[#This Row],[направено плащане]]</f>
        <v>0</v>
      </c>
      <c r="O404" s="346"/>
    </row>
    <row r="405" spans="1:15" ht="20.100000000000001" customHeight="1" x14ac:dyDescent="0.25">
      <c r="A405" s="206" t="s">
        <v>159</v>
      </c>
      <c r="B405" s="381" t="s">
        <v>665</v>
      </c>
      <c r="C405" s="373">
        <v>45384</v>
      </c>
      <c r="D405" s="343"/>
      <c r="E405" s="347" t="s">
        <v>131</v>
      </c>
      <c r="F405" s="412" t="s">
        <v>666</v>
      </c>
      <c r="G405" s="342"/>
      <c r="H405" s="344">
        <v>500</v>
      </c>
      <c r="I405" s="345">
        <f>22.39458*1.95583</f>
        <v>43.7999914014</v>
      </c>
      <c r="J405" s="345">
        <f t="shared" si="40"/>
        <v>21899.995700700001</v>
      </c>
      <c r="K405" s="320">
        <f>+Table7[[#This Row],[стойност]]</f>
        <v>21899.995700700001</v>
      </c>
      <c r="L405" s="342"/>
      <c r="M405" s="373"/>
      <c r="N405" s="342">
        <f>+Table7[[#This Row],[стойност с ДДС]]-Table7[[#This Row],[направено плащане]]</f>
        <v>21899.995700700001</v>
      </c>
      <c r="O405" s="346"/>
    </row>
    <row r="406" spans="1:15" ht="20.100000000000001" customHeight="1" x14ac:dyDescent="0.25">
      <c r="A406" s="206" t="s">
        <v>159</v>
      </c>
      <c r="B406" s="381" t="s">
        <v>667</v>
      </c>
      <c r="C406" s="373">
        <v>45382</v>
      </c>
      <c r="D406" s="343"/>
      <c r="E406" s="347" t="s">
        <v>131</v>
      </c>
      <c r="F406" s="412"/>
      <c r="G406" s="342"/>
      <c r="H406" s="344">
        <v>800</v>
      </c>
      <c r="I406" s="345">
        <v>46.3</v>
      </c>
      <c r="J406" s="345">
        <f t="shared" si="40"/>
        <v>37040</v>
      </c>
      <c r="K406" s="320">
        <f t="shared" ref="K406:K413" si="41">J406*1.2</f>
        <v>44448</v>
      </c>
      <c r="L406" s="342"/>
      <c r="M406" s="373"/>
      <c r="N406" s="342">
        <f>+Table7[[#This Row],[стойност с ДДС]]-Table7[[#This Row],[направено плащане]]</f>
        <v>44448</v>
      </c>
      <c r="O406" s="346">
        <v>45391</v>
      </c>
    </row>
    <row r="407" spans="1:15" ht="20.100000000000001" customHeight="1" x14ac:dyDescent="0.25">
      <c r="A407" s="206" t="s">
        <v>352</v>
      </c>
      <c r="B407" s="381" t="s">
        <v>668</v>
      </c>
      <c r="C407" s="373">
        <v>45378</v>
      </c>
      <c r="D407" s="343"/>
      <c r="E407" s="347" t="s">
        <v>131</v>
      </c>
      <c r="F407" s="412" t="s">
        <v>669</v>
      </c>
      <c r="G407" s="342"/>
      <c r="H407" s="344">
        <v>250</v>
      </c>
      <c r="I407" s="345">
        <v>46.1</v>
      </c>
      <c r="J407" s="345">
        <f t="shared" si="40"/>
        <v>11525</v>
      </c>
      <c r="K407" s="320">
        <f t="shared" si="41"/>
        <v>13830</v>
      </c>
      <c r="L407" s="342">
        <v>13830</v>
      </c>
      <c r="M407" s="373">
        <v>45386</v>
      </c>
      <c r="N407" s="342">
        <f>+Table7[[#This Row],[стойност с ДДС]]-Table7[[#This Row],[направено плащане]]</f>
        <v>0</v>
      </c>
      <c r="O407" s="346"/>
    </row>
    <row r="408" spans="1:15" ht="20.100000000000001" customHeight="1" x14ac:dyDescent="0.25">
      <c r="A408" s="206" t="s">
        <v>99</v>
      </c>
      <c r="B408" s="381" t="s">
        <v>670</v>
      </c>
      <c r="C408" s="373">
        <v>45383</v>
      </c>
      <c r="D408" s="343"/>
      <c r="E408" s="347" t="s">
        <v>131</v>
      </c>
      <c r="F408" s="412" t="s">
        <v>671</v>
      </c>
      <c r="G408" s="342"/>
      <c r="H408" s="344">
        <v>30</v>
      </c>
      <c r="I408" s="345">
        <v>38</v>
      </c>
      <c r="J408" s="345">
        <f t="shared" si="40"/>
        <v>1140</v>
      </c>
      <c r="K408" s="320">
        <f t="shared" si="41"/>
        <v>1368</v>
      </c>
      <c r="L408" s="342">
        <v>1368</v>
      </c>
      <c r="M408" s="373">
        <v>45387</v>
      </c>
      <c r="N408" s="342">
        <f>+Table7[[#This Row],[стойност с ДДС]]-Table7[[#This Row],[направено плащане]]</f>
        <v>0</v>
      </c>
      <c r="O408" s="346"/>
    </row>
    <row r="409" spans="1:15" ht="20.100000000000001" customHeight="1" x14ac:dyDescent="0.3">
      <c r="A409" s="206" t="s">
        <v>341</v>
      </c>
      <c r="B409" s="381" t="s">
        <v>672</v>
      </c>
      <c r="C409" s="373">
        <v>45384</v>
      </c>
      <c r="D409" s="343"/>
      <c r="E409" s="332" t="s">
        <v>343</v>
      </c>
      <c r="F409" s="412" t="s">
        <v>536</v>
      </c>
      <c r="G409" s="342"/>
      <c r="H409" s="344">
        <v>1</v>
      </c>
      <c r="I409" s="345">
        <v>2900</v>
      </c>
      <c r="J409" s="345">
        <f t="shared" ref="J409:J422" si="42">I409*H409</f>
        <v>2900</v>
      </c>
      <c r="K409" s="320">
        <f t="shared" si="41"/>
        <v>3480</v>
      </c>
      <c r="L409" s="342"/>
      <c r="M409" s="373"/>
      <c r="N409" s="342">
        <f>+Table7[[#This Row],[стойност с ДДС]]-Table7[[#This Row],[направено плащане]]</f>
        <v>3480</v>
      </c>
      <c r="O409" s="346"/>
    </row>
    <row r="410" spans="1:15" ht="20.100000000000001" customHeight="1" x14ac:dyDescent="0.3">
      <c r="A410" s="206" t="s">
        <v>341</v>
      </c>
      <c r="B410" s="378" t="s">
        <v>673</v>
      </c>
      <c r="C410" s="371">
        <v>45382</v>
      </c>
      <c r="D410" s="337"/>
      <c r="E410" s="332" t="s">
        <v>343</v>
      </c>
      <c r="F410" s="409" t="s">
        <v>412</v>
      </c>
      <c r="G410" s="322"/>
      <c r="H410" s="324">
        <v>1</v>
      </c>
      <c r="I410" s="325">
        <v>100</v>
      </c>
      <c r="J410" s="325">
        <f t="shared" si="42"/>
        <v>100</v>
      </c>
      <c r="K410" s="318">
        <f t="shared" si="41"/>
        <v>120</v>
      </c>
      <c r="L410" s="322">
        <v>120</v>
      </c>
      <c r="M410" s="371">
        <v>45387</v>
      </c>
      <c r="N410" s="322">
        <f>+Table7[[#This Row],[стойност с ДДС]]-Table7[[#This Row],[направено плащане]]</f>
        <v>0</v>
      </c>
      <c r="O410" s="327"/>
    </row>
    <row r="411" spans="1:15" ht="20.100000000000001" customHeight="1" x14ac:dyDescent="0.3">
      <c r="A411" s="206" t="s">
        <v>341</v>
      </c>
      <c r="B411" s="378" t="s">
        <v>674</v>
      </c>
      <c r="C411" s="371" t="s">
        <v>675</v>
      </c>
      <c r="D411" s="337"/>
      <c r="E411" s="332" t="s">
        <v>343</v>
      </c>
      <c r="F411" s="409"/>
      <c r="G411" s="322"/>
      <c r="H411" s="324">
        <v>32167</v>
      </c>
      <c r="I411" s="325">
        <v>0.05</v>
      </c>
      <c r="J411" s="325">
        <f t="shared" si="42"/>
        <v>1608.3500000000001</v>
      </c>
      <c r="K411" s="318">
        <f t="shared" si="41"/>
        <v>1930.02</v>
      </c>
      <c r="L411" s="322">
        <v>1930.02</v>
      </c>
      <c r="M411" s="373">
        <v>45387</v>
      </c>
      <c r="N411" s="322">
        <f>+Table7[[#This Row],[стойност с ДДС]]-Table7[[#This Row],[направено плащане]]</f>
        <v>0</v>
      </c>
      <c r="O411" s="327"/>
    </row>
    <row r="412" spans="1:15" ht="20.100000000000001" customHeight="1" x14ac:dyDescent="0.3">
      <c r="A412" s="206" t="s">
        <v>341</v>
      </c>
      <c r="B412" s="378" t="s">
        <v>674</v>
      </c>
      <c r="C412" s="371" t="s">
        <v>675</v>
      </c>
      <c r="D412" s="337"/>
      <c r="E412" s="332" t="s">
        <v>343</v>
      </c>
      <c r="F412" s="412"/>
      <c r="G412" s="342"/>
      <c r="H412" s="344">
        <v>7688</v>
      </c>
      <c r="I412" s="345">
        <v>0.02</v>
      </c>
      <c r="J412" s="345">
        <f t="shared" si="42"/>
        <v>153.76</v>
      </c>
      <c r="K412" s="320">
        <f t="shared" si="41"/>
        <v>184.51199999999997</v>
      </c>
      <c r="L412" s="342">
        <v>184.51</v>
      </c>
      <c r="M412" s="373">
        <v>45387</v>
      </c>
      <c r="N412" s="342">
        <f>+Table7[[#This Row],[стойност с ДДС]]-Table7[[#This Row],[направено плащане]]</f>
        <v>1.999999999981128E-3</v>
      </c>
      <c r="O412" s="346"/>
    </row>
    <row r="413" spans="1:15" ht="20.100000000000001" customHeight="1" x14ac:dyDescent="0.3">
      <c r="A413" s="206" t="s">
        <v>341</v>
      </c>
      <c r="B413" s="378" t="s">
        <v>676</v>
      </c>
      <c r="C413" s="371">
        <v>45384</v>
      </c>
      <c r="D413" s="337"/>
      <c r="E413" s="332" t="s">
        <v>343</v>
      </c>
      <c r="F413" s="409" t="s">
        <v>677</v>
      </c>
      <c r="G413" s="322"/>
      <c r="H413" s="324">
        <v>1</v>
      </c>
      <c r="I413" s="325">
        <v>200</v>
      </c>
      <c r="J413" s="325">
        <f t="shared" si="42"/>
        <v>200</v>
      </c>
      <c r="K413" s="318">
        <f t="shared" si="41"/>
        <v>240</v>
      </c>
      <c r="L413" s="322"/>
      <c r="M413" s="371"/>
      <c r="N413" s="322">
        <f>+Table7[[#This Row],[стойност с ДДС]]-Table7[[#This Row],[направено плащане]]</f>
        <v>240</v>
      </c>
      <c r="O413" s="327"/>
    </row>
    <row r="414" spans="1:15" ht="20.100000000000001" customHeight="1" x14ac:dyDescent="0.3">
      <c r="A414" s="206" t="s">
        <v>678</v>
      </c>
      <c r="B414" s="381" t="s">
        <v>679</v>
      </c>
      <c r="C414" s="373">
        <v>45384</v>
      </c>
      <c r="D414" s="343"/>
      <c r="E414" s="332" t="s">
        <v>343</v>
      </c>
      <c r="F414" s="412" t="s">
        <v>536</v>
      </c>
      <c r="G414" s="342"/>
      <c r="H414" s="344">
        <v>1</v>
      </c>
      <c r="I414" s="345">
        <f>304.99*1.95583</f>
        <v>596.50859170000001</v>
      </c>
      <c r="J414" s="325">
        <f t="shared" si="42"/>
        <v>596.50859170000001</v>
      </c>
      <c r="K414" s="320">
        <f>+Table7[[#This Row],[стойност]]</f>
        <v>596.50859170000001</v>
      </c>
      <c r="L414" s="342"/>
      <c r="M414" s="373"/>
      <c r="N414" s="342">
        <f>+Table7[[#This Row],[стойност с ДДС]]-Table7[[#This Row],[направено плащане]]</f>
        <v>596.50859170000001</v>
      </c>
      <c r="O414" s="346"/>
    </row>
    <row r="415" spans="1:15" ht="20.100000000000001" customHeight="1" x14ac:dyDescent="0.25">
      <c r="A415" s="206" t="s">
        <v>101</v>
      </c>
      <c r="B415" s="388" t="s">
        <v>680</v>
      </c>
      <c r="C415" s="373">
        <v>45385</v>
      </c>
      <c r="D415" s="343"/>
      <c r="E415" s="347" t="s">
        <v>131</v>
      </c>
      <c r="F415" s="412" t="s">
        <v>681</v>
      </c>
      <c r="G415" s="342"/>
      <c r="H415" s="344">
        <v>50</v>
      </c>
      <c r="I415" s="345">
        <v>43.5</v>
      </c>
      <c r="J415" s="345">
        <f t="shared" si="42"/>
        <v>2175</v>
      </c>
      <c r="K415" s="320">
        <f>J415*1.2</f>
        <v>2610</v>
      </c>
      <c r="L415" s="342">
        <v>2610</v>
      </c>
      <c r="M415" s="373">
        <v>45390</v>
      </c>
      <c r="N415" s="342">
        <f>+Table7[[#This Row],[стойност с ДДС]]-Table7[[#This Row],[направено плащане]]</f>
        <v>0</v>
      </c>
      <c r="O415" s="346"/>
    </row>
    <row r="416" spans="1:15" ht="20.100000000000001" customHeight="1" x14ac:dyDescent="0.25">
      <c r="A416" s="206" t="s">
        <v>101</v>
      </c>
      <c r="B416" s="388" t="s">
        <v>680</v>
      </c>
      <c r="C416" s="373">
        <v>45385</v>
      </c>
      <c r="D416" s="343"/>
      <c r="E416" s="347" t="s">
        <v>131</v>
      </c>
      <c r="F416" s="412" t="s">
        <v>682</v>
      </c>
      <c r="G416" s="342"/>
      <c r="H416" s="344">
        <v>100</v>
      </c>
      <c r="I416" s="345">
        <v>43</v>
      </c>
      <c r="J416" s="345">
        <f t="shared" si="42"/>
        <v>4300</v>
      </c>
      <c r="K416" s="320">
        <f>J416*1.2</f>
        <v>5160</v>
      </c>
      <c r="L416" s="342">
        <v>5160</v>
      </c>
      <c r="M416" s="373">
        <v>45390</v>
      </c>
      <c r="N416" s="342">
        <f>+Table7[[#This Row],[стойност с ДДС]]-Table7[[#This Row],[направено плащане]]</f>
        <v>0</v>
      </c>
      <c r="O416" s="346"/>
    </row>
    <row r="417" spans="1:15" ht="20.100000000000001" customHeight="1" x14ac:dyDescent="0.25">
      <c r="A417" s="206" t="s">
        <v>159</v>
      </c>
      <c r="B417" s="381" t="s">
        <v>683</v>
      </c>
      <c r="C417" s="373">
        <v>45385</v>
      </c>
      <c r="D417" s="343"/>
      <c r="E417" s="347" t="s">
        <v>131</v>
      </c>
      <c r="F417" s="412" t="s">
        <v>684</v>
      </c>
      <c r="G417" s="342"/>
      <c r="H417" s="344">
        <v>500</v>
      </c>
      <c r="I417" s="345">
        <f>22.13894*1.95583</f>
        <v>43.300003020200002</v>
      </c>
      <c r="J417" s="345">
        <f t="shared" si="42"/>
        <v>21650.001510100003</v>
      </c>
      <c r="K417" s="320">
        <v>21655.200000000001</v>
      </c>
      <c r="L417" s="342">
        <v>21655.200000000001</v>
      </c>
      <c r="M417" s="373">
        <v>45392</v>
      </c>
      <c r="N417" s="342">
        <f>+Table7[[#This Row],[стойност с ДДС]]-Table7[[#This Row],[направено плащане]]</f>
        <v>0</v>
      </c>
      <c r="O417" s="346"/>
    </row>
    <row r="418" spans="1:15" ht="20.100000000000001" customHeight="1" x14ac:dyDescent="0.25">
      <c r="A418" s="206" t="s">
        <v>99</v>
      </c>
      <c r="B418" s="381" t="s">
        <v>685</v>
      </c>
      <c r="C418" s="373">
        <v>45386</v>
      </c>
      <c r="D418" s="343"/>
      <c r="E418" s="347" t="s">
        <v>131</v>
      </c>
      <c r="F418" s="412" t="s">
        <v>686</v>
      </c>
      <c r="G418" s="342"/>
      <c r="H418" s="344">
        <v>30</v>
      </c>
      <c r="I418" s="345">
        <v>38</v>
      </c>
      <c r="J418" s="345">
        <f t="shared" si="42"/>
        <v>1140</v>
      </c>
      <c r="K418" s="320">
        <f t="shared" ref="K418:K427" si="43">J418*1.2</f>
        <v>1368</v>
      </c>
      <c r="L418" s="342"/>
      <c r="M418" s="373"/>
      <c r="N418" s="342">
        <f>+Table7[[#This Row],[стойност с ДДС]]-Table7[[#This Row],[направено плащане]]</f>
        <v>1368</v>
      </c>
      <c r="O418" s="346"/>
    </row>
    <row r="419" spans="1:15" ht="20.100000000000001" customHeight="1" x14ac:dyDescent="0.25">
      <c r="A419" s="206" t="s">
        <v>37</v>
      </c>
      <c r="B419" s="378" t="s">
        <v>687</v>
      </c>
      <c r="C419" s="371">
        <v>45362</v>
      </c>
      <c r="D419" s="337"/>
      <c r="E419" s="347" t="s">
        <v>131</v>
      </c>
      <c r="F419" s="409" t="s">
        <v>688</v>
      </c>
      <c r="G419" s="322"/>
      <c r="H419" s="324">
        <v>200</v>
      </c>
      <c r="I419" s="325">
        <v>44.6</v>
      </c>
      <c r="J419" s="325">
        <f>I419*H419</f>
        <v>8920</v>
      </c>
      <c r="K419" s="318">
        <f t="shared" si="43"/>
        <v>10704</v>
      </c>
      <c r="L419" s="322"/>
      <c r="M419" s="371"/>
      <c r="N419" s="322">
        <f>+Table7[[#This Row],[стойност с ДДС]]-Table7[[#This Row],[направено плащане]]</f>
        <v>10704</v>
      </c>
      <c r="O419" s="327">
        <v>45366</v>
      </c>
    </row>
    <row r="420" spans="1:15" ht="20.100000000000001" customHeight="1" x14ac:dyDescent="0.25">
      <c r="A420" s="206" t="s">
        <v>37</v>
      </c>
      <c r="B420" s="381" t="s">
        <v>689</v>
      </c>
      <c r="C420" s="373">
        <v>45386</v>
      </c>
      <c r="D420" s="343"/>
      <c r="E420" s="347" t="s">
        <v>131</v>
      </c>
      <c r="F420" s="412" t="s">
        <v>690</v>
      </c>
      <c r="G420" s="342"/>
      <c r="H420" s="344">
        <v>500</v>
      </c>
      <c r="I420" s="345">
        <v>43.5</v>
      </c>
      <c r="J420" s="345">
        <f t="shared" si="42"/>
        <v>21750</v>
      </c>
      <c r="K420" s="320">
        <f t="shared" si="43"/>
        <v>26100</v>
      </c>
      <c r="L420" s="342"/>
      <c r="M420" s="373"/>
      <c r="N420" s="342">
        <f>+Table7[[#This Row],[стойност с ДДС]]-Table7[[#This Row],[направено плащане]]</f>
        <v>26100</v>
      </c>
      <c r="O420" s="346"/>
    </row>
    <row r="421" spans="1:15" ht="20.100000000000001" customHeight="1" x14ac:dyDescent="0.25">
      <c r="A421" s="206" t="s">
        <v>37</v>
      </c>
      <c r="B421" s="378" t="s">
        <v>691</v>
      </c>
      <c r="C421" s="371">
        <v>45386</v>
      </c>
      <c r="D421" s="337"/>
      <c r="E421" s="347" t="s">
        <v>131</v>
      </c>
      <c r="F421" s="409" t="s">
        <v>692</v>
      </c>
      <c r="G421" s="322"/>
      <c r="H421" s="324">
        <v>200</v>
      </c>
      <c r="I421" s="325">
        <v>43</v>
      </c>
      <c r="J421" s="325">
        <f t="shared" si="42"/>
        <v>8600</v>
      </c>
      <c r="K421" s="318">
        <f t="shared" si="43"/>
        <v>10320</v>
      </c>
      <c r="L421" s="322"/>
      <c r="M421" s="371"/>
      <c r="N421" s="322">
        <f>+Table7[[#This Row],[стойност с ДДС]]-Table7[[#This Row],[направено плащане]]</f>
        <v>10320</v>
      </c>
      <c r="O421" s="327"/>
    </row>
    <row r="422" spans="1:15" ht="20.100000000000001" customHeight="1" x14ac:dyDescent="0.25">
      <c r="A422" s="206" t="s">
        <v>253</v>
      </c>
      <c r="B422" s="381" t="s">
        <v>693</v>
      </c>
      <c r="C422" s="373">
        <v>45386</v>
      </c>
      <c r="D422" s="343"/>
      <c r="E422" s="347" t="s">
        <v>131</v>
      </c>
      <c r="F422" s="412" t="s">
        <v>694</v>
      </c>
      <c r="G422" s="342"/>
      <c r="H422" s="344">
        <v>20</v>
      </c>
      <c r="I422" s="345">
        <v>42</v>
      </c>
      <c r="J422" s="345">
        <f t="shared" si="42"/>
        <v>840</v>
      </c>
      <c r="K422" s="320">
        <f t="shared" si="43"/>
        <v>1008</v>
      </c>
      <c r="L422" s="342">
        <v>1008</v>
      </c>
      <c r="M422" s="373">
        <v>45390</v>
      </c>
      <c r="N422" s="342">
        <f>+Table7[[#This Row],[стойност с ДДС]]-Table7[[#This Row],[направено плащане]]</f>
        <v>0</v>
      </c>
      <c r="O422" s="346"/>
    </row>
    <row r="423" spans="1:15" ht="20.100000000000001" customHeight="1" x14ac:dyDescent="0.25">
      <c r="A423" s="206" t="s">
        <v>352</v>
      </c>
      <c r="B423" s="381" t="s">
        <v>695</v>
      </c>
      <c r="C423" s="373">
        <v>45385</v>
      </c>
      <c r="D423" s="343"/>
      <c r="E423" s="347" t="s">
        <v>131</v>
      </c>
      <c r="F423" s="412" t="s">
        <v>696</v>
      </c>
      <c r="G423" s="342"/>
      <c r="H423" s="344">
        <v>100</v>
      </c>
      <c r="I423" s="345">
        <v>42</v>
      </c>
      <c r="J423" s="345">
        <f t="shared" ref="J423:J428" si="44">I423*H423</f>
        <v>4200</v>
      </c>
      <c r="K423" s="320">
        <f t="shared" si="43"/>
        <v>5040</v>
      </c>
      <c r="L423" s="342">
        <v>5040</v>
      </c>
      <c r="M423" s="373">
        <v>45393</v>
      </c>
      <c r="N423" s="342">
        <f>+Table7[[#This Row],[стойност с ДДС]]-Table7[[#This Row],[направено плащане]]</f>
        <v>0</v>
      </c>
      <c r="O423" s="346">
        <v>45385</v>
      </c>
    </row>
    <row r="424" spans="1:15" ht="20.100000000000001" customHeight="1" x14ac:dyDescent="0.25">
      <c r="A424" s="206" t="s">
        <v>352</v>
      </c>
      <c r="B424" s="381" t="s">
        <v>695</v>
      </c>
      <c r="C424" s="373">
        <v>45385</v>
      </c>
      <c r="D424" s="337"/>
      <c r="E424" s="347" t="s">
        <v>131</v>
      </c>
      <c r="F424" s="409" t="s">
        <v>697</v>
      </c>
      <c r="G424" s="322"/>
      <c r="H424" s="324">
        <v>35</v>
      </c>
      <c r="I424" s="325">
        <v>40.24</v>
      </c>
      <c r="J424" s="325">
        <f t="shared" si="44"/>
        <v>1408.4</v>
      </c>
      <c r="K424" s="318">
        <f t="shared" si="43"/>
        <v>1690.0800000000002</v>
      </c>
      <c r="L424" s="322">
        <v>1690.08</v>
      </c>
      <c r="M424" s="371">
        <v>45393</v>
      </c>
      <c r="N424" s="322">
        <f>+Table7[[#This Row],[стойност с ДДС]]-Table7[[#This Row],[направено плащане]]</f>
        <v>0</v>
      </c>
      <c r="O424" s="327">
        <v>45385</v>
      </c>
    </row>
    <row r="425" spans="1:15" ht="20.100000000000001" customHeight="1" x14ac:dyDescent="0.25">
      <c r="A425" s="206" t="s">
        <v>37</v>
      </c>
      <c r="B425" s="381" t="s">
        <v>698</v>
      </c>
      <c r="C425" s="373">
        <v>45386</v>
      </c>
      <c r="D425" s="343"/>
      <c r="E425" s="347" t="s">
        <v>131</v>
      </c>
      <c r="F425" s="412" t="s">
        <v>699</v>
      </c>
      <c r="G425" s="342"/>
      <c r="H425" s="344">
        <v>336</v>
      </c>
      <c r="I425" s="345">
        <v>41.2</v>
      </c>
      <c r="J425" s="345">
        <f t="shared" si="44"/>
        <v>13843.2</v>
      </c>
      <c r="K425" s="320">
        <f t="shared" si="43"/>
        <v>16611.84</v>
      </c>
      <c r="L425" s="342"/>
      <c r="M425" s="373"/>
      <c r="N425" s="342">
        <f>+Table7[[#This Row],[стойност с ДДС]]-Table7[[#This Row],[направено плащане]]</f>
        <v>16611.84</v>
      </c>
      <c r="O425" s="346"/>
    </row>
    <row r="426" spans="1:15" ht="20.100000000000001" customHeight="1" x14ac:dyDescent="0.25">
      <c r="A426" s="206" t="s">
        <v>253</v>
      </c>
      <c r="B426" s="381" t="s">
        <v>700</v>
      </c>
      <c r="C426" s="373">
        <v>45387</v>
      </c>
      <c r="D426" s="343"/>
      <c r="E426" s="347" t="s">
        <v>131</v>
      </c>
      <c r="F426" s="412" t="s">
        <v>701</v>
      </c>
      <c r="G426" s="342"/>
      <c r="H426" s="344">
        <v>15</v>
      </c>
      <c r="I426" s="345">
        <v>42.8</v>
      </c>
      <c r="J426" s="345">
        <f t="shared" si="44"/>
        <v>642</v>
      </c>
      <c r="K426" s="320">
        <f t="shared" si="43"/>
        <v>770.4</v>
      </c>
      <c r="L426" s="342">
        <v>770.4</v>
      </c>
      <c r="M426" s="373">
        <v>45393</v>
      </c>
      <c r="N426" s="342">
        <f>+Table7[[#This Row],[стойност с ДДС]]-Table7[[#This Row],[направено плащане]]</f>
        <v>0</v>
      </c>
      <c r="O426" s="346"/>
    </row>
    <row r="427" spans="1:15" ht="20.100000000000001" customHeight="1" x14ac:dyDescent="0.25">
      <c r="A427" s="206" t="s">
        <v>268</v>
      </c>
      <c r="B427" s="381" t="s">
        <v>702</v>
      </c>
      <c r="C427" s="373">
        <v>45386</v>
      </c>
      <c r="D427" s="343"/>
      <c r="E427" s="347" t="s">
        <v>131</v>
      </c>
      <c r="F427" s="412"/>
      <c r="G427" s="342"/>
      <c r="H427" s="344">
        <v>80</v>
      </c>
      <c r="I427" s="345">
        <v>41</v>
      </c>
      <c r="J427" s="345">
        <f t="shared" si="44"/>
        <v>3280</v>
      </c>
      <c r="K427" s="320">
        <f t="shared" si="43"/>
        <v>3936</v>
      </c>
      <c r="L427" s="342">
        <v>3936</v>
      </c>
      <c r="M427" s="373">
        <v>45392</v>
      </c>
      <c r="N427" s="342">
        <f>+Table7[[#This Row],[стойност с ДДС]]-Table7[[#This Row],[направено плащане]]</f>
        <v>0</v>
      </c>
      <c r="O427" s="346"/>
    </row>
    <row r="428" spans="1:15" ht="20.100000000000001" customHeight="1" x14ac:dyDescent="0.25">
      <c r="A428" s="206" t="s">
        <v>159</v>
      </c>
      <c r="B428" s="381" t="s">
        <v>703</v>
      </c>
      <c r="C428" s="373">
        <v>45386</v>
      </c>
      <c r="D428" s="343"/>
      <c r="E428" s="347" t="s">
        <v>131</v>
      </c>
      <c r="F428" s="412" t="s">
        <v>704</v>
      </c>
      <c r="G428" s="342"/>
      <c r="H428" s="344">
        <v>25</v>
      </c>
      <c r="I428" s="345">
        <f>20.70732*1.95583</f>
        <v>40.4999976756</v>
      </c>
      <c r="J428" s="345">
        <f t="shared" si="44"/>
        <v>1012.4999418899999</v>
      </c>
      <c r="K428" s="320">
        <f>+Table7[[#This Row],[стойност]]</f>
        <v>1012.4999418899999</v>
      </c>
      <c r="L428" s="342">
        <v>1012.5</v>
      </c>
      <c r="M428" s="373">
        <v>45393</v>
      </c>
      <c r="N428" s="342">
        <f>+Table7[[#This Row],[стойност с ДДС]]-Table7[[#This Row],[направено плащане]]</f>
        <v>-5.8110000054512057E-5</v>
      </c>
      <c r="O428" s="346"/>
    </row>
    <row r="429" spans="1:15" ht="20.100000000000001" customHeight="1" x14ac:dyDescent="0.25">
      <c r="A429" s="206" t="s">
        <v>159</v>
      </c>
      <c r="B429" s="381" t="s">
        <v>703</v>
      </c>
      <c r="C429" s="373">
        <v>45386</v>
      </c>
      <c r="D429" s="343"/>
      <c r="E429" s="347" t="s">
        <v>131</v>
      </c>
      <c r="F429" s="412" t="s">
        <v>705</v>
      </c>
      <c r="G429" s="342"/>
      <c r="H429" s="344">
        <v>500</v>
      </c>
      <c r="I429" s="345">
        <f>21.16759*1.95583</f>
        <v>41.400207549699999</v>
      </c>
      <c r="J429" s="345">
        <f>I429*H429</f>
        <v>20700.103774849998</v>
      </c>
      <c r="K429" s="320">
        <v>20705.21</v>
      </c>
      <c r="L429" s="342">
        <v>20705.21</v>
      </c>
      <c r="M429" s="373">
        <v>45393</v>
      </c>
      <c r="N429" s="342">
        <f>+Table7[[#This Row],[стойност с ДДС]]-Table7[[#This Row],[направено плащане]]</f>
        <v>0</v>
      </c>
      <c r="O429" s="346"/>
    </row>
    <row r="430" spans="1:15" ht="20.100000000000001" customHeight="1" x14ac:dyDescent="0.3">
      <c r="A430" s="206" t="s">
        <v>99</v>
      </c>
      <c r="B430" s="381" t="s">
        <v>706</v>
      </c>
      <c r="C430" s="373">
        <v>45387</v>
      </c>
      <c r="D430" s="343"/>
      <c r="E430" s="323" t="s">
        <v>328</v>
      </c>
      <c r="F430" s="412"/>
      <c r="G430" s="342"/>
      <c r="H430" s="344">
        <v>3950.377</v>
      </c>
      <c r="I430" s="345"/>
      <c r="J430" s="345">
        <v>192160.22</v>
      </c>
      <c r="K430" s="320">
        <f>J430*1.2</f>
        <v>230592.264</v>
      </c>
      <c r="L430" s="342">
        <v>230592.26</v>
      </c>
      <c r="M430" s="373">
        <v>45414</v>
      </c>
      <c r="N430" s="342">
        <f>+Table7[[#This Row],[стойност с ДДС]]-Table7[[#This Row],[направено плащане]]</f>
        <v>3.999999986262992E-3</v>
      </c>
      <c r="O430" s="346">
        <v>45422</v>
      </c>
    </row>
    <row r="431" spans="1:15" ht="20.100000000000001" customHeight="1" x14ac:dyDescent="0.3">
      <c r="A431" s="206" t="s">
        <v>99</v>
      </c>
      <c r="B431" s="378" t="s">
        <v>707</v>
      </c>
      <c r="C431" s="371">
        <v>45387</v>
      </c>
      <c r="D431" s="337"/>
      <c r="E431" s="323" t="s">
        <v>121</v>
      </c>
      <c r="F431" s="409"/>
      <c r="G431" s="322"/>
      <c r="H431" s="324">
        <v>8946.2999999999993</v>
      </c>
      <c r="I431" s="325"/>
      <c r="J431" s="325">
        <v>16245.66</v>
      </c>
      <c r="K431" s="318">
        <f>J431*1.2</f>
        <v>19494.791999999998</v>
      </c>
      <c r="L431" s="322">
        <v>19494.79</v>
      </c>
      <c r="M431" s="371">
        <v>45392</v>
      </c>
      <c r="N431" s="322">
        <f>+Table7[[#This Row],[стойност с ДДС]]-Table7[[#This Row],[направено плащане]]</f>
        <v>1.9999999967694748E-3</v>
      </c>
      <c r="O431" s="346">
        <v>45422</v>
      </c>
    </row>
    <row r="432" spans="1:15" ht="20.100000000000001" customHeight="1" x14ac:dyDescent="0.3">
      <c r="A432" s="206" t="s">
        <v>99</v>
      </c>
      <c r="B432" s="378" t="s">
        <v>707</v>
      </c>
      <c r="C432" s="371">
        <v>45387</v>
      </c>
      <c r="D432" s="337"/>
      <c r="E432" s="323" t="s">
        <v>461</v>
      </c>
      <c r="F432" s="409"/>
      <c r="G432" s="322"/>
      <c r="H432" s="324">
        <v>4663.3069999999998</v>
      </c>
      <c r="I432" s="325"/>
      <c r="J432" s="325">
        <v>10650.42</v>
      </c>
      <c r="K432" s="318">
        <f t="shared" ref="K432:K437" si="45">J432*1.2</f>
        <v>12780.503999999999</v>
      </c>
      <c r="L432" s="322">
        <v>12780.5</v>
      </c>
      <c r="M432" s="371">
        <v>45392</v>
      </c>
      <c r="N432" s="322">
        <f>+Table7[[#This Row],[стойност с ДДС]]-Table7[[#This Row],[направено плащане]]</f>
        <v>3.9999999989959178E-3</v>
      </c>
      <c r="O432" s="346">
        <v>45422</v>
      </c>
    </row>
    <row r="433" spans="1:15" ht="20.100000000000001" customHeight="1" x14ac:dyDescent="0.3">
      <c r="A433" s="151" t="s">
        <v>99</v>
      </c>
      <c r="B433" s="378" t="s">
        <v>707</v>
      </c>
      <c r="C433" s="371">
        <v>45387</v>
      </c>
      <c r="D433" s="337"/>
      <c r="E433" s="323" t="s">
        <v>462</v>
      </c>
      <c r="F433" s="409"/>
      <c r="G433" s="322"/>
      <c r="H433" s="324">
        <v>121596.489</v>
      </c>
      <c r="I433" s="325"/>
      <c r="J433" s="325">
        <v>25012.41</v>
      </c>
      <c r="K433" s="318">
        <f t="shared" si="45"/>
        <v>30014.892</v>
      </c>
      <c r="L433" s="322">
        <v>30014.89</v>
      </c>
      <c r="M433" s="371">
        <v>45392</v>
      </c>
      <c r="N433" s="322">
        <f>+Table7[[#This Row],[стойност с ДДС]]-Table7[[#This Row],[направено плащане]]</f>
        <v>2.0000000004074536E-3</v>
      </c>
      <c r="O433" s="346">
        <v>45422</v>
      </c>
    </row>
    <row r="434" spans="1:15" ht="20.100000000000001" customHeight="1" x14ac:dyDescent="0.3">
      <c r="A434" s="151" t="s">
        <v>99</v>
      </c>
      <c r="B434" s="378" t="s">
        <v>707</v>
      </c>
      <c r="C434" s="371">
        <v>45387</v>
      </c>
      <c r="D434" s="337"/>
      <c r="E434" s="323" t="s">
        <v>463</v>
      </c>
      <c r="F434" s="409"/>
      <c r="G434" s="322"/>
      <c r="H434" s="324">
        <v>121596.489</v>
      </c>
      <c r="I434" s="325"/>
      <c r="J434" s="325">
        <v>35360.269999999997</v>
      </c>
      <c r="K434" s="318">
        <f t="shared" si="45"/>
        <v>42432.323999999993</v>
      </c>
      <c r="L434" s="322">
        <v>42432.32</v>
      </c>
      <c r="M434" s="371">
        <v>45392</v>
      </c>
      <c r="N434" s="322">
        <f>+Table7[[#This Row],[стойност с ДДС]]-Table7[[#This Row],[направено плащане]]</f>
        <v>3.9999999935389496E-3</v>
      </c>
      <c r="O434" s="346">
        <v>45422</v>
      </c>
    </row>
    <row r="435" spans="1:15" ht="20.100000000000001" customHeight="1" x14ac:dyDescent="0.3">
      <c r="A435" s="151" t="s">
        <v>99</v>
      </c>
      <c r="B435" s="378" t="s">
        <v>707</v>
      </c>
      <c r="C435" s="371">
        <v>45387</v>
      </c>
      <c r="D435" s="337"/>
      <c r="E435" s="323" t="s">
        <v>464</v>
      </c>
      <c r="F435" s="409"/>
      <c r="G435" s="322"/>
      <c r="H435" s="324">
        <v>87245.714999999997</v>
      </c>
      <c r="I435" s="325"/>
      <c r="J435" s="325">
        <v>2303.29</v>
      </c>
      <c r="K435" s="318">
        <f t="shared" si="45"/>
        <v>2763.9479999999999</v>
      </c>
      <c r="L435" s="322">
        <v>2763.95</v>
      </c>
      <c r="M435" s="371">
        <v>45392</v>
      </c>
      <c r="N435" s="322">
        <f>+Table7[[#This Row],[стойност с ДДС]]-Table7[[#This Row],[направено плащане]]</f>
        <v>-1.9999999999527063E-3</v>
      </c>
      <c r="O435" s="346">
        <v>45422</v>
      </c>
    </row>
    <row r="436" spans="1:15" ht="20.100000000000001" customHeight="1" x14ac:dyDescent="0.3">
      <c r="A436" s="151" t="s">
        <v>99</v>
      </c>
      <c r="B436" s="378" t="s">
        <v>707</v>
      </c>
      <c r="C436" s="371">
        <v>45387</v>
      </c>
      <c r="D436" s="337"/>
      <c r="E436" s="323" t="s">
        <v>465</v>
      </c>
      <c r="F436" s="409"/>
      <c r="G436" s="322"/>
      <c r="H436" s="324">
        <v>121596.489</v>
      </c>
      <c r="I436" s="325"/>
      <c r="J436" s="325">
        <v>-2030.65</v>
      </c>
      <c r="K436" s="318">
        <f t="shared" si="45"/>
        <v>-2436.7800000000002</v>
      </c>
      <c r="L436" s="322">
        <v>-2436.7800000000002</v>
      </c>
      <c r="M436" s="371">
        <v>45392</v>
      </c>
      <c r="N436" s="322">
        <f>+Table7[[#This Row],[стойност с ДДС]]-Table7[[#This Row],[направено плащане]]</f>
        <v>0</v>
      </c>
      <c r="O436" s="346">
        <v>45422</v>
      </c>
    </row>
    <row r="437" spans="1:15" ht="20.100000000000001" customHeight="1" x14ac:dyDescent="0.3">
      <c r="A437" s="151" t="s">
        <v>99</v>
      </c>
      <c r="B437" s="378" t="s">
        <v>707</v>
      </c>
      <c r="C437" s="371">
        <v>45387</v>
      </c>
      <c r="D437" s="337"/>
      <c r="E437" s="323" t="s">
        <v>466</v>
      </c>
      <c r="F437" s="409"/>
      <c r="G437" s="322"/>
      <c r="H437" s="344">
        <v>841.66</v>
      </c>
      <c r="I437" s="345"/>
      <c r="J437" s="345">
        <v>2778.91</v>
      </c>
      <c r="K437" s="318">
        <f t="shared" si="45"/>
        <v>3334.6919999999996</v>
      </c>
      <c r="L437" s="322">
        <v>3334.69</v>
      </c>
      <c r="M437" s="371">
        <v>45392</v>
      </c>
      <c r="N437" s="322">
        <f>+Table7[[#This Row],[стойност с ДДС]]-Table7[[#This Row],[направено плащане]]</f>
        <v>1.9999999994979589E-3</v>
      </c>
      <c r="O437" s="346">
        <v>45422</v>
      </c>
    </row>
    <row r="438" spans="1:15" ht="20.100000000000001" customHeight="1" x14ac:dyDescent="0.3">
      <c r="A438" s="151" t="s">
        <v>99</v>
      </c>
      <c r="B438" s="378" t="s">
        <v>708</v>
      </c>
      <c r="C438" s="371">
        <v>45327</v>
      </c>
      <c r="D438" s="337"/>
      <c r="E438" s="323" t="s">
        <v>458</v>
      </c>
      <c r="F438" s="409"/>
      <c r="G438" s="322"/>
      <c r="H438" s="324">
        <v>6848</v>
      </c>
      <c r="I438" s="325"/>
      <c r="J438" s="325">
        <v>167501.23000000001</v>
      </c>
      <c r="K438" s="318">
        <f>J438*1.2</f>
        <v>201001.476</v>
      </c>
      <c r="L438" s="322">
        <v>201001.48</v>
      </c>
      <c r="M438" s="371">
        <v>45392</v>
      </c>
      <c r="N438" s="322">
        <f>+Table7[[#This Row],[стойност с ДДС]]-Table7[[#This Row],[направено плащане]]</f>
        <v>-4.0000000153668225E-3</v>
      </c>
      <c r="O438" s="346">
        <v>45422</v>
      </c>
    </row>
    <row r="439" spans="1:15" ht="20.100000000000001" customHeight="1" x14ac:dyDescent="0.3">
      <c r="A439" s="151" t="s">
        <v>99</v>
      </c>
      <c r="B439" s="378" t="s">
        <v>708</v>
      </c>
      <c r="C439" s="371">
        <v>45327</v>
      </c>
      <c r="D439" s="337"/>
      <c r="E439" s="323" t="s">
        <v>460</v>
      </c>
      <c r="F439" s="409"/>
      <c r="G439" s="322"/>
      <c r="H439" s="324">
        <v>278.38</v>
      </c>
      <c r="I439" s="325"/>
      <c r="J439" s="325">
        <v>9843.7900000000009</v>
      </c>
      <c r="K439" s="318">
        <f>J439*1.2</f>
        <v>11812.548000000001</v>
      </c>
      <c r="L439" s="322">
        <v>11812.55</v>
      </c>
      <c r="M439" s="371">
        <v>45392</v>
      </c>
      <c r="N439" s="322">
        <f>+Table7[[#This Row],[стойност с ДДС]]-Table7[[#This Row],[направено плащане]]</f>
        <v>-1.9999999985884642E-3</v>
      </c>
      <c r="O439" s="346">
        <v>45422</v>
      </c>
    </row>
    <row r="440" spans="1:15" ht="20.100000000000001" customHeight="1" x14ac:dyDescent="0.25">
      <c r="A440" s="206" t="s">
        <v>118</v>
      </c>
      <c r="B440" s="381" t="s">
        <v>709</v>
      </c>
      <c r="C440" s="373">
        <v>45386</v>
      </c>
      <c r="D440" s="343"/>
      <c r="E440" s="347" t="s">
        <v>131</v>
      </c>
      <c r="F440" s="412" t="s">
        <v>710</v>
      </c>
      <c r="G440" s="342"/>
      <c r="H440" s="344">
        <v>164</v>
      </c>
      <c r="I440" s="345">
        <v>41.2</v>
      </c>
      <c r="J440" s="345">
        <f>I440*H440</f>
        <v>6756.8</v>
      </c>
      <c r="K440" s="320">
        <f>J440*1.2</f>
        <v>8108.16</v>
      </c>
      <c r="L440" s="342">
        <v>8108.16</v>
      </c>
      <c r="M440" s="373">
        <v>45392</v>
      </c>
      <c r="N440" s="342">
        <f>+Table7[[#This Row],[стойност с ДДС]]-Table7[[#This Row],[направено плащане]]</f>
        <v>0</v>
      </c>
      <c r="O440" s="346"/>
    </row>
    <row r="441" spans="1:15" ht="20.100000000000001" customHeight="1" x14ac:dyDescent="0.25">
      <c r="A441" s="206" t="s">
        <v>101</v>
      </c>
      <c r="B441" s="388" t="s">
        <v>711</v>
      </c>
      <c r="C441" s="373">
        <v>45386</v>
      </c>
      <c r="D441" s="343"/>
      <c r="E441" s="347" t="s">
        <v>131</v>
      </c>
      <c r="F441" s="412" t="s">
        <v>712</v>
      </c>
      <c r="G441" s="342"/>
      <c r="H441" s="344">
        <v>80</v>
      </c>
      <c r="I441" s="345">
        <v>42.99</v>
      </c>
      <c r="J441" s="345">
        <f>I441*H441</f>
        <v>3439.2000000000003</v>
      </c>
      <c r="K441" s="320">
        <f>J441*1.2</f>
        <v>4127.04</v>
      </c>
      <c r="L441" s="342">
        <v>4127.04</v>
      </c>
      <c r="M441" s="373">
        <v>45392</v>
      </c>
      <c r="N441" s="342">
        <f>+Table7[[#This Row],[стойност с ДДС]]-Table7[[#This Row],[направено плащане]]</f>
        <v>0</v>
      </c>
      <c r="O441" s="346"/>
    </row>
    <row r="442" spans="1:15" ht="20.100000000000001" customHeight="1" x14ac:dyDescent="0.3">
      <c r="A442" s="206" t="s">
        <v>713</v>
      </c>
      <c r="B442" s="381" t="s">
        <v>714</v>
      </c>
      <c r="C442" s="373">
        <v>45390</v>
      </c>
      <c r="D442" s="343"/>
      <c r="E442" s="332" t="s">
        <v>343</v>
      </c>
      <c r="F442" s="412"/>
      <c r="G442" s="342"/>
      <c r="H442" s="344">
        <v>3125</v>
      </c>
      <c r="I442" s="345"/>
      <c r="J442" s="345">
        <v>1231.05</v>
      </c>
      <c r="K442" s="320">
        <v>1228.1300000000001</v>
      </c>
      <c r="L442" s="342">
        <v>1228.1300000000001</v>
      </c>
      <c r="M442" s="373">
        <v>45397</v>
      </c>
      <c r="N442" s="342">
        <f>+Table7[[#This Row],[стойност с ДДС]]-Table7[[#This Row],[направено плащане]]</f>
        <v>0</v>
      </c>
      <c r="O442" s="346"/>
    </row>
    <row r="443" spans="1:15" ht="20.100000000000001" customHeight="1" x14ac:dyDescent="0.3">
      <c r="A443" s="206" t="s">
        <v>184</v>
      </c>
      <c r="B443" s="381" t="s">
        <v>715</v>
      </c>
      <c r="C443" s="373">
        <v>45388</v>
      </c>
      <c r="D443" s="343"/>
      <c r="E443" s="323" t="s">
        <v>263</v>
      </c>
      <c r="F443" s="412"/>
      <c r="G443" s="342"/>
      <c r="H443" s="344">
        <v>9300</v>
      </c>
      <c r="I443" s="345">
        <f>25.65*1.95583</f>
        <v>50.167039499999994</v>
      </c>
      <c r="J443" s="345">
        <f t="shared" ref="J443:J457" si="46">I443*H443</f>
        <v>466553.46734999993</v>
      </c>
      <c r="K443" s="320">
        <f>+Table7[[#This Row],[стойност]]</f>
        <v>466553.46734999993</v>
      </c>
      <c r="L443" s="342"/>
      <c r="M443" s="373"/>
      <c r="N443" s="342">
        <f>+Table7[[#This Row],[стойност с ДДС]]-Table7[[#This Row],[направено плащане]]</f>
        <v>466553.46734999993</v>
      </c>
      <c r="O443" s="346"/>
    </row>
    <row r="444" spans="1:15" ht="20.100000000000001" customHeight="1" x14ac:dyDescent="0.25">
      <c r="A444" s="206" t="s">
        <v>184</v>
      </c>
      <c r="B444" s="381" t="s">
        <v>715</v>
      </c>
      <c r="C444" s="373">
        <v>45388</v>
      </c>
      <c r="D444" s="343"/>
      <c r="E444" s="347" t="s">
        <v>263</v>
      </c>
      <c r="F444" s="412"/>
      <c r="G444" s="342"/>
      <c r="H444" s="344">
        <v>6200</v>
      </c>
      <c r="I444" s="345">
        <f>27.9*1.95583</f>
        <v>54.567656999999997</v>
      </c>
      <c r="J444" s="345">
        <f t="shared" si="46"/>
        <v>338319.47339999996</v>
      </c>
      <c r="K444" s="320">
        <f>+Table7[[#This Row],[стойност]]</f>
        <v>338319.47339999996</v>
      </c>
      <c r="L444" s="342"/>
      <c r="M444" s="373"/>
      <c r="N444" s="342">
        <f>+Table7[[#This Row],[стойност с ДДС]]-Table7[[#This Row],[направено плащане]]</f>
        <v>338319.47339999996</v>
      </c>
      <c r="O444" s="346"/>
    </row>
    <row r="445" spans="1:15" ht="20.100000000000001" customHeight="1" x14ac:dyDescent="0.25">
      <c r="A445" s="206" t="s">
        <v>118</v>
      </c>
      <c r="B445" s="381" t="s">
        <v>716</v>
      </c>
      <c r="C445" s="373">
        <v>45390</v>
      </c>
      <c r="D445" s="343"/>
      <c r="E445" s="347" t="s">
        <v>131</v>
      </c>
      <c r="F445" s="412" t="s">
        <v>717</v>
      </c>
      <c r="G445" s="342"/>
      <c r="H445" s="344">
        <v>50</v>
      </c>
      <c r="I445" s="345">
        <v>42</v>
      </c>
      <c r="J445" s="345">
        <f t="shared" si="46"/>
        <v>2100</v>
      </c>
      <c r="K445" s="320">
        <f t="shared" ref="K445:K451" si="47">J445*1.2</f>
        <v>2520</v>
      </c>
      <c r="L445" s="342">
        <v>2520</v>
      </c>
      <c r="M445" s="373">
        <v>45394</v>
      </c>
      <c r="N445" s="342">
        <f>+Table7[[#This Row],[стойност с ДДС]]-Table7[[#This Row],[направено плащане]]</f>
        <v>0</v>
      </c>
      <c r="O445" s="346"/>
    </row>
    <row r="446" spans="1:15" ht="20.100000000000001" customHeight="1" x14ac:dyDescent="0.25">
      <c r="A446" s="151" t="s">
        <v>159</v>
      </c>
      <c r="B446" s="378" t="s">
        <v>718</v>
      </c>
      <c r="C446" s="371">
        <v>45390</v>
      </c>
      <c r="D446" s="337"/>
      <c r="E446" s="347" t="s">
        <v>131</v>
      </c>
      <c r="F446" s="409"/>
      <c r="G446" s="322"/>
      <c r="H446" s="324">
        <v>500</v>
      </c>
      <c r="I446" s="325">
        <f>21.47426*1.95583</f>
        <v>42.0000019358</v>
      </c>
      <c r="J446" s="325">
        <f>I446*H446</f>
        <v>21000.0009679</v>
      </c>
      <c r="K446" s="318">
        <v>21005.05</v>
      </c>
      <c r="L446" s="322">
        <v>21005.05</v>
      </c>
      <c r="M446" s="371">
        <v>45397</v>
      </c>
      <c r="N446" s="322">
        <f>+Table7[[#This Row],[стойност с ДДС]]-Table7[[#This Row],[направено плащане]]</f>
        <v>0</v>
      </c>
      <c r="O446" s="327"/>
    </row>
    <row r="447" spans="1:15" ht="20.100000000000001" customHeight="1" x14ac:dyDescent="0.25">
      <c r="A447" s="206" t="s">
        <v>37</v>
      </c>
      <c r="B447" s="381" t="s">
        <v>719</v>
      </c>
      <c r="C447" s="373">
        <v>45390</v>
      </c>
      <c r="D447" s="343"/>
      <c r="E447" s="347" t="s">
        <v>131</v>
      </c>
      <c r="F447" s="412" t="s">
        <v>720</v>
      </c>
      <c r="G447" s="342"/>
      <c r="H447" s="344">
        <v>500</v>
      </c>
      <c r="I447" s="345">
        <v>41</v>
      </c>
      <c r="J447" s="345">
        <f t="shared" si="46"/>
        <v>20500</v>
      </c>
      <c r="K447" s="320">
        <f t="shared" si="47"/>
        <v>24600</v>
      </c>
      <c r="L447" s="342">
        <v>24600</v>
      </c>
      <c r="M447" s="373">
        <v>45393</v>
      </c>
      <c r="N447" s="342">
        <f>+Table7[[#This Row],[стойност с ДДС]]-Table7[[#This Row],[направено плащане]]</f>
        <v>0</v>
      </c>
      <c r="O447" s="346"/>
    </row>
    <row r="448" spans="1:15" ht="20.100000000000001" customHeight="1" x14ac:dyDescent="0.25">
      <c r="A448" s="206" t="s">
        <v>37</v>
      </c>
      <c r="B448" s="381" t="s">
        <v>721</v>
      </c>
      <c r="C448" s="373">
        <v>45390</v>
      </c>
      <c r="D448" s="343"/>
      <c r="E448" s="347" t="s">
        <v>131</v>
      </c>
      <c r="F448" s="412" t="s">
        <v>722</v>
      </c>
      <c r="G448" s="342"/>
      <c r="H448" s="344">
        <v>500</v>
      </c>
      <c r="I448" s="345">
        <v>42</v>
      </c>
      <c r="J448" s="345">
        <f t="shared" si="46"/>
        <v>21000</v>
      </c>
      <c r="K448" s="320">
        <f t="shared" si="47"/>
        <v>25200</v>
      </c>
      <c r="L448" s="342">
        <v>25200</v>
      </c>
      <c r="M448" s="373">
        <v>45393</v>
      </c>
      <c r="N448" s="342">
        <f>+Table7[[#This Row],[стойност с ДДС]]-Table7[[#This Row],[направено плащане]]</f>
        <v>0</v>
      </c>
      <c r="O448" s="346"/>
    </row>
    <row r="449" spans="1:15" ht="20.100000000000001" customHeight="1" x14ac:dyDescent="0.25">
      <c r="A449" s="206" t="s">
        <v>352</v>
      </c>
      <c r="B449" s="381" t="s">
        <v>723</v>
      </c>
      <c r="C449" s="373">
        <v>45388</v>
      </c>
      <c r="D449" s="343"/>
      <c r="E449" s="347" t="s">
        <v>131</v>
      </c>
      <c r="F449" s="412" t="s">
        <v>724</v>
      </c>
      <c r="G449" s="342"/>
      <c r="H449" s="344">
        <v>67</v>
      </c>
      <c r="I449" s="345">
        <v>40</v>
      </c>
      <c r="J449" s="345">
        <f t="shared" si="46"/>
        <v>2680</v>
      </c>
      <c r="K449" s="320">
        <f t="shared" si="47"/>
        <v>3216</v>
      </c>
      <c r="L449" s="342">
        <v>3216</v>
      </c>
      <c r="M449" s="373">
        <v>45393</v>
      </c>
      <c r="N449" s="342">
        <f>+Table7[[#This Row],[стойност с ДДС]]-Table7[[#This Row],[направено плащане]]</f>
        <v>0</v>
      </c>
      <c r="O449" s="346"/>
    </row>
    <row r="450" spans="1:15" ht="20.100000000000001" customHeight="1" x14ac:dyDescent="0.25">
      <c r="A450" s="206" t="s">
        <v>352</v>
      </c>
      <c r="B450" s="381" t="s">
        <v>725</v>
      </c>
      <c r="C450" s="373">
        <v>45389</v>
      </c>
      <c r="D450" s="343"/>
      <c r="E450" s="347" t="s">
        <v>131</v>
      </c>
      <c r="F450" s="412" t="s">
        <v>726</v>
      </c>
      <c r="G450" s="342"/>
      <c r="H450" s="344">
        <v>20</v>
      </c>
      <c r="I450" s="345">
        <v>39</v>
      </c>
      <c r="J450" s="345">
        <f t="shared" si="46"/>
        <v>780</v>
      </c>
      <c r="K450" s="320">
        <f t="shared" si="47"/>
        <v>936</v>
      </c>
      <c r="L450" s="342">
        <v>936</v>
      </c>
      <c r="M450" s="373">
        <v>45394</v>
      </c>
      <c r="N450" s="342">
        <f>+Table7[[#This Row],[стойност с ДДС]]-Table7[[#This Row],[направено плащане]]</f>
        <v>0</v>
      </c>
      <c r="O450" s="346"/>
    </row>
    <row r="451" spans="1:15" ht="20.100000000000001" customHeight="1" x14ac:dyDescent="0.3">
      <c r="A451" s="206" t="s">
        <v>268</v>
      </c>
      <c r="B451" s="381" t="s">
        <v>727</v>
      </c>
      <c r="C451" s="373">
        <v>45387</v>
      </c>
      <c r="D451" s="343"/>
      <c r="E451" s="323" t="s">
        <v>263</v>
      </c>
      <c r="F451" s="412"/>
      <c r="G451" s="342"/>
      <c r="H451" s="344">
        <v>312</v>
      </c>
      <c r="I451" s="345">
        <v>43</v>
      </c>
      <c r="J451" s="345">
        <f t="shared" si="46"/>
        <v>13416</v>
      </c>
      <c r="K451" s="320">
        <f t="shared" si="47"/>
        <v>16099.199999999999</v>
      </c>
      <c r="L451" s="342">
        <v>16099.2</v>
      </c>
      <c r="M451" s="373">
        <v>45393</v>
      </c>
      <c r="N451" s="342">
        <f>+Table7[[#This Row],[стойност с ДДС]]-Table7[[#This Row],[направено плащане]]</f>
        <v>0</v>
      </c>
      <c r="O451" s="346"/>
    </row>
    <row r="452" spans="1:15" ht="20.100000000000001" customHeight="1" x14ac:dyDescent="0.25">
      <c r="A452" s="206" t="s">
        <v>159</v>
      </c>
      <c r="B452" s="381" t="s">
        <v>728</v>
      </c>
      <c r="C452" s="373">
        <v>45389</v>
      </c>
      <c r="D452" s="343"/>
      <c r="E452" s="347" t="s">
        <v>131</v>
      </c>
      <c r="F452" s="412" t="s">
        <v>729</v>
      </c>
      <c r="G452" s="342"/>
      <c r="H452" s="344">
        <v>155</v>
      </c>
      <c r="I452" s="345">
        <f>20.52*1.95583</f>
        <v>40.133631600000001</v>
      </c>
      <c r="J452" s="345">
        <f t="shared" si="46"/>
        <v>6220.7128979999998</v>
      </c>
      <c r="K452" s="320">
        <f>+Table7[[#This Row],[стойност]]</f>
        <v>6220.7128979999998</v>
      </c>
      <c r="L452" s="342">
        <v>6220.71</v>
      </c>
      <c r="M452" s="373">
        <v>45394</v>
      </c>
      <c r="N452" s="342">
        <f>+Table7[[#This Row],[стойност с ДДС]]-Table7[[#This Row],[направено плащане]]</f>
        <v>2.8979999997318373E-3</v>
      </c>
      <c r="O452" s="346"/>
    </row>
    <row r="453" spans="1:15" ht="20.100000000000001" customHeight="1" x14ac:dyDescent="0.25">
      <c r="A453" s="151" t="s">
        <v>159</v>
      </c>
      <c r="B453" s="378" t="s">
        <v>728</v>
      </c>
      <c r="C453" s="371">
        <v>45389</v>
      </c>
      <c r="D453" s="337"/>
      <c r="E453" s="328" t="s">
        <v>131</v>
      </c>
      <c r="F453" s="409" t="s">
        <v>730</v>
      </c>
      <c r="G453" s="322"/>
      <c r="H453" s="324">
        <v>33</v>
      </c>
      <c r="I453" s="325">
        <f>20.45*1.95583</f>
        <v>39.996723499999995</v>
      </c>
      <c r="J453" s="325">
        <f t="shared" si="46"/>
        <v>1319.8918754999997</v>
      </c>
      <c r="K453" s="320">
        <f>+Table7[[#This Row],[стойност]]</f>
        <v>1319.8918754999997</v>
      </c>
      <c r="L453" s="322">
        <v>1319.89</v>
      </c>
      <c r="M453" s="371">
        <v>45394</v>
      </c>
      <c r="N453" s="342">
        <f>+Table7[[#This Row],[стойност с ДДС]]-Table7[[#This Row],[направено плащане]]</f>
        <v>1.875499999641761E-3</v>
      </c>
      <c r="O453" s="327"/>
    </row>
    <row r="454" spans="1:15" ht="20.100000000000001" customHeight="1" x14ac:dyDescent="0.25">
      <c r="A454" s="206" t="s">
        <v>159</v>
      </c>
      <c r="B454" s="381" t="s">
        <v>728</v>
      </c>
      <c r="C454" s="373">
        <v>45389</v>
      </c>
      <c r="D454" s="343"/>
      <c r="E454" s="347" t="s">
        <v>131</v>
      </c>
      <c r="F454" s="412" t="s">
        <v>731</v>
      </c>
      <c r="G454" s="342"/>
      <c r="H454" s="344">
        <v>530</v>
      </c>
      <c r="I454" s="345">
        <f>20.965*1.95583</f>
        <v>41.003975949999997</v>
      </c>
      <c r="J454" s="345">
        <f>I454*H454</f>
        <v>21732.107253499998</v>
      </c>
      <c r="K454" s="320">
        <f>+Table7[[#This Row],[стойност]]</f>
        <v>21732.107253499998</v>
      </c>
      <c r="L454" s="342">
        <v>21732.11</v>
      </c>
      <c r="M454" s="373">
        <v>45394</v>
      </c>
      <c r="N454" s="342">
        <f>+Table7[[#This Row],[стойност с ДДС]]-Table7[[#This Row],[направено плащане]]</f>
        <v>-2.7465000021038577E-3</v>
      </c>
      <c r="O454" s="346"/>
    </row>
    <row r="455" spans="1:15" ht="20.100000000000001" customHeight="1" x14ac:dyDescent="0.25">
      <c r="A455" s="206" t="s">
        <v>153</v>
      </c>
      <c r="B455" s="381" t="s">
        <v>732</v>
      </c>
      <c r="C455" s="373">
        <v>45389</v>
      </c>
      <c r="D455" s="343"/>
      <c r="E455" s="347" t="s">
        <v>131</v>
      </c>
      <c r="F455" s="412" t="s">
        <v>733</v>
      </c>
      <c r="G455" s="342"/>
      <c r="H455" s="344">
        <v>220</v>
      </c>
      <c r="I455" s="345">
        <v>41</v>
      </c>
      <c r="J455" s="345">
        <f t="shared" si="46"/>
        <v>9020</v>
      </c>
      <c r="K455" s="320">
        <f>J455*1.2</f>
        <v>10824</v>
      </c>
      <c r="L455" s="342">
        <v>10824</v>
      </c>
      <c r="M455" s="373">
        <v>45393</v>
      </c>
      <c r="N455" s="342">
        <f>+Table7[[#This Row],[стойност с ДДС]]-Table7[[#This Row],[направено плащане]]</f>
        <v>0</v>
      </c>
      <c r="O455" s="346"/>
    </row>
    <row r="456" spans="1:15" ht="20.100000000000001" customHeight="1" x14ac:dyDescent="0.25">
      <c r="A456" s="206" t="s">
        <v>157</v>
      </c>
      <c r="B456" s="381" t="s">
        <v>734</v>
      </c>
      <c r="C456" s="373">
        <v>45390</v>
      </c>
      <c r="D456" s="343"/>
      <c r="E456" s="347" t="s">
        <v>131</v>
      </c>
      <c r="F456" s="412" t="s">
        <v>279</v>
      </c>
      <c r="G456" s="342"/>
      <c r="H456" s="344">
        <v>10</v>
      </c>
      <c r="I456" s="345">
        <v>39</v>
      </c>
      <c r="J456" s="345">
        <f t="shared" si="46"/>
        <v>390</v>
      </c>
      <c r="K456" s="320">
        <f>J456*1.2</f>
        <v>468</v>
      </c>
      <c r="L456" s="342">
        <v>468</v>
      </c>
      <c r="M456" s="373">
        <v>45393</v>
      </c>
      <c r="N456" s="342">
        <f>+Table7[[#This Row],[стойност с ДДС]]-Table7[[#This Row],[направено плащане]]</f>
        <v>0</v>
      </c>
      <c r="O456" s="346"/>
    </row>
    <row r="457" spans="1:15" ht="20.100000000000001" customHeight="1" x14ac:dyDescent="0.25">
      <c r="A457" s="206" t="s">
        <v>157</v>
      </c>
      <c r="B457" s="381" t="s">
        <v>734</v>
      </c>
      <c r="C457" s="373">
        <v>45390</v>
      </c>
      <c r="D457" s="343"/>
      <c r="E457" s="347" t="s">
        <v>131</v>
      </c>
      <c r="F457" s="412" t="s">
        <v>279</v>
      </c>
      <c r="G457" s="342"/>
      <c r="H457" s="344">
        <v>20</v>
      </c>
      <c r="I457" s="345">
        <v>39</v>
      </c>
      <c r="J457" s="345">
        <f t="shared" si="46"/>
        <v>780</v>
      </c>
      <c r="K457" s="320">
        <f>J457*1.2</f>
        <v>936</v>
      </c>
      <c r="L457" s="342">
        <v>936</v>
      </c>
      <c r="M457" s="373">
        <v>45393</v>
      </c>
      <c r="N457" s="342">
        <f>+Table7[[#This Row],[стойност с ДДС]]-Table7[[#This Row],[направено плащане]]</f>
        <v>0</v>
      </c>
      <c r="O457" s="346"/>
    </row>
    <row r="458" spans="1:15" ht="20.100000000000001" customHeight="1" x14ac:dyDescent="0.3">
      <c r="A458" s="206" t="s">
        <v>735</v>
      </c>
      <c r="B458" s="381" t="s">
        <v>736</v>
      </c>
      <c r="C458" s="373">
        <v>45392</v>
      </c>
      <c r="D458" s="343"/>
      <c r="E458" s="332" t="s">
        <v>422</v>
      </c>
      <c r="F458" s="412" t="s">
        <v>737</v>
      </c>
      <c r="G458" s="342"/>
      <c r="H458" s="344">
        <v>1</v>
      </c>
      <c r="I458" s="345">
        <f>5000*2.28</f>
        <v>11399.999999999998</v>
      </c>
      <c r="J458" s="345">
        <f t="shared" ref="J458:J463" si="48">I458*H458</f>
        <v>11399.999999999998</v>
      </c>
      <c r="K458" s="320">
        <v>12577.68</v>
      </c>
      <c r="L458" s="342">
        <v>12577.68</v>
      </c>
      <c r="M458" s="373">
        <v>45400</v>
      </c>
      <c r="N458" s="342">
        <f>+Table7[[#This Row],[стойност с ДДС]]-Table7[[#This Row],[направено плащане]]</f>
        <v>0</v>
      </c>
      <c r="O458" s="346"/>
    </row>
    <row r="459" spans="1:15" ht="20.100000000000001" customHeight="1" x14ac:dyDescent="0.3">
      <c r="A459" s="206" t="s">
        <v>738</v>
      </c>
      <c r="B459" s="381" t="s">
        <v>739</v>
      </c>
      <c r="C459" s="373">
        <v>45392</v>
      </c>
      <c r="D459" s="343"/>
      <c r="E459" s="332" t="s">
        <v>422</v>
      </c>
      <c r="F459" s="412" t="s">
        <v>740</v>
      </c>
      <c r="G459" s="342"/>
      <c r="H459" s="344">
        <v>1</v>
      </c>
      <c r="I459" s="345">
        <v>1320</v>
      </c>
      <c r="J459" s="345">
        <f t="shared" si="48"/>
        <v>1320</v>
      </c>
      <c r="K459" s="320">
        <f>J459*1.2</f>
        <v>1584</v>
      </c>
      <c r="L459" s="342">
        <v>1584</v>
      </c>
      <c r="M459" s="373">
        <v>45394</v>
      </c>
      <c r="N459" s="342">
        <f>+Table7[[#This Row],[стойност с ДДС]]-Table7[[#This Row],[направено плащане]]</f>
        <v>0</v>
      </c>
      <c r="O459" s="346"/>
    </row>
    <row r="460" spans="1:15" ht="20.100000000000001" customHeight="1" x14ac:dyDescent="0.25">
      <c r="A460" s="206" t="s">
        <v>114</v>
      </c>
      <c r="B460" s="378" t="s">
        <v>741</v>
      </c>
      <c r="C460" s="371">
        <v>45392</v>
      </c>
      <c r="D460" s="337"/>
      <c r="E460" s="347" t="s">
        <v>131</v>
      </c>
      <c r="F460" s="409"/>
      <c r="G460" s="322"/>
      <c r="H460" s="324">
        <v>30</v>
      </c>
      <c r="I460" s="325">
        <v>41.84</v>
      </c>
      <c r="J460" s="325">
        <f t="shared" si="48"/>
        <v>1255.2</v>
      </c>
      <c r="K460" s="318">
        <v>1255.22</v>
      </c>
      <c r="L460" s="322">
        <v>1255.22</v>
      </c>
      <c r="M460" s="371">
        <v>45397</v>
      </c>
      <c r="N460" s="322">
        <f>+Table7[[#This Row],[стойност с ДДС]]-Table7[[#This Row],[направено плащане]]</f>
        <v>0</v>
      </c>
      <c r="O460" s="327"/>
    </row>
    <row r="461" spans="1:15" ht="20.100000000000001" customHeight="1" x14ac:dyDescent="0.25">
      <c r="A461" s="206" t="s">
        <v>114</v>
      </c>
      <c r="B461" s="381" t="s">
        <v>742</v>
      </c>
      <c r="C461" s="373">
        <v>45392</v>
      </c>
      <c r="D461" s="343"/>
      <c r="E461" s="347" t="s">
        <v>131</v>
      </c>
      <c r="F461" s="412"/>
      <c r="G461" s="342"/>
      <c r="H461" s="344">
        <v>1</v>
      </c>
      <c r="I461" s="345">
        <f>639.63*1.95583</f>
        <v>1251.0075428999999</v>
      </c>
      <c r="J461" s="345">
        <f t="shared" si="48"/>
        <v>1251.0075428999999</v>
      </c>
      <c r="K461" s="320">
        <f>+Table7[[#This Row],[стойност]]</f>
        <v>1251.0075428999999</v>
      </c>
      <c r="L461" s="342"/>
      <c r="M461" s="373"/>
      <c r="N461" s="342">
        <f>+Table7[[#This Row],[стойност с ДДС]]-Table7[[#This Row],[направено плащане]]</f>
        <v>1251.0075428999999</v>
      </c>
      <c r="O461" s="346"/>
    </row>
    <row r="462" spans="1:15" ht="20.100000000000001" customHeight="1" x14ac:dyDescent="0.25">
      <c r="A462" s="206" t="s">
        <v>37</v>
      </c>
      <c r="B462" s="381" t="s">
        <v>743</v>
      </c>
      <c r="C462" s="373">
        <v>45391</v>
      </c>
      <c r="D462" s="343"/>
      <c r="E462" s="347" t="s">
        <v>131</v>
      </c>
      <c r="F462" s="412" t="s">
        <v>744</v>
      </c>
      <c r="G462" s="342"/>
      <c r="H462" s="344">
        <v>300</v>
      </c>
      <c r="I462" s="345">
        <v>41.5</v>
      </c>
      <c r="J462" s="345">
        <f t="shared" si="48"/>
        <v>12450</v>
      </c>
      <c r="K462" s="320">
        <f>J462*1.2</f>
        <v>14940</v>
      </c>
      <c r="L462" s="342">
        <v>14940</v>
      </c>
      <c r="M462" s="371">
        <v>45394</v>
      </c>
      <c r="N462" s="342">
        <f>+Table7[[#This Row],[стойност с ДДС]]-Table7[[#This Row],[направено плащане]]</f>
        <v>0</v>
      </c>
      <c r="O462" s="346">
        <v>45397</v>
      </c>
    </row>
    <row r="463" spans="1:15" ht="20.100000000000001" customHeight="1" x14ac:dyDescent="0.25">
      <c r="A463" s="206" t="s">
        <v>37</v>
      </c>
      <c r="B463" s="381" t="s">
        <v>745</v>
      </c>
      <c r="C463" s="373">
        <v>45391</v>
      </c>
      <c r="D463" s="343"/>
      <c r="E463" s="347" t="s">
        <v>131</v>
      </c>
      <c r="F463" s="412" t="s">
        <v>746</v>
      </c>
      <c r="G463" s="342"/>
      <c r="H463" s="344">
        <v>500</v>
      </c>
      <c r="I463" s="345">
        <v>42</v>
      </c>
      <c r="J463" s="345">
        <f t="shared" si="48"/>
        <v>21000</v>
      </c>
      <c r="K463" s="320">
        <f>J463*1.2</f>
        <v>25200</v>
      </c>
      <c r="L463" s="342">
        <v>25200</v>
      </c>
      <c r="M463" s="371">
        <v>45394</v>
      </c>
      <c r="N463" s="342">
        <f>+Table7[[#This Row],[стойност с ДДС]]-Table7[[#This Row],[направено плащане]]</f>
        <v>0</v>
      </c>
      <c r="O463" s="346">
        <v>45397</v>
      </c>
    </row>
    <row r="464" spans="1:15" ht="20.100000000000001" customHeight="1" x14ac:dyDescent="0.25">
      <c r="A464" s="151" t="s">
        <v>37</v>
      </c>
      <c r="B464" s="378" t="s">
        <v>745</v>
      </c>
      <c r="C464" s="371">
        <v>45391</v>
      </c>
      <c r="D464" s="337"/>
      <c r="E464" s="328" t="s">
        <v>131</v>
      </c>
      <c r="F464" s="409" t="s">
        <v>747</v>
      </c>
      <c r="G464" s="322"/>
      <c r="H464" s="324">
        <v>500</v>
      </c>
      <c r="I464" s="325">
        <v>42</v>
      </c>
      <c r="J464" s="325">
        <f t="shared" ref="J464:J465" si="49">I464*H464</f>
        <v>21000</v>
      </c>
      <c r="K464" s="318">
        <f t="shared" ref="K464:K465" si="50">J464*1.2</f>
        <v>25200</v>
      </c>
      <c r="L464" s="322">
        <v>25200</v>
      </c>
      <c r="M464" s="371">
        <v>45394</v>
      </c>
      <c r="N464" s="322">
        <f>+Table7[[#This Row],[стойност с ДДС]]-Table7[[#This Row],[направено плащане]]</f>
        <v>0</v>
      </c>
      <c r="O464" s="346">
        <v>45397</v>
      </c>
    </row>
    <row r="465" spans="1:15" ht="20.100000000000001" customHeight="1" x14ac:dyDescent="0.25">
      <c r="A465" s="206" t="s">
        <v>37</v>
      </c>
      <c r="B465" s="381" t="s">
        <v>745</v>
      </c>
      <c r="C465" s="373">
        <v>45391</v>
      </c>
      <c r="D465" s="343"/>
      <c r="E465" s="347" t="s">
        <v>131</v>
      </c>
      <c r="F465" s="412" t="s">
        <v>748</v>
      </c>
      <c r="G465" s="342"/>
      <c r="H465" s="344">
        <v>300</v>
      </c>
      <c r="I465" s="345">
        <v>42</v>
      </c>
      <c r="J465" s="345">
        <f t="shared" si="49"/>
        <v>12600</v>
      </c>
      <c r="K465" s="320">
        <f t="shared" si="50"/>
        <v>15120</v>
      </c>
      <c r="L465" s="342">
        <v>15120</v>
      </c>
      <c r="M465" s="371">
        <v>45394</v>
      </c>
      <c r="N465" s="342">
        <f>+Table7[[#This Row],[стойност с ДДС]]-Table7[[#This Row],[направено плащане]]</f>
        <v>0</v>
      </c>
      <c r="O465" s="346">
        <v>45397</v>
      </c>
    </row>
    <row r="466" spans="1:15" ht="20.100000000000001" customHeight="1" x14ac:dyDescent="0.25">
      <c r="A466" s="206" t="s">
        <v>118</v>
      </c>
      <c r="B466" s="381" t="s">
        <v>749</v>
      </c>
      <c r="C466" s="373">
        <v>45391</v>
      </c>
      <c r="D466" s="343"/>
      <c r="E466" s="347" t="s">
        <v>131</v>
      </c>
      <c r="F466" s="412" t="s">
        <v>750</v>
      </c>
      <c r="G466" s="342"/>
      <c r="H466" s="344">
        <v>50</v>
      </c>
      <c r="I466" s="345">
        <v>42</v>
      </c>
      <c r="J466" s="345">
        <f>I466*H466</f>
        <v>2100</v>
      </c>
      <c r="K466" s="320">
        <f>J466*1.2</f>
        <v>2520</v>
      </c>
      <c r="L466" s="342">
        <v>2520</v>
      </c>
      <c r="M466" s="373">
        <v>45397</v>
      </c>
      <c r="N466" s="342">
        <f>+Table7[[#This Row],[стойност с ДДС]]-Table7[[#This Row],[направено плащане]]</f>
        <v>0</v>
      </c>
      <c r="O466" s="346">
        <v>45398</v>
      </c>
    </row>
    <row r="467" spans="1:15" ht="20.100000000000001" customHeight="1" x14ac:dyDescent="0.25">
      <c r="A467" s="206" t="s">
        <v>118</v>
      </c>
      <c r="B467" s="378" t="s">
        <v>751</v>
      </c>
      <c r="C467" s="371">
        <v>45388</v>
      </c>
      <c r="D467" s="337"/>
      <c r="E467" s="347" t="s">
        <v>131</v>
      </c>
      <c r="F467" s="409" t="s">
        <v>752</v>
      </c>
      <c r="G467" s="322"/>
      <c r="H467" s="324">
        <v>30</v>
      </c>
      <c r="I467" s="325">
        <v>40</v>
      </c>
      <c r="J467" s="325">
        <f>I467*H467</f>
        <v>1200</v>
      </c>
      <c r="K467" s="318">
        <f>J467*1.2</f>
        <v>1440</v>
      </c>
      <c r="L467" s="322">
        <v>1440</v>
      </c>
      <c r="M467" s="371">
        <v>45393</v>
      </c>
      <c r="N467" s="322">
        <f>+Table7[[#This Row],[стойност с ДДС]]-Table7[[#This Row],[направено плащане]]</f>
        <v>0</v>
      </c>
      <c r="O467" s="346">
        <v>45394</v>
      </c>
    </row>
    <row r="468" spans="1:15" ht="20.100000000000001" customHeight="1" x14ac:dyDescent="0.25">
      <c r="A468" s="206" t="s">
        <v>118</v>
      </c>
      <c r="B468" s="378" t="s">
        <v>753</v>
      </c>
      <c r="C468" s="371">
        <v>45387</v>
      </c>
      <c r="D468" s="337"/>
      <c r="E468" s="347" t="s">
        <v>131</v>
      </c>
      <c r="F468" s="409" t="s">
        <v>754</v>
      </c>
      <c r="G468" s="322"/>
      <c r="H468" s="324">
        <v>1000</v>
      </c>
      <c r="I468" s="325">
        <v>40.5</v>
      </c>
      <c r="J468" s="325">
        <f>I468*H468</f>
        <v>40500</v>
      </c>
      <c r="K468" s="318">
        <f>J468*1.2</f>
        <v>48600</v>
      </c>
      <c r="L468" s="322">
        <v>48600</v>
      </c>
      <c r="M468" s="371">
        <v>45393</v>
      </c>
      <c r="N468" s="322">
        <v>0</v>
      </c>
      <c r="O468" s="346">
        <v>45394</v>
      </c>
    </row>
    <row r="469" spans="1:15" ht="20.100000000000001" customHeight="1" x14ac:dyDescent="0.25">
      <c r="A469" s="206" t="s">
        <v>118</v>
      </c>
      <c r="B469" s="381" t="s">
        <v>753</v>
      </c>
      <c r="C469" s="373">
        <v>45387</v>
      </c>
      <c r="D469" s="343"/>
      <c r="E469" s="347" t="s">
        <v>131</v>
      </c>
      <c r="F469" s="412" t="s">
        <v>755</v>
      </c>
      <c r="G469" s="342"/>
      <c r="H469" s="344">
        <v>500</v>
      </c>
      <c r="I469" s="345">
        <v>39.299999999999997</v>
      </c>
      <c r="J469" s="345">
        <f>I469*H469</f>
        <v>19650</v>
      </c>
      <c r="K469" s="320">
        <f>J469*1.2</f>
        <v>23580</v>
      </c>
      <c r="L469" s="342">
        <v>23580</v>
      </c>
      <c r="M469" s="373">
        <v>45393</v>
      </c>
      <c r="N469" s="342">
        <f>+Table7[[#This Row],[стойност с ДДС]]-Table7[[#This Row],[направено плащане]]</f>
        <v>0</v>
      </c>
      <c r="O469" s="346">
        <v>45394</v>
      </c>
    </row>
    <row r="470" spans="1:15" ht="20.100000000000001" customHeight="1" x14ac:dyDescent="0.25">
      <c r="A470" s="206" t="s">
        <v>118</v>
      </c>
      <c r="B470" s="378" t="s">
        <v>756</v>
      </c>
      <c r="C470" s="371">
        <v>45383</v>
      </c>
      <c r="D470" s="337"/>
      <c r="E470" s="347" t="s">
        <v>131</v>
      </c>
      <c r="F470" s="409" t="s">
        <v>757</v>
      </c>
      <c r="G470" s="322"/>
      <c r="H470" s="324">
        <v>50</v>
      </c>
      <c r="I470" s="325">
        <v>42</v>
      </c>
      <c r="J470" s="325">
        <f>I470*H470</f>
        <v>2100</v>
      </c>
      <c r="K470" s="318">
        <f>J470*1.2</f>
        <v>2520</v>
      </c>
      <c r="L470" s="322">
        <v>2520</v>
      </c>
      <c r="M470" s="371">
        <v>45394</v>
      </c>
      <c r="N470" s="322">
        <f>+Table7[[#This Row],[стойност с ДДС]]-Table7[[#This Row],[направено плащане]]</f>
        <v>0</v>
      </c>
      <c r="O470" s="346">
        <v>45394</v>
      </c>
    </row>
    <row r="471" spans="1:15" ht="20.100000000000001" customHeight="1" x14ac:dyDescent="0.25">
      <c r="A471" s="151" t="s">
        <v>118</v>
      </c>
      <c r="B471" s="378" t="s">
        <v>756</v>
      </c>
      <c r="C471" s="371">
        <v>45383</v>
      </c>
      <c r="D471" s="337"/>
      <c r="E471" s="328" t="s">
        <v>131</v>
      </c>
      <c r="F471" s="409" t="s">
        <v>758</v>
      </c>
      <c r="G471" s="322"/>
      <c r="H471" s="324">
        <v>500</v>
      </c>
      <c r="I471" s="325">
        <v>43</v>
      </c>
      <c r="J471" s="325">
        <f t="shared" ref="J471:J472" si="51">I471*H471</f>
        <v>21500</v>
      </c>
      <c r="K471" s="318">
        <f t="shared" ref="K471:K472" si="52">J471*1.2</f>
        <v>25800</v>
      </c>
      <c r="L471" s="322">
        <v>25800</v>
      </c>
      <c r="M471" s="371">
        <v>45394</v>
      </c>
      <c r="N471" s="322">
        <f>+Table7[[#This Row],[стойност с ДДС]]-Table7[[#This Row],[направено плащане]]</f>
        <v>0</v>
      </c>
      <c r="O471" s="346">
        <v>45394</v>
      </c>
    </row>
    <row r="472" spans="1:15" ht="20.100000000000001" customHeight="1" x14ac:dyDescent="0.25">
      <c r="A472" s="206" t="s">
        <v>118</v>
      </c>
      <c r="B472" s="381" t="s">
        <v>756</v>
      </c>
      <c r="C472" s="373">
        <v>45383</v>
      </c>
      <c r="D472" s="343"/>
      <c r="E472" s="347" t="s">
        <v>131</v>
      </c>
      <c r="F472" s="412" t="s">
        <v>759</v>
      </c>
      <c r="G472" s="342"/>
      <c r="H472" s="344">
        <v>300</v>
      </c>
      <c r="I472" s="345">
        <v>43</v>
      </c>
      <c r="J472" s="345">
        <f t="shared" si="51"/>
        <v>12900</v>
      </c>
      <c r="K472" s="320">
        <f t="shared" si="52"/>
        <v>15480</v>
      </c>
      <c r="L472" s="342">
        <v>15480</v>
      </c>
      <c r="M472" s="371">
        <v>45394</v>
      </c>
      <c r="N472" s="342">
        <f>+Table7[[#This Row],[стойност с ДДС]]-Table7[[#This Row],[направено плащане]]</f>
        <v>0</v>
      </c>
      <c r="O472" s="346">
        <v>45390</v>
      </c>
    </row>
    <row r="473" spans="1:15" ht="20.100000000000001" customHeight="1" x14ac:dyDescent="0.25">
      <c r="A473" s="206" t="s">
        <v>268</v>
      </c>
      <c r="B473" s="381" t="s">
        <v>760</v>
      </c>
      <c r="C473" s="373">
        <v>45386</v>
      </c>
      <c r="D473" s="343"/>
      <c r="E473" s="347" t="s">
        <v>131</v>
      </c>
      <c r="F473" s="412" t="s">
        <v>761</v>
      </c>
      <c r="G473" s="342"/>
      <c r="H473" s="344">
        <v>9200</v>
      </c>
      <c r="I473" s="345">
        <v>50.67</v>
      </c>
      <c r="J473" s="345"/>
      <c r="K473" s="320">
        <v>48907.5</v>
      </c>
      <c r="L473" s="342">
        <v>48907.5</v>
      </c>
      <c r="M473" s="373">
        <v>45393</v>
      </c>
      <c r="N473" s="342">
        <f>+Table7[[#This Row],[стойност с ДДС]]-Table7[[#This Row],[направено плащане]]</f>
        <v>0</v>
      </c>
      <c r="O473" s="346"/>
    </row>
    <row r="474" spans="1:15" ht="20.100000000000001" customHeight="1" x14ac:dyDescent="0.25">
      <c r="A474" s="206" t="s">
        <v>268</v>
      </c>
      <c r="B474" s="378" t="s">
        <v>762</v>
      </c>
      <c r="C474" s="371">
        <v>45752</v>
      </c>
      <c r="D474" s="337"/>
      <c r="E474" s="347" t="s">
        <v>131</v>
      </c>
      <c r="F474" s="412" t="s">
        <v>763</v>
      </c>
      <c r="G474" s="322"/>
      <c r="H474" s="324">
        <v>9200</v>
      </c>
      <c r="I474" s="325">
        <v>51.45</v>
      </c>
      <c r="J474" s="325">
        <f t="shared" ref="J474:J480" si="53">I474*H474</f>
        <v>473340</v>
      </c>
      <c r="K474" s="318">
        <v>48907.5</v>
      </c>
      <c r="L474" s="322">
        <v>48907.5</v>
      </c>
      <c r="M474" s="371">
        <v>45393</v>
      </c>
      <c r="N474" s="322">
        <f>+Table7[[#This Row],[стойност с ДДС]]-Table7[[#This Row],[направено плащане]]</f>
        <v>0</v>
      </c>
      <c r="O474" s="327"/>
    </row>
    <row r="475" spans="1:15" ht="20.100000000000001" customHeight="1" x14ac:dyDescent="0.25">
      <c r="A475" s="151" t="s">
        <v>37</v>
      </c>
      <c r="B475" s="381" t="s">
        <v>764</v>
      </c>
      <c r="C475" s="373">
        <v>45392</v>
      </c>
      <c r="D475" s="343"/>
      <c r="E475" s="347" t="s">
        <v>131</v>
      </c>
      <c r="F475" s="412" t="s">
        <v>765</v>
      </c>
      <c r="G475" s="342"/>
      <c r="H475" s="344">
        <v>500</v>
      </c>
      <c r="I475" s="345">
        <v>43</v>
      </c>
      <c r="J475" s="345">
        <f t="shared" si="53"/>
        <v>21500</v>
      </c>
      <c r="K475" s="320">
        <f>J475*1.2</f>
        <v>25800</v>
      </c>
      <c r="L475" s="342">
        <v>25800</v>
      </c>
      <c r="M475" s="373">
        <v>45397</v>
      </c>
      <c r="N475" s="342">
        <f>+Table7[[#This Row],[стойност с ДДС]]-Table7[[#This Row],[направено плащане]]</f>
        <v>0</v>
      </c>
      <c r="O475" s="346"/>
    </row>
    <row r="476" spans="1:15" ht="20.100000000000001" customHeight="1" x14ac:dyDescent="0.25">
      <c r="A476" s="151" t="s">
        <v>37</v>
      </c>
      <c r="B476" s="381" t="s">
        <v>764</v>
      </c>
      <c r="C476" s="373">
        <v>45392</v>
      </c>
      <c r="D476" s="343"/>
      <c r="E476" s="347" t="s">
        <v>131</v>
      </c>
      <c r="F476" s="412" t="s">
        <v>766</v>
      </c>
      <c r="G476" s="342"/>
      <c r="H476" s="344">
        <v>500</v>
      </c>
      <c r="I476" s="345">
        <v>43</v>
      </c>
      <c r="J476" s="345">
        <f t="shared" si="53"/>
        <v>21500</v>
      </c>
      <c r="K476" s="320">
        <f>J476*1.2</f>
        <v>25800</v>
      </c>
      <c r="L476" s="342">
        <v>25800</v>
      </c>
      <c r="M476" s="373">
        <v>45397</v>
      </c>
      <c r="N476" s="342">
        <f>+Table7[[#This Row],[стойност с ДДС]]-Table7[[#This Row],[направено плащане]]</f>
        <v>0</v>
      </c>
      <c r="O476" s="346"/>
    </row>
    <row r="477" spans="1:15" ht="20.100000000000001" customHeight="1" x14ac:dyDescent="0.25">
      <c r="A477" s="206" t="s">
        <v>118</v>
      </c>
      <c r="B477" s="381" t="s">
        <v>767</v>
      </c>
      <c r="C477" s="373">
        <v>45392</v>
      </c>
      <c r="D477" s="343"/>
      <c r="E477" s="347" t="s">
        <v>131</v>
      </c>
      <c r="F477" s="412" t="s">
        <v>768</v>
      </c>
      <c r="G477" s="342"/>
      <c r="H477" s="344">
        <v>350</v>
      </c>
      <c r="I477" s="345">
        <v>43</v>
      </c>
      <c r="J477" s="345">
        <f t="shared" si="53"/>
        <v>15050</v>
      </c>
      <c r="K477" s="320">
        <f>J477*1.2</f>
        <v>18060</v>
      </c>
      <c r="L477" s="342">
        <v>18060</v>
      </c>
      <c r="M477" s="373">
        <v>45398</v>
      </c>
      <c r="N477" s="342">
        <f>+Table7[[#This Row],[стойност с ДДС]]-Table7[[#This Row],[направено плащане]]</f>
        <v>0</v>
      </c>
      <c r="O477" s="346"/>
    </row>
    <row r="478" spans="1:15" ht="20.100000000000001" customHeight="1" x14ac:dyDescent="0.3">
      <c r="A478" s="206" t="s">
        <v>448</v>
      </c>
      <c r="B478" s="381" t="s">
        <v>769</v>
      </c>
      <c r="C478" s="373">
        <v>45382</v>
      </c>
      <c r="D478" s="343"/>
      <c r="E478" s="332" t="s">
        <v>450</v>
      </c>
      <c r="F478" s="412"/>
      <c r="G478" s="342"/>
      <c r="H478" s="344"/>
      <c r="I478" s="345"/>
      <c r="J478" s="345">
        <f t="shared" si="53"/>
        <v>0</v>
      </c>
      <c r="K478" s="320">
        <f>750*0.39</f>
        <v>292.5</v>
      </c>
      <c r="L478" s="342"/>
      <c r="M478" s="373"/>
      <c r="N478" s="342">
        <f>+Table7[[#This Row],[стойност с ДДС]]-Table7[[#This Row],[направено плащане]]</f>
        <v>292.5</v>
      </c>
      <c r="O478" s="346"/>
    </row>
    <row r="479" spans="1:15" ht="20.100000000000001" customHeight="1" x14ac:dyDescent="0.3">
      <c r="A479" s="206" t="s">
        <v>448</v>
      </c>
      <c r="B479" s="378" t="s">
        <v>770</v>
      </c>
      <c r="C479" s="371">
        <v>45382</v>
      </c>
      <c r="D479" s="337"/>
      <c r="E479" s="332" t="s">
        <v>450</v>
      </c>
      <c r="F479" s="409"/>
      <c r="G479" s="322"/>
      <c r="H479" s="324"/>
      <c r="I479" s="325"/>
      <c r="J479" s="325">
        <f t="shared" si="53"/>
        <v>0</v>
      </c>
      <c r="K479" s="318">
        <f>17.97*0.39</f>
        <v>7.0083000000000002</v>
      </c>
      <c r="L479" s="322"/>
      <c r="M479" s="371"/>
      <c r="N479" s="322">
        <f>+Table7[[#This Row],[стойност с ДДС]]-Table7[[#This Row],[направено плащане]]</f>
        <v>7.0083000000000002</v>
      </c>
      <c r="O479" s="327"/>
    </row>
    <row r="480" spans="1:15" ht="20.100000000000001" customHeight="1" x14ac:dyDescent="0.3">
      <c r="A480" s="206" t="s">
        <v>771</v>
      </c>
      <c r="B480" s="381" t="s">
        <v>772</v>
      </c>
      <c r="C480" s="373"/>
      <c r="D480" s="343"/>
      <c r="E480" s="332" t="s">
        <v>422</v>
      </c>
      <c r="F480" s="412"/>
      <c r="G480" s="342"/>
      <c r="H480" s="344"/>
      <c r="I480" s="345"/>
      <c r="J480" s="345">
        <f t="shared" si="53"/>
        <v>0</v>
      </c>
      <c r="K480" s="320">
        <v>1322.46</v>
      </c>
      <c r="L480" s="342">
        <v>1322.46</v>
      </c>
      <c r="M480" s="373">
        <v>45394</v>
      </c>
      <c r="N480" s="342">
        <f>+Table7[[#This Row],[стойност с ДДС]]-Table7[[#This Row],[направено плащане]]</f>
        <v>0</v>
      </c>
      <c r="O480" s="346"/>
    </row>
    <row r="481" spans="1:15" ht="20.100000000000001" customHeight="1" x14ac:dyDescent="0.3">
      <c r="A481" s="206" t="s">
        <v>773</v>
      </c>
      <c r="B481" s="381" t="s">
        <v>774</v>
      </c>
      <c r="C481" s="373">
        <v>45377</v>
      </c>
      <c r="D481" s="343"/>
      <c r="E481" s="332" t="s">
        <v>622</v>
      </c>
      <c r="F481" s="412"/>
      <c r="G481" s="342"/>
      <c r="H481" s="344"/>
      <c r="I481" s="345">
        <f>297.38*1.95583</f>
        <v>581.62472539999999</v>
      </c>
      <c r="J481" s="345">
        <v>581.62</v>
      </c>
      <c r="K481" s="320">
        <v>581.76</v>
      </c>
      <c r="L481" s="342">
        <v>581.76</v>
      </c>
      <c r="M481" s="373">
        <v>45397</v>
      </c>
      <c r="N481" s="342">
        <f>+Table7[[#This Row],[стойност с ДДС]]-Table7[[#This Row],[направено плащане]]</f>
        <v>0</v>
      </c>
      <c r="O481" s="346"/>
    </row>
    <row r="482" spans="1:15" ht="20.100000000000001" customHeight="1" x14ac:dyDescent="0.25">
      <c r="A482" s="206" t="s">
        <v>37</v>
      </c>
      <c r="B482" s="381" t="s">
        <v>775</v>
      </c>
      <c r="C482" s="373">
        <v>45393</v>
      </c>
      <c r="D482" s="343"/>
      <c r="E482" s="347" t="s">
        <v>131</v>
      </c>
      <c r="F482" s="412" t="s">
        <v>776</v>
      </c>
      <c r="G482" s="342"/>
      <c r="H482" s="344">
        <v>500</v>
      </c>
      <c r="I482" s="345">
        <v>44.8</v>
      </c>
      <c r="J482" s="345">
        <f>I482*H482</f>
        <v>22400</v>
      </c>
      <c r="K482" s="320">
        <f>J482*1.2</f>
        <v>26880</v>
      </c>
      <c r="L482" s="342">
        <v>26880</v>
      </c>
      <c r="M482" s="373">
        <v>45398</v>
      </c>
      <c r="N482" s="342">
        <f>+Table7[[#This Row],[стойност с ДДС]]-Table7[[#This Row],[направено плащане]]</f>
        <v>0</v>
      </c>
      <c r="O482" s="346"/>
    </row>
    <row r="483" spans="1:15" ht="20.100000000000001" customHeight="1" x14ac:dyDescent="0.25">
      <c r="A483" s="206" t="s">
        <v>37</v>
      </c>
      <c r="B483" s="381" t="s">
        <v>775</v>
      </c>
      <c r="C483" s="373">
        <v>45393</v>
      </c>
      <c r="D483" s="343"/>
      <c r="E483" s="347" t="s">
        <v>131</v>
      </c>
      <c r="F483" s="412" t="s">
        <v>777</v>
      </c>
      <c r="G483" s="342"/>
      <c r="H483" s="344">
        <v>180</v>
      </c>
      <c r="I483" s="345">
        <v>44.5</v>
      </c>
      <c r="J483" s="345">
        <f>I483*H483</f>
        <v>8010</v>
      </c>
      <c r="K483" s="320">
        <f>J483*1.2</f>
        <v>9612</v>
      </c>
      <c r="L483" s="342">
        <v>9612</v>
      </c>
      <c r="M483" s="373">
        <v>45398</v>
      </c>
      <c r="N483" s="342">
        <f>+Table7[[#This Row],[стойност с ДДС]]-Table7[[#This Row],[направено плащане]]</f>
        <v>0</v>
      </c>
      <c r="O483" s="346"/>
    </row>
    <row r="484" spans="1:15" ht="20.100000000000001" customHeight="1" x14ac:dyDescent="0.25">
      <c r="A484" s="206" t="s">
        <v>118</v>
      </c>
      <c r="B484" s="381" t="s">
        <v>778</v>
      </c>
      <c r="C484" s="373">
        <v>45393</v>
      </c>
      <c r="D484" s="343"/>
      <c r="E484" s="347" t="s">
        <v>131</v>
      </c>
      <c r="F484" s="412" t="s">
        <v>779</v>
      </c>
      <c r="G484" s="342"/>
      <c r="H484" s="344">
        <v>500</v>
      </c>
      <c r="I484" s="345">
        <v>44.8</v>
      </c>
      <c r="J484" s="345">
        <f>I484*H484</f>
        <v>22400</v>
      </c>
      <c r="K484" s="320">
        <f>J484*1.2</f>
        <v>26880</v>
      </c>
      <c r="L484" s="342">
        <v>26880</v>
      </c>
      <c r="M484" s="373">
        <v>45399</v>
      </c>
      <c r="N484" s="342">
        <f>+Table7[[#This Row],[стойност с ДДС]]-Table7[[#This Row],[направено плащане]]</f>
        <v>0</v>
      </c>
      <c r="O484" s="346"/>
    </row>
    <row r="485" spans="1:15" ht="20.100000000000001" customHeight="1" x14ac:dyDescent="0.3">
      <c r="A485" s="206" t="s">
        <v>780</v>
      </c>
      <c r="B485" s="381" t="s">
        <v>781</v>
      </c>
      <c r="C485" s="373">
        <v>45397</v>
      </c>
      <c r="D485" s="343"/>
      <c r="E485" s="332" t="s">
        <v>422</v>
      </c>
      <c r="F485" s="412"/>
      <c r="G485" s="342"/>
      <c r="H485" s="344"/>
      <c r="I485" s="345"/>
      <c r="J485" s="345">
        <v>23.33</v>
      </c>
      <c r="K485" s="320">
        <f>J485*1.2</f>
        <v>27.995999999999999</v>
      </c>
      <c r="L485" s="342">
        <v>28</v>
      </c>
      <c r="M485" s="373">
        <v>45398</v>
      </c>
      <c r="N485" s="342">
        <f>+Table7[[#This Row],[стойност с ДДС]]-Table7[[#This Row],[направено плащане]]</f>
        <v>-4.0000000000013358E-3</v>
      </c>
      <c r="O485" s="346"/>
    </row>
    <row r="486" spans="1:15" ht="20.100000000000001" customHeight="1" x14ac:dyDescent="0.25">
      <c r="A486" s="206" t="s">
        <v>159</v>
      </c>
      <c r="B486" s="381" t="s">
        <v>782</v>
      </c>
      <c r="C486" s="373">
        <v>45396</v>
      </c>
      <c r="D486" s="343"/>
      <c r="E486" s="347" t="s">
        <v>131</v>
      </c>
      <c r="F486" s="412"/>
      <c r="G486" s="342"/>
      <c r="H486" s="344">
        <v>280</v>
      </c>
      <c r="I486" s="345">
        <f>22.49684*1.95583</f>
        <v>43.999994577199999</v>
      </c>
      <c r="J486" s="345">
        <f>I486*H486</f>
        <v>12319.998481615999</v>
      </c>
      <c r="K486" s="320">
        <f>+Table7[[#This Row],[стойност]]</f>
        <v>12319.998481615999</v>
      </c>
      <c r="L486" s="342">
        <v>12319.998481615999</v>
      </c>
      <c r="M486" s="373">
        <v>45403</v>
      </c>
      <c r="N486" s="342">
        <f>+Table7[[#This Row],[стойност с ДДС]]-Table7[[#This Row],[направено плащане]]</f>
        <v>0</v>
      </c>
      <c r="O486" s="346"/>
    </row>
    <row r="487" spans="1:15" ht="20.100000000000001" customHeight="1" x14ac:dyDescent="0.3">
      <c r="A487" s="206" t="s">
        <v>783</v>
      </c>
      <c r="B487" s="381" t="s">
        <v>784</v>
      </c>
      <c r="C487" s="373">
        <v>45385</v>
      </c>
      <c r="D487" s="343"/>
      <c r="E487" s="332" t="s">
        <v>422</v>
      </c>
      <c r="F487" s="412"/>
      <c r="G487" s="342"/>
      <c r="H487" s="344"/>
      <c r="I487" s="345"/>
      <c r="J487" s="345">
        <v>859.08</v>
      </c>
      <c r="K487" s="320">
        <f>J487*1.2</f>
        <v>1030.896</v>
      </c>
      <c r="L487" s="342"/>
      <c r="M487" s="373"/>
      <c r="N487" s="342">
        <f>+Table7[[#This Row],[стойност с ДДС]]-Table7[[#This Row],[направено плащане]]</f>
        <v>1030.896</v>
      </c>
      <c r="O487" s="346"/>
    </row>
    <row r="488" spans="1:15" ht="20.100000000000001" customHeight="1" x14ac:dyDescent="0.3">
      <c r="A488" s="206" t="s">
        <v>527</v>
      </c>
      <c r="B488" s="381" t="s">
        <v>785</v>
      </c>
      <c r="C488" s="373">
        <v>45324</v>
      </c>
      <c r="D488" s="343"/>
      <c r="E488" s="348" t="s">
        <v>786</v>
      </c>
      <c r="F488" s="412"/>
      <c r="G488" s="342"/>
      <c r="H488" s="344">
        <v>1</v>
      </c>
      <c r="I488" s="345">
        <v>1680</v>
      </c>
      <c r="J488" s="345">
        <f>1608*1.95583</f>
        <v>3144.9746399999999</v>
      </c>
      <c r="K488" s="320">
        <v>3145.73</v>
      </c>
      <c r="L488" s="342">
        <v>3145.73</v>
      </c>
      <c r="M488" s="373">
        <v>45398</v>
      </c>
      <c r="N488" s="342">
        <f>+Table7[[#This Row],[стойност с ДДС]]-Table7[[#This Row],[направено плащане]]</f>
        <v>0</v>
      </c>
      <c r="O488" s="346"/>
    </row>
    <row r="489" spans="1:15" ht="20.100000000000001" customHeight="1" x14ac:dyDescent="0.3">
      <c r="A489" s="206" t="s">
        <v>527</v>
      </c>
      <c r="B489" s="378" t="s">
        <v>787</v>
      </c>
      <c r="C489" s="371">
        <v>45356</v>
      </c>
      <c r="D489" s="337"/>
      <c r="E489" s="348" t="s">
        <v>786</v>
      </c>
      <c r="F489" s="409"/>
      <c r="G489" s="322"/>
      <c r="H489" s="324">
        <v>1</v>
      </c>
      <c r="I489" s="325">
        <v>840</v>
      </c>
      <c r="J489" s="325">
        <f>+Table7[[#This Row],[единична цена]]*1.95583</f>
        <v>1642.8971999999999</v>
      </c>
      <c r="K489" s="318">
        <f>+Table7[[#This Row],[стойност]]</f>
        <v>1642.8971999999999</v>
      </c>
      <c r="L489" s="322"/>
      <c r="M489" s="371"/>
      <c r="N489" s="322">
        <f>+Table7[[#This Row],[стойност с ДДС]]-Table7[[#This Row],[направено плащане]]</f>
        <v>1642.8971999999999</v>
      </c>
      <c r="O489" s="327"/>
    </row>
    <row r="490" spans="1:15" ht="20.100000000000001" customHeight="1" x14ac:dyDescent="0.25">
      <c r="A490" s="206" t="s">
        <v>157</v>
      </c>
      <c r="B490" s="381" t="s">
        <v>788</v>
      </c>
      <c r="C490" s="373">
        <v>45397</v>
      </c>
      <c r="D490" s="343"/>
      <c r="E490" s="347" t="s">
        <v>131</v>
      </c>
      <c r="F490" s="412"/>
      <c r="G490" s="342"/>
      <c r="H490" s="344">
        <v>10</v>
      </c>
      <c r="I490" s="345">
        <v>42.5</v>
      </c>
      <c r="J490" s="345">
        <f t="shared" ref="J490:J498" si="54">I490*H490</f>
        <v>425</v>
      </c>
      <c r="K490" s="320">
        <f>J490*1.2</f>
        <v>510</v>
      </c>
      <c r="L490" s="342">
        <v>510</v>
      </c>
      <c r="M490" s="373">
        <v>45400</v>
      </c>
      <c r="N490" s="342">
        <f>+Table7[[#This Row],[стойност с ДДС]]-Table7[[#This Row],[направено плащане]]</f>
        <v>0</v>
      </c>
      <c r="O490" s="346"/>
    </row>
    <row r="491" spans="1:15" ht="20.100000000000001" customHeight="1" x14ac:dyDescent="0.25">
      <c r="A491" s="206" t="s">
        <v>157</v>
      </c>
      <c r="B491" s="381" t="s">
        <v>788</v>
      </c>
      <c r="C491" s="373">
        <v>45397</v>
      </c>
      <c r="D491" s="343"/>
      <c r="E491" s="347" t="s">
        <v>131</v>
      </c>
      <c r="F491" s="412"/>
      <c r="G491" s="342"/>
      <c r="H491" s="344">
        <v>30</v>
      </c>
      <c r="I491" s="345">
        <v>43</v>
      </c>
      <c r="J491" s="345">
        <f t="shared" si="54"/>
        <v>1290</v>
      </c>
      <c r="K491" s="320">
        <f>J491*1.2</f>
        <v>1548</v>
      </c>
      <c r="L491" s="342">
        <v>1548</v>
      </c>
      <c r="M491" s="373">
        <v>45400</v>
      </c>
      <c r="N491" s="342">
        <f>+Table7[[#This Row],[стойност с ДДС]]-Table7[[#This Row],[направено плащане]]</f>
        <v>0</v>
      </c>
      <c r="O491" s="346"/>
    </row>
    <row r="492" spans="1:15" ht="20.100000000000001" customHeight="1" x14ac:dyDescent="0.25">
      <c r="A492" s="206" t="s">
        <v>37</v>
      </c>
      <c r="B492" s="381" t="s">
        <v>789</v>
      </c>
      <c r="C492" s="373">
        <v>45394</v>
      </c>
      <c r="D492" s="343"/>
      <c r="E492" s="347" t="s">
        <v>131</v>
      </c>
      <c r="F492" s="412" t="s">
        <v>790</v>
      </c>
      <c r="G492" s="342"/>
      <c r="H492" s="344">
        <v>400</v>
      </c>
      <c r="I492" s="345">
        <v>43.5</v>
      </c>
      <c r="J492" s="345">
        <f t="shared" si="54"/>
        <v>17400</v>
      </c>
      <c r="K492" s="320">
        <f>J492*1.2</f>
        <v>20880</v>
      </c>
      <c r="L492" s="342">
        <v>20880</v>
      </c>
      <c r="M492" s="373">
        <v>45399</v>
      </c>
      <c r="N492" s="342">
        <f>+Table7[[#This Row],[стойност с ДДС]]-Table7[[#This Row],[направено плащане]]</f>
        <v>0</v>
      </c>
      <c r="O492" s="346">
        <v>45400</v>
      </c>
    </row>
    <row r="493" spans="1:15" ht="20.100000000000001" customHeight="1" x14ac:dyDescent="0.3">
      <c r="A493" s="206" t="s">
        <v>235</v>
      </c>
      <c r="B493" s="381" t="s">
        <v>791</v>
      </c>
      <c r="C493" s="373">
        <v>45397</v>
      </c>
      <c r="D493" s="343"/>
      <c r="E493" s="323" t="s">
        <v>263</v>
      </c>
      <c r="F493" s="412"/>
      <c r="G493" s="342"/>
      <c r="H493" s="344">
        <v>1000</v>
      </c>
      <c r="I493" s="345">
        <v>39.51</v>
      </c>
      <c r="J493" s="345">
        <f t="shared" si="54"/>
        <v>39510</v>
      </c>
      <c r="K493" s="320">
        <v>39509.43</v>
      </c>
      <c r="L493" s="342">
        <v>39509.43</v>
      </c>
      <c r="M493" s="373">
        <v>45399</v>
      </c>
      <c r="N493" s="342">
        <f>+Table7[[#This Row],[стойност с ДДС]]-Table7[[#This Row],[направено плащане]]</f>
        <v>0</v>
      </c>
      <c r="O493" s="346"/>
    </row>
    <row r="494" spans="1:15" ht="20.100000000000001" customHeight="1" x14ac:dyDescent="0.3">
      <c r="A494" s="206" t="s">
        <v>579</v>
      </c>
      <c r="B494" s="381" t="s">
        <v>792</v>
      </c>
      <c r="C494" s="373">
        <v>45397</v>
      </c>
      <c r="D494" s="343"/>
      <c r="E494" s="323" t="s">
        <v>460</v>
      </c>
      <c r="F494" s="412"/>
      <c r="G494" s="342"/>
      <c r="H494" s="344"/>
      <c r="I494" s="345"/>
      <c r="J494" s="345">
        <f t="shared" si="54"/>
        <v>0</v>
      </c>
      <c r="K494" s="320">
        <v>289.17</v>
      </c>
      <c r="L494" s="342">
        <v>289.17</v>
      </c>
      <c r="M494" s="373">
        <v>45400</v>
      </c>
      <c r="N494" s="342">
        <f>+Table7[[#This Row],[стойност с ДДС]]-Table7[[#This Row],[направено плащане]]</f>
        <v>0</v>
      </c>
      <c r="O494" s="346"/>
    </row>
    <row r="495" spans="1:15" ht="20.100000000000001" customHeight="1" x14ac:dyDescent="0.25">
      <c r="A495" s="206" t="s">
        <v>37</v>
      </c>
      <c r="B495" s="381" t="s">
        <v>793</v>
      </c>
      <c r="C495" s="373">
        <v>45397</v>
      </c>
      <c r="D495" s="343"/>
      <c r="E495" s="347" t="s">
        <v>131</v>
      </c>
      <c r="F495" s="412" t="s">
        <v>794</v>
      </c>
      <c r="G495" s="342"/>
      <c r="H495" s="344">
        <v>260</v>
      </c>
      <c r="I495" s="345">
        <v>44.15</v>
      </c>
      <c r="J495" s="345">
        <f t="shared" si="54"/>
        <v>11479</v>
      </c>
      <c r="K495" s="320">
        <f>J495*1.2</f>
        <v>13774.8</v>
      </c>
      <c r="L495" s="342">
        <v>13774.8</v>
      </c>
      <c r="M495" s="373">
        <v>45400</v>
      </c>
      <c r="N495" s="342">
        <f>+Table7[[#This Row],[стойност с ДДС]]-Table7[[#This Row],[направено плащане]]</f>
        <v>0</v>
      </c>
      <c r="O495" s="346"/>
    </row>
    <row r="496" spans="1:15" ht="20.100000000000001" customHeight="1" x14ac:dyDescent="0.25">
      <c r="A496" s="206" t="s">
        <v>159</v>
      </c>
      <c r="B496" s="381" t="s">
        <v>795</v>
      </c>
      <c r="C496" s="373">
        <v>45398</v>
      </c>
      <c r="D496" s="343"/>
      <c r="E496" s="347" t="s">
        <v>131</v>
      </c>
      <c r="F496" s="412" t="s">
        <v>796</v>
      </c>
      <c r="G496" s="342"/>
      <c r="H496" s="344">
        <v>257</v>
      </c>
      <c r="I496" s="345">
        <f>24.13298*1.95583</f>
        <v>47.2000062734</v>
      </c>
      <c r="J496" s="345">
        <v>12133.32</v>
      </c>
      <c r="K496" s="320">
        <v>45405</v>
      </c>
      <c r="L496" s="342">
        <v>45405</v>
      </c>
      <c r="M496" s="373">
        <v>45405</v>
      </c>
      <c r="N496" s="342">
        <f>+Table7[[#This Row],[стойност с ДДС]]-Table7[[#This Row],[направено плащане]]</f>
        <v>0</v>
      </c>
      <c r="O496" s="346"/>
    </row>
    <row r="497" spans="1:15" ht="20.100000000000001" customHeight="1" x14ac:dyDescent="0.3">
      <c r="A497" s="206" t="s">
        <v>413</v>
      </c>
      <c r="B497" s="381" t="s">
        <v>797</v>
      </c>
      <c r="C497" s="373"/>
      <c r="D497" s="343"/>
      <c r="E497" s="332" t="s">
        <v>622</v>
      </c>
      <c r="F497" s="412" t="s">
        <v>798</v>
      </c>
      <c r="G497" s="342"/>
      <c r="H497" s="344"/>
      <c r="I497" s="345"/>
      <c r="J497" s="345">
        <f t="shared" si="54"/>
        <v>0</v>
      </c>
      <c r="K497" s="320">
        <v>30000.73</v>
      </c>
      <c r="L497" s="342">
        <v>3000.73</v>
      </c>
      <c r="M497" s="373">
        <v>45400</v>
      </c>
      <c r="N497" s="342">
        <f>+Table7[[#This Row],[стойност с ДДС]]-Table7[[#This Row],[направено плащане]]</f>
        <v>27000</v>
      </c>
      <c r="O497" s="346"/>
    </row>
    <row r="498" spans="1:15" ht="20.100000000000001" customHeight="1" x14ac:dyDescent="0.25">
      <c r="A498" s="206" t="s">
        <v>157</v>
      </c>
      <c r="B498" s="381" t="s">
        <v>799</v>
      </c>
      <c r="C498" s="373" t="s">
        <v>800</v>
      </c>
      <c r="D498" s="343"/>
      <c r="E498" s="347" t="s">
        <v>131</v>
      </c>
      <c r="F498" s="412"/>
      <c r="G498" s="342"/>
      <c r="H498" s="344">
        <v>22</v>
      </c>
      <c r="I498" s="345">
        <v>44.5</v>
      </c>
      <c r="J498" s="345">
        <f t="shared" si="54"/>
        <v>979</v>
      </c>
      <c r="K498" s="320">
        <f>J498*1.2</f>
        <v>1174.8</v>
      </c>
      <c r="L498" s="342"/>
      <c r="M498" s="373"/>
      <c r="N498" s="342">
        <f>+Table7[[#This Row],[стойност с ДДС]]-Table7[[#This Row],[направено плащане]]</f>
        <v>1174.8</v>
      </c>
      <c r="O498" s="346"/>
    </row>
    <row r="499" spans="1:15" ht="20.100000000000001" customHeight="1" x14ac:dyDescent="0.25">
      <c r="A499" s="206" t="s">
        <v>37</v>
      </c>
      <c r="B499" s="381" t="s">
        <v>801</v>
      </c>
      <c r="C499" s="373">
        <v>45399</v>
      </c>
      <c r="D499" s="343"/>
      <c r="E499" s="347" t="s">
        <v>131</v>
      </c>
      <c r="F499" s="412" t="s">
        <v>802</v>
      </c>
      <c r="G499" s="342"/>
      <c r="H499" s="344">
        <v>220</v>
      </c>
      <c r="I499" s="345">
        <v>47</v>
      </c>
      <c r="J499" s="345">
        <f t="shared" ref="J499:J513" si="55">I499*H499</f>
        <v>10340</v>
      </c>
      <c r="K499" s="320">
        <f>J499*1.2</f>
        <v>12408</v>
      </c>
      <c r="L499" s="342"/>
      <c r="M499" s="373"/>
      <c r="N499" s="342">
        <f>+Table7[[#This Row],[стойност с ДДС]]-Table7[[#This Row],[направено плащане]]</f>
        <v>12408</v>
      </c>
      <c r="O499" s="346">
        <v>45405</v>
      </c>
    </row>
    <row r="500" spans="1:15" ht="20.100000000000001" customHeight="1" x14ac:dyDescent="0.25">
      <c r="A500" s="206" t="s">
        <v>157</v>
      </c>
      <c r="B500" s="381" t="s">
        <v>803</v>
      </c>
      <c r="C500" s="373">
        <v>45399</v>
      </c>
      <c r="D500" s="343"/>
      <c r="E500" s="347" t="s">
        <v>131</v>
      </c>
      <c r="F500" s="412"/>
      <c r="G500" s="342"/>
      <c r="H500" s="344">
        <v>30</v>
      </c>
      <c r="I500" s="345">
        <v>48.1</v>
      </c>
      <c r="J500" s="345">
        <f t="shared" si="55"/>
        <v>1443</v>
      </c>
      <c r="K500" s="320">
        <f>J500*1.2</f>
        <v>1731.6</v>
      </c>
      <c r="L500" s="342"/>
      <c r="M500" s="373"/>
      <c r="N500" s="342">
        <f>+Table7[[#This Row],[стойност с ДДС]]-Table7[[#This Row],[направено плащане]]</f>
        <v>1731.6</v>
      </c>
      <c r="O500" s="346">
        <v>45405</v>
      </c>
    </row>
    <row r="501" spans="1:15" ht="20.100000000000001" customHeight="1" x14ac:dyDescent="0.25">
      <c r="A501" s="151" t="s">
        <v>268</v>
      </c>
      <c r="B501" s="381" t="s">
        <v>804</v>
      </c>
      <c r="C501" s="373">
        <v>45399</v>
      </c>
      <c r="D501" s="343"/>
      <c r="E501" s="347" t="s">
        <v>131</v>
      </c>
      <c r="F501" s="412"/>
      <c r="G501" s="342"/>
      <c r="H501" s="344">
        <v>100</v>
      </c>
      <c r="I501" s="345">
        <v>48.5</v>
      </c>
      <c r="J501" s="345">
        <f t="shared" si="55"/>
        <v>4850</v>
      </c>
      <c r="K501" s="320">
        <f>J501*1.2</f>
        <v>5820</v>
      </c>
      <c r="L501" s="342">
        <v>5820</v>
      </c>
      <c r="M501" s="373">
        <v>45420</v>
      </c>
      <c r="N501" s="342">
        <f>+Table7[[#This Row],[стойност с ДДС]]-Table7[[#This Row],[направено плащане]]</f>
        <v>0</v>
      </c>
      <c r="O501" s="346">
        <v>45406</v>
      </c>
    </row>
    <row r="502" spans="1:15" ht="20.100000000000001" customHeight="1" x14ac:dyDescent="0.25">
      <c r="A502" s="206" t="s">
        <v>159</v>
      </c>
      <c r="B502" s="381" t="s">
        <v>805</v>
      </c>
      <c r="C502" s="373">
        <v>45400</v>
      </c>
      <c r="D502" s="343"/>
      <c r="E502" s="347" t="s">
        <v>131</v>
      </c>
      <c r="F502" s="412"/>
      <c r="G502" s="342"/>
      <c r="H502" s="344">
        <v>190</v>
      </c>
      <c r="I502" s="345">
        <f>24.03072*1.95583</f>
        <v>47.000003097599993</v>
      </c>
      <c r="J502" s="345">
        <f t="shared" si="55"/>
        <v>8930.0005885439987</v>
      </c>
      <c r="K502" s="320">
        <v>8932.15</v>
      </c>
      <c r="L502" s="342">
        <v>8932.15</v>
      </c>
      <c r="M502" s="373">
        <v>45407</v>
      </c>
      <c r="N502" s="342">
        <v>0</v>
      </c>
      <c r="O502" s="346"/>
    </row>
    <row r="503" spans="1:15" ht="20.100000000000001" customHeight="1" x14ac:dyDescent="0.3">
      <c r="A503" s="206"/>
      <c r="B503" s="381"/>
      <c r="C503" s="373">
        <v>45400</v>
      </c>
      <c r="D503" s="343"/>
      <c r="E503" s="332" t="s">
        <v>623</v>
      </c>
      <c r="F503" s="412"/>
      <c r="G503" s="342"/>
      <c r="H503" s="344"/>
      <c r="I503" s="345"/>
      <c r="J503" s="345">
        <f t="shared" si="55"/>
        <v>0</v>
      </c>
      <c r="K503" s="320">
        <v>8931.4699999999993</v>
      </c>
      <c r="L503" s="342">
        <v>8931.4699999999993</v>
      </c>
      <c r="M503" s="373">
        <v>45404</v>
      </c>
      <c r="N503" s="342">
        <f>+Table7[[#This Row],[стойност с ДДС]]-Table7[[#This Row],[направено плащане]]</f>
        <v>0</v>
      </c>
      <c r="O503" s="346"/>
    </row>
    <row r="504" spans="1:15" ht="20.100000000000001" customHeight="1" x14ac:dyDescent="0.3">
      <c r="A504" s="206"/>
      <c r="B504" s="381"/>
      <c r="C504" s="373">
        <v>45400</v>
      </c>
      <c r="D504" s="343"/>
      <c r="E504" s="332" t="s">
        <v>623</v>
      </c>
      <c r="F504" s="412"/>
      <c r="G504" s="342"/>
      <c r="H504" s="344"/>
      <c r="I504" s="345"/>
      <c r="J504" s="345">
        <f t="shared" si="55"/>
        <v>0</v>
      </c>
      <c r="K504" s="320">
        <v>10408.9</v>
      </c>
      <c r="L504" s="342">
        <v>10408.9</v>
      </c>
      <c r="M504" s="373">
        <v>45404</v>
      </c>
      <c r="N504" s="342">
        <f>+Table7[[#This Row],[стойност с ДДС]]-Table7[[#This Row],[направено плащане]]</f>
        <v>0</v>
      </c>
      <c r="O504" s="346"/>
    </row>
    <row r="505" spans="1:15" ht="20.100000000000001" customHeight="1" x14ac:dyDescent="0.3">
      <c r="A505" s="206"/>
      <c r="B505" s="381"/>
      <c r="C505" s="373">
        <v>45400</v>
      </c>
      <c r="D505" s="343"/>
      <c r="E505" s="332" t="s">
        <v>623</v>
      </c>
      <c r="F505" s="412"/>
      <c r="G505" s="342"/>
      <c r="H505" s="344"/>
      <c r="I505" s="345"/>
      <c r="J505" s="345">
        <f t="shared" si="55"/>
        <v>0</v>
      </c>
      <c r="K505" s="320">
        <v>3437.98</v>
      </c>
      <c r="L505" s="342">
        <v>3437.98</v>
      </c>
      <c r="M505" s="373">
        <v>45404</v>
      </c>
      <c r="N505" s="342">
        <f>+Table7[[#This Row],[стойност с ДДС]]-Table7[[#This Row],[направено плащане]]</f>
        <v>0</v>
      </c>
      <c r="O505" s="346"/>
    </row>
    <row r="506" spans="1:15" ht="20.100000000000001" customHeight="1" x14ac:dyDescent="0.25">
      <c r="A506" s="206" t="s">
        <v>37</v>
      </c>
      <c r="B506" s="381" t="s">
        <v>806</v>
      </c>
      <c r="C506" s="373">
        <v>45401</v>
      </c>
      <c r="D506" s="343"/>
      <c r="E506" s="347" t="s">
        <v>131</v>
      </c>
      <c r="F506" s="412" t="s">
        <v>807</v>
      </c>
      <c r="G506" s="342"/>
      <c r="H506" s="344">
        <v>200</v>
      </c>
      <c r="I506" s="345">
        <v>44.5</v>
      </c>
      <c r="J506" s="345">
        <f t="shared" si="55"/>
        <v>8900</v>
      </c>
      <c r="K506" s="320">
        <f>J506*1.2</f>
        <v>10680</v>
      </c>
      <c r="L506" s="342">
        <v>10680</v>
      </c>
      <c r="M506" s="373">
        <v>45406</v>
      </c>
      <c r="N506" s="342">
        <f>+Table7[[#This Row],[стойност с ДДС]]-Table7[[#This Row],[направено плащане]]</f>
        <v>0</v>
      </c>
      <c r="O506" s="346"/>
    </row>
    <row r="507" spans="1:15" ht="20.100000000000001" customHeight="1" x14ac:dyDescent="0.25">
      <c r="A507" s="206" t="s">
        <v>118</v>
      </c>
      <c r="B507" s="381" t="s">
        <v>808</v>
      </c>
      <c r="C507" s="373">
        <v>45402</v>
      </c>
      <c r="D507" s="343"/>
      <c r="E507" s="347" t="s">
        <v>131</v>
      </c>
      <c r="F507" s="412" t="s">
        <v>809</v>
      </c>
      <c r="G507" s="342"/>
      <c r="H507" s="344">
        <v>125</v>
      </c>
      <c r="I507" s="345">
        <v>45.55</v>
      </c>
      <c r="J507" s="345">
        <f t="shared" si="55"/>
        <v>5693.75</v>
      </c>
      <c r="K507" s="320">
        <f>J507*1.2</f>
        <v>6832.5</v>
      </c>
      <c r="L507" s="342">
        <v>6832.5</v>
      </c>
      <c r="M507" s="373">
        <v>45407</v>
      </c>
      <c r="N507" s="342">
        <f>+Table7[[#This Row],[стойност с ДДС]]-Table7[[#This Row],[направено плащане]]</f>
        <v>0</v>
      </c>
      <c r="O507" s="346"/>
    </row>
    <row r="508" spans="1:15" ht="20.100000000000001" customHeight="1" x14ac:dyDescent="0.25">
      <c r="A508" s="206" t="s">
        <v>34</v>
      </c>
      <c r="B508" s="381" t="s">
        <v>810</v>
      </c>
      <c r="C508" s="373">
        <v>45404</v>
      </c>
      <c r="D508" s="343"/>
      <c r="E508" s="347" t="s">
        <v>131</v>
      </c>
      <c r="F508" s="412" t="s">
        <v>811</v>
      </c>
      <c r="G508" s="342"/>
      <c r="H508" s="344">
        <v>20</v>
      </c>
      <c r="I508" s="345">
        <v>44.5</v>
      </c>
      <c r="J508" s="345">
        <f t="shared" si="55"/>
        <v>890</v>
      </c>
      <c r="K508" s="320">
        <f>J508*1.2</f>
        <v>1068</v>
      </c>
      <c r="L508" s="342">
        <v>1068</v>
      </c>
      <c r="M508" s="373">
        <v>45407</v>
      </c>
      <c r="N508" s="342">
        <f>+Table7[[#This Row],[стойност с ДДС]]-Table7[[#This Row],[направено плащане]]</f>
        <v>0</v>
      </c>
      <c r="O508" s="346"/>
    </row>
    <row r="509" spans="1:15" ht="20.100000000000001" customHeight="1" x14ac:dyDescent="0.3">
      <c r="A509" s="206" t="s">
        <v>420</v>
      </c>
      <c r="B509" s="381" t="s">
        <v>812</v>
      </c>
      <c r="C509" s="373">
        <v>45400</v>
      </c>
      <c r="D509" s="343"/>
      <c r="E509" s="332" t="s">
        <v>422</v>
      </c>
      <c r="F509" s="412"/>
      <c r="G509" s="342"/>
      <c r="H509" s="344"/>
      <c r="I509" s="345"/>
      <c r="J509" s="345">
        <f t="shared" si="55"/>
        <v>0</v>
      </c>
      <c r="K509" s="320">
        <v>552.5</v>
      </c>
      <c r="L509" s="342">
        <v>552.5</v>
      </c>
      <c r="M509" s="373">
        <v>45411</v>
      </c>
      <c r="N509" s="342">
        <f>+Table7[[#This Row],[стойност с ДДС]]-Table7[[#This Row],[направено плащане]]</f>
        <v>0</v>
      </c>
      <c r="O509" s="346"/>
    </row>
    <row r="510" spans="1:15" ht="20.100000000000001" customHeight="1" x14ac:dyDescent="0.25">
      <c r="A510" s="206" t="s">
        <v>157</v>
      </c>
      <c r="B510" s="381" t="s">
        <v>813</v>
      </c>
      <c r="C510" s="373">
        <v>45404</v>
      </c>
      <c r="D510" s="343"/>
      <c r="E510" s="347" t="s">
        <v>131</v>
      </c>
      <c r="F510" s="412"/>
      <c r="G510" s="342"/>
      <c r="H510" s="344">
        <v>200</v>
      </c>
      <c r="I510" s="345">
        <v>4565</v>
      </c>
      <c r="J510" s="345">
        <f t="shared" si="55"/>
        <v>913000</v>
      </c>
      <c r="K510" s="320">
        <f>J510*1.2</f>
        <v>1095600</v>
      </c>
      <c r="L510" s="342">
        <v>10956</v>
      </c>
      <c r="M510" s="373">
        <v>45407</v>
      </c>
      <c r="N510" s="342">
        <f>+Table7[[#This Row],[стойност с ДДС]]-Table7[[#This Row],[направено плащане]]</f>
        <v>1084644</v>
      </c>
      <c r="O510" s="346">
        <v>45408</v>
      </c>
    </row>
    <row r="511" spans="1:15" ht="20.100000000000001" customHeight="1" x14ac:dyDescent="0.25">
      <c r="A511" s="206" t="s">
        <v>814</v>
      </c>
      <c r="B511" s="381" t="s">
        <v>815</v>
      </c>
      <c r="C511" s="373">
        <v>45404</v>
      </c>
      <c r="D511" s="343"/>
      <c r="E511" s="347" t="s">
        <v>131</v>
      </c>
      <c r="F511" s="412" t="s">
        <v>816</v>
      </c>
      <c r="G511" s="342"/>
      <c r="H511" s="344">
        <v>300</v>
      </c>
      <c r="I511" s="345">
        <v>45</v>
      </c>
      <c r="J511" s="345">
        <f t="shared" si="55"/>
        <v>13500</v>
      </c>
      <c r="K511" s="320">
        <f>J511*1.2</f>
        <v>16200</v>
      </c>
      <c r="L511" s="342">
        <v>16200</v>
      </c>
      <c r="M511" s="373">
        <v>45407</v>
      </c>
      <c r="N511" s="342">
        <f>+Table7[[#This Row],[стойност с ДДС]]-Table7[[#This Row],[направено плащане]]</f>
        <v>0</v>
      </c>
      <c r="O511" s="346">
        <v>45408</v>
      </c>
    </row>
    <row r="512" spans="1:15" ht="20.100000000000001" customHeight="1" x14ac:dyDescent="0.25">
      <c r="A512" s="206" t="s">
        <v>153</v>
      </c>
      <c r="B512" s="381" t="s">
        <v>817</v>
      </c>
      <c r="C512" s="373">
        <v>45404</v>
      </c>
      <c r="D512" s="343"/>
      <c r="E512" s="347" t="s">
        <v>131</v>
      </c>
      <c r="F512" s="412" t="s">
        <v>818</v>
      </c>
      <c r="G512" s="342"/>
      <c r="H512" s="344">
        <v>145</v>
      </c>
      <c r="I512" s="345">
        <v>45.65</v>
      </c>
      <c r="J512" s="345">
        <f t="shared" si="55"/>
        <v>6619.25</v>
      </c>
      <c r="K512" s="320">
        <f>J512*1.2</f>
        <v>7943.0999999999995</v>
      </c>
      <c r="L512" s="342">
        <v>7943.1</v>
      </c>
      <c r="M512" s="373">
        <v>45408</v>
      </c>
      <c r="N512" s="342">
        <f>+Table7[[#This Row],[стойност с ДДС]]-Table7[[#This Row],[направено плащане]]</f>
        <v>0</v>
      </c>
      <c r="O512" s="346"/>
    </row>
    <row r="513" spans="1:15" ht="20.100000000000001" customHeight="1" x14ac:dyDescent="0.25">
      <c r="A513" s="206" t="s">
        <v>268</v>
      </c>
      <c r="B513" s="381" t="s">
        <v>819</v>
      </c>
      <c r="C513" s="373">
        <v>45402</v>
      </c>
      <c r="D513" s="343"/>
      <c r="E513" s="347" t="s">
        <v>131</v>
      </c>
      <c r="F513" s="412"/>
      <c r="G513" s="342"/>
      <c r="H513" s="344">
        <v>200</v>
      </c>
      <c r="I513" s="345">
        <v>45.1</v>
      </c>
      <c r="J513" s="345">
        <f t="shared" si="55"/>
        <v>9020</v>
      </c>
      <c r="K513" s="320">
        <f>J513*1.2</f>
        <v>10824</v>
      </c>
      <c r="L513" s="342">
        <v>10824</v>
      </c>
      <c r="M513" s="373">
        <v>45407</v>
      </c>
      <c r="N513" s="342">
        <f>+Table7[[#This Row],[стойност с ДДС]]-Table7[[#This Row],[направено плащане]]</f>
        <v>0</v>
      </c>
      <c r="O513" s="346"/>
    </row>
    <row r="514" spans="1:15" ht="20.100000000000001" customHeight="1" x14ac:dyDescent="0.25">
      <c r="A514" s="206" t="s">
        <v>159</v>
      </c>
      <c r="B514" s="381" t="s">
        <v>820</v>
      </c>
      <c r="C514" s="373">
        <v>45404</v>
      </c>
      <c r="D514" s="343"/>
      <c r="E514" s="347" t="s">
        <v>131</v>
      </c>
      <c r="F514" s="412" t="s">
        <v>821</v>
      </c>
      <c r="G514" s="342"/>
      <c r="H514" s="344">
        <v>75</v>
      </c>
      <c r="I514" s="345">
        <v>23.34047</v>
      </c>
      <c r="J514" s="345">
        <f>I514*H514*1.95583</f>
        <v>3423.7493580074997</v>
      </c>
      <c r="K514" s="320">
        <v>3424.58</v>
      </c>
      <c r="L514" s="342">
        <v>3424.58</v>
      </c>
      <c r="M514" s="373">
        <v>45411</v>
      </c>
      <c r="N514" s="342">
        <f>+Table7[[#This Row],[стойност с ДДС]]-Table7[[#This Row],[направено плащане]]</f>
        <v>0</v>
      </c>
      <c r="O514" s="346"/>
    </row>
    <row r="515" spans="1:15" ht="20.100000000000001" customHeight="1" x14ac:dyDescent="0.25">
      <c r="A515" s="206" t="s">
        <v>101</v>
      </c>
      <c r="B515" s="388" t="s">
        <v>822</v>
      </c>
      <c r="C515" s="373">
        <v>45405</v>
      </c>
      <c r="D515" s="343"/>
      <c r="E515" s="347" t="s">
        <v>131</v>
      </c>
      <c r="F515" s="412"/>
      <c r="G515" s="342"/>
      <c r="H515" s="344">
        <v>250</v>
      </c>
      <c r="I515" s="345">
        <v>46</v>
      </c>
      <c r="J515" s="345">
        <f t="shared" ref="J515:J522" si="56">I515*H515</f>
        <v>11500</v>
      </c>
      <c r="K515" s="320">
        <f>J515*1.2</f>
        <v>13800</v>
      </c>
      <c r="L515" s="342">
        <v>13800</v>
      </c>
      <c r="M515" s="373">
        <v>45408</v>
      </c>
      <c r="N515" s="342">
        <f>+Table7[[#This Row],[стойност с ДДС]]-Table7[[#This Row],[направено плащане]]</f>
        <v>0</v>
      </c>
      <c r="O515" s="346"/>
    </row>
    <row r="516" spans="1:15" ht="20.100000000000001" customHeight="1" x14ac:dyDescent="0.25">
      <c r="A516" s="206" t="s">
        <v>814</v>
      </c>
      <c r="B516" s="381" t="s">
        <v>801</v>
      </c>
      <c r="C516" s="373">
        <v>45399</v>
      </c>
      <c r="D516" s="343"/>
      <c r="E516" s="347" t="s">
        <v>131</v>
      </c>
      <c r="F516" s="412" t="s">
        <v>802</v>
      </c>
      <c r="G516" s="342"/>
      <c r="H516" s="344">
        <v>220</v>
      </c>
      <c r="I516" s="345">
        <v>47</v>
      </c>
      <c r="J516" s="345">
        <f t="shared" si="56"/>
        <v>10340</v>
      </c>
      <c r="K516" s="320">
        <f>J516*1.2</f>
        <v>12408</v>
      </c>
      <c r="L516" s="342">
        <v>12408</v>
      </c>
      <c r="M516" s="373">
        <v>45414</v>
      </c>
      <c r="N516" s="342">
        <f>+Table7[[#This Row],[стойност с ДДС]]-Table7[[#This Row],[направено плащане]]</f>
        <v>0</v>
      </c>
      <c r="O516" s="346">
        <v>45405</v>
      </c>
    </row>
    <row r="517" spans="1:15" ht="20.100000000000001" customHeight="1" x14ac:dyDescent="0.25">
      <c r="A517" s="206" t="s">
        <v>1017</v>
      </c>
      <c r="B517" s="381" t="s">
        <v>823</v>
      </c>
      <c r="C517" s="373" t="s">
        <v>824</v>
      </c>
      <c r="D517" s="343"/>
      <c r="E517" s="347" t="s">
        <v>131</v>
      </c>
      <c r="F517" s="412" t="s">
        <v>825</v>
      </c>
      <c r="G517" s="342"/>
      <c r="H517" s="344">
        <v>200</v>
      </c>
      <c r="I517" s="345">
        <v>45.1</v>
      </c>
      <c r="J517" s="345">
        <f t="shared" si="56"/>
        <v>9020</v>
      </c>
      <c r="K517" s="320">
        <f>J517*1.2</f>
        <v>10824</v>
      </c>
      <c r="L517" s="342"/>
      <c r="M517" s="373"/>
      <c r="N517" s="342">
        <f>+Table7[[#This Row],[стойност с ДДС]]-Table7[[#This Row],[направено плащане]]</f>
        <v>10824</v>
      </c>
      <c r="O517" s="346"/>
    </row>
    <row r="518" spans="1:15" ht="20.100000000000001" customHeight="1" x14ac:dyDescent="0.25">
      <c r="A518" s="206" t="s">
        <v>268</v>
      </c>
      <c r="B518" s="381" t="s">
        <v>826</v>
      </c>
      <c r="C518" s="373">
        <v>45404</v>
      </c>
      <c r="D518" s="343"/>
      <c r="E518" s="347" t="s">
        <v>131</v>
      </c>
      <c r="F518" s="412"/>
      <c r="G518" s="342"/>
      <c r="H518" s="344">
        <v>50</v>
      </c>
      <c r="I518" s="345">
        <v>47</v>
      </c>
      <c r="J518" s="345">
        <f t="shared" si="56"/>
        <v>2350</v>
      </c>
      <c r="K518" s="320">
        <f>J518*1.2</f>
        <v>2820</v>
      </c>
      <c r="L518" s="342"/>
      <c r="M518" s="373"/>
      <c r="N518" s="342">
        <f>+Table7[[#This Row],[стойност с ДДС]]-Table7[[#This Row],[направено плащане]]</f>
        <v>2820</v>
      </c>
      <c r="O518" s="346">
        <v>45411</v>
      </c>
    </row>
    <row r="519" spans="1:15" ht="20.100000000000001" customHeight="1" x14ac:dyDescent="0.25">
      <c r="A519" s="206" t="s">
        <v>101</v>
      </c>
      <c r="B519" s="388" t="s">
        <v>822</v>
      </c>
      <c r="C519" s="373">
        <v>45405</v>
      </c>
      <c r="D519" s="343"/>
      <c r="E519" s="347" t="s">
        <v>131</v>
      </c>
      <c r="F519" s="412"/>
      <c r="G519" s="342"/>
      <c r="H519" s="344"/>
      <c r="I519" s="345"/>
      <c r="J519" s="345">
        <f t="shared" si="56"/>
        <v>0</v>
      </c>
      <c r="K519" s="320">
        <f>J519*1.2</f>
        <v>0</v>
      </c>
      <c r="L519" s="342"/>
      <c r="M519" s="373"/>
      <c r="N519" s="342">
        <f>+Table7[[#This Row],[стойност с ДДС]]-Table7[[#This Row],[направено плащане]]</f>
        <v>0</v>
      </c>
      <c r="O519" s="346">
        <v>45411</v>
      </c>
    </row>
    <row r="520" spans="1:15" ht="20.100000000000001" customHeight="1" x14ac:dyDescent="0.25">
      <c r="A520" s="206" t="s">
        <v>159</v>
      </c>
      <c r="B520" s="381" t="s">
        <v>827</v>
      </c>
      <c r="C520" s="373">
        <v>45405</v>
      </c>
      <c r="D520" s="343"/>
      <c r="E520" s="347" t="s">
        <v>131</v>
      </c>
      <c r="F520" s="412" t="s">
        <v>828</v>
      </c>
      <c r="G520" s="342"/>
      <c r="H520" s="344">
        <v>800</v>
      </c>
      <c r="I520" s="345">
        <f>23.51943*1.95583</f>
        <v>46.000006776900001</v>
      </c>
      <c r="J520" s="345">
        <f t="shared" si="56"/>
        <v>36800.00542152</v>
      </c>
      <c r="K520" s="320">
        <f>+Table7[[#This Row],[стойност]]</f>
        <v>36800.00542152</v>
      </c>
      <c r="L520" s="342">
        <v>36800.00542152</v>
      </c>
      <c r="M520" s="373">
        <v>45408</v>
      </c>
      <c r="N520" s="342">
        <f>+Table7[[#This Row],[стойност с ДДС]]-Table7[[#This Row],[направено плащане]]</f>
        <v>0</v>
      </c>
      <c r="O520" s="346"/>
    </row>
    <row r="521" spans="1:15" ht="20.100000000000001" customHeight="1" x14ac:dyDescent="0.25">
      <c r="A521" s="206" t="s">
        <v>159</v>
      </c>
      <c r="B521" s="381" t="s">
        <v>930</v>
      </c>
      <c r="C521" s="371">
        <v>45406</v>
      </c>
      <c r="D521" s="337"/>
      <c r="E521" s="347" t="s">
        <v>131</v>
      </c>
      <c r="F521" s="409" t="s">
        <v>829</v>
      </c>
      <c r="G521" s="322"/>
      <c r="H521" s="324">
        <v>500</v>
      </c>
      <c r="I521" s="325">
        <f>23.41717*1.95583</f>
        <v>45.800003601099995</v>
      </c>
      <c r="J521" s="325">
        <f t="shared" si="56"/>
        <v>22900.001800549999</v>
      </c>
      <c r="K521" s="320">
        <f>+Table7[[#This Row],[стойност]]</f>
        <v>22900.001800549999</v>
      </c>
      <c r="L521" s="322">
        <v>22900</v>
      </c>
      <c r="M521" s="371">
        <v>45414</v>
      </c>
      <c r="N521" s="322">
        <f>+Table7[[#This Row],[стойност с ДДС]]-Table7[[#This Row],[направено плащане]]</f>
        <v>1.8005499987339135E-3</v>
      </c>
      <c r="O521" s="327">
        <v>45419</v>
      </c>
    </row>
    <row r="522" spans="1:15" ht="20.100000000000001" customHeight="1" x14ac:dyDescent="0.25">
      <c r="A522" s="206" t="s">
        <v>159</v>
      </c>
      <c r="B522" s="381" t="s">
        <v>930</v>
      </c>
      <c r="C522" s="371">
        <v>45406</v>
      </c>
      <c r="D522" s="337"/>
      <c r="E522" s="347" t="s">
        <v>131</v>
      </c>
      <c r="F522" s="409" t="s">
        <v>830</v>
      </c>
      <c r="G522" s="322"/>
      <c r="H522" s="324">
        <v>320</v>
      </c>
      <c r="I522" s="325">
        <f>23.31491*1.95583</f>
        <v>45.600000425300003</v>
      </c>
      <c r="J522" s="325">
        <f t="shared" si="56"/>
        <v>14592.000136096001</v>
      </c>
      <c r="K522" s="320">
        <v>14601.02</v>
      </c>
      <c r="L522" s="322">
        <v>14601.02</v>
      </c>
      <c r="M522" s="371">
        <v>45414</v>
      </c>
      <c r="N522" s="322">
        <f>+Table7[[#This Row],[стойност с ДДС]]-Table7[[#This Row],[направено плащане]]</f>
        <v>0</v>
      </c>
      <c r="O522" s="327">
        <v>45419</v>
      </c>
    </row>
    <row r="523" spans="1:15" ht="20.100000000000001" customHeight="1" x14ac:dyDescent="0.25">
      <c r="A523" s="206"/>
      <c r="B523" s="381">
        <v>3240</v>
      </c>
      <c r="C523" s="373">
        <v>45391</v>
      </c>
      <c r="D523" s="343"/>
      <c r="E523" s="347" t="s">
        <v>131</v>
      </c>
      <c r="F523" s="412" t="s">
        <v>832</v>
      </c>
      <c r="G523" s="342"/>
      <c r="H523" s="344">
        <v>30</v>
      </c>
      <c r="I523" s="345">
        <v>43</v>
      </c>
      <c r="J523" s="345">
        <f>I523*H523</f>
        <v>1290</v>
      </c>
      <c r="K523" s="320">
        <f>J523*1.2</f>
        <v>1548</v>
      </c>
      <c r="L523" s="342">
        <v>1548</v>
      </c>
      <c r="M523" s="373">
        <v>45414</v>
      </c>
      <c r="N523" s="342">
        <f>+Table7[[#This Row],[стойност с ДДС]]-Table7[[#This Row],[направено плащане]]</f>
        <v>0</v>
      </c>
      <c r="O523" s="346"/>
    </row>
    <row r="524" spans="1:15" ht="20.100000000000001" customHeight="1" x14ac:dyDescent="0.25">
      <c r="A524" s="206" t="s">
        <v>159</v>
      </c>
      <c r="B524" s="381" t="s">
        <v>833</v>
      </c>
      <c r="C524" s="373"/>
      <c r="D524" s="343"/>
      <c r="E524" s="347" t="s">
        <v>131</v>
      </c>
      <c r="F524" s="412" t="s">
        <v>831</v>
      </c>
      <c r="G524" s="342"/>
      <c r="H524" s="344">
        <v>80</v>
      </c>
      <c r="I524" s="345">
        <v>45.11</v>
      </c>
      <c r="J524" s="345">
        <f>I524*H524</f>
        <v>3608.8</v>
      </c>
      <c r="K524" s="320">
        <v>3608.86</v>
      </c>
      <c r="L524" s="342">
        <v>3608.86</v>
      </c>
      <c r="M524" s="373">
        <v>45414</v>
      </c>
      <c r="N524" s="342">
        <f>+Table7[[#This Row],[стойност с ДДС]]-Table7[[#This Row],[направено плащане]]</f>
        <v>0</v>
      </c>
      <c r="O524" s="346">
        <v>45420</v>
      </c>
    </row>
    <row r="525" spans="1:15" ht="20.100000000000001" customHeight="1" x14ac:dyDescent="0.25">
      <c r="A525" s="151" t="s">
        <v>814</v>
      </c>
      <c r="B525" s="378" t="s">
        <v>834</v>
      </c>
      <c r="C525" s="371">
        <v>45411</v>
      </c>
      <c r="D525" s="337"/>
      <c r="E525" s="347" t="s">
        <v>131</v>
      </c>
      <c r="F525" s="409" t="s">
        <v>835</v>
      </c>
      <c r="G525" s="322"/>
      <c r="H525" s="324">
        <v>200</v>
      </c>
      <c r="I525" s="325">
        <v>44</v>
      </c>
      <c r="J525" s="325">
        <f t="shared" ref="J525:J526" si="57">I525*H525</f>
        <v>8800</v>
      </c>
      <c r="K525" s="318">
        <f t="shared" ref="K525:K526" si="58">J525*1.2</f>
        <v>10560</v>
      </c>
      <c r="L525" s="322">
        <v>10560</v>
      </c>
      <c r="M525" s="373">
        <v>45414</v>
      </c>
      <c r="N525" s="322">
        <f>+Table7[[#This Row],[стойност с ДДС]]-Table7[[#This Row],[направено плащане]]</f>
        <v>0</v>
      </c>
      <c r="O525" s="326">
        <v>45420</v>
      </c>
    </row>
    <row r="526" spans="1:15" ht="20.100000000000001" customHeight="1" x14ac:dyDescent="0.25">
      <c r="A526" s="206" t="s">
        <v>814</v>
      </c>
      <c r="B526" s="378" t="s">
        <v>836</v>
      </c>
      <c r="C526" s="373">
        <v>45411</v>
      </c>
      <c r="D526" s="343"/>
      <c r="E526" s="347" t="s">
        <v>131</v>
      </c>
      <c r="F526" s="412" t="s">
        <v>837</v>
      </c>
      <c r="G526" s="342"/>
      <c r="H526" s="344">
        <v>50</v>
      </c>
      <c r="I526" s="345">
        <v>41</v>
      </c>
      <c r="J526" s="345">
        <f t="shared" si="57"/>
        <v>2050</v>
      </c>
      <c r="K526" s="320">
        <f t="shared" si="58"/>
        <v>2460</v>
      </c>
      <c r="L526" s="342">
        <v>2460</v>
      </c>
      <c r="M526" s="373">
        <v>45414</v>
      </c>
      <c r="N526" s="342">
        <f>+Table7[[#This Row],[стойност с ДДС]]-Table7[[#This Row],[направено плащане]]</f>
        <v>0</v>
      </c>
      <c r="O526" s="346"/>
    </row>
    <row r="527" spans="1:15" ht="20.100000000000001" customHeight="1" x14ac:dyDescent="0.3">
      <c r="A527" s="206" t="s">
        <v>838</v>
      </c>
      <c r="B527" s="381" t="s">
        <v>839</v>
      </c>
      <c r="C527" s="373">
        <v>45412</v>
      </c>
      <c r="D527" s="343"/>
      <c r="E527" s="332" t="s">
        <v>422</v>
      </c>
      <c r="F527" s="412"/>
      <c r="G527" s="342"/>
      <c r="H527" s="344"/>
      <c r="I527" s="345"/>
      <c r="J527" s="345">
        <f>I527*H527</f>
        <v>0</v>
      </c>
      <c r="K527" s="320">
        <v>299.42</v>
      </c>
      <c r="L527" s="342">
        <v>299.42</v>
      </c>
      <c r="M527" s="373">
        <v>45414</v>
      </c>
      <c r="N527" s="342">
        <f>+Table7[[#This Row],[стойност с ДДС]]-Table7[[#This Row],[направено плащане]]</f>
        <v>0</v>
      </c>
      <c r="O527" s="346"/>
    </row>
    <row r="528" spans="1:15" ht="20.100000000000001" customHeight="1" x14ac:dyDescent="0.25">
      <c r="A528" s="206" t="s">
        <v>118</v>
      </c>
      <c r="B528" s="381" t="s">
        <v>840</v>
      </c>
      <c r="C528" s="373">
        <v>45412</v>
      </c>
      <c r="D528" s="343"/>
      <c r="E528" s="347" t="s">
        <v>131</v>
      </c>
      <c r="F528" s="412" t="s">
        <v>841</v>
      </c>
      <c r="G528" s="342"/>
      <c r="H528" s="344">
        <v>10000</v>
      </c>
      <c r="I528" s="345">
        <v>48</v>
      </c>
      <c r="J528" s="345">
        <f>I528*H528</f>
        <v>480000</v>
      </c>
      <c r="K528" s="320">
        <f>J528*1.2</f>
        <v>576000</v>
      </c>
      <c r="L528" s="342">
        <v>576000</v>
      </c>
      <c r="M528" s="373">
        <v>45414</v>
      </c>
      <c r="N528" s="342">
        <f>+Table7[[#This Row],[стойност с ДДС]]-Table7[[#This Row],[направено плащане]]</f>
        <v>0</v>
      </c>
      <c r="O528" s="346"/>
    </row>
    <row r="529" spans="1:15" ht="20.100000000000001" customHeight="1" x14ac:dyDescent="0.3">
      <c r="A529" s="206" t="s">
        <v>914</v>
      </c>
      <c r="B529" s="381" t="s">
        <v>913</v>
      </c>
      <c r="C529" s="373">
        <v>45414</v>
      </c>
      <c r="D529" s="343"/>
      <c r="E529" s="323" t="s">
        <v>263</v>
      </c>
      <c r="F529" s="412"/>
      <c r="G529" s="342">
        <v>45413</v>
      </c>
      <c r="H529" s="344">
        <v>225</v>
      </c>
      <c r="I529" s="345">
        <v>62.268999999999998</v>
      </c>
      <c r="J529" s="345">
        <f>I529*H529</f>
        <v>14010.525</v>
      </c>
      <c r="K529" s="320">
        <f>J529*1.2</f>
        <v>16812.629999999997</v>
      </c>
      <c r="L529" s="342">
        <v>16812.64</v>
      </c>
      <c r="M529" s="373">
        <v>45419</v>
      </c>
      <c r="N529" s="342">
        <f>+Table7[[#This Row],[стойност с ДДС]]-Table7[[#This Row],[направено плащане]]</f>
        <v>-1.0000000002037268E-2</v>
      </c>
      <c r="O529" s="346">
        <v>45419</v>
      </c>
    </row>
    <row r="530" spans="1:15" ht="20.100000000000001" customHeight="1" x14ac:dyDescent="0.3">
      <c r="A530" s="206" t="s">
        <v>914</v>
      </c>
      <c r="B530" s="378" t="s">
        <v>915</v>
      </c>
      <c r="C530" s="371">
        <v>45414</v>
      </c>
      <c r="D530" s="337"/>
      <c r="E530" s="323" t="s">
        <v>263</v>
      </c>
      <c r="F530" s="409"/>
      <c r="G530" s="342">
        <v>45413</v>
      </c>
      <c r="H530" s="324">
        <v>225</v>
      </c>
      <c r="I530" s="325">
        <v>62.268999999999998</v>
      </c>
      <c r="J530" s="325">
        <f>I530*H530</f>
        <v>14010.525</v>
      </c>
      <c r="K530" s="318">
        <f>J530*1.2</f>
        <v>16812.629999999997</v>
      </c>
      <c r="L530" s="322"/>
      <c r="M530" s="371"/>
      <c r="N530" s="322">
        <f>+Table7[[#This Row],[стойност с ДДС]]-Table7[[#This Row],[направено плащане]]</f>
        <v>16812.629999999997</v>
      </c>
      <c r="O530" s="327">
        <v>45427</v>
      </c>
    </row>
    <row r="531" spans="1:15" ht="20.100000000000001" customHeight="1" x14ac:dyDescent="0.3">
      <c r="A531" s="206" t="s">
        <v>341</v>
      </c>
      <c r="B531" s="381" t="s">
        <v>916</v>
      </c>
      <c r="C531" s="373">
        <v>45412</v>
      </c>
      <c r="D531" s="343"/>
      <c r="E531" s="332" t="s">
        <v>343</v>
      </c>
      <c r="F531" s="412"/>
      <c r="G531" s="342"/>
      <c r="H531" s="344"/>
      <c r="I531" s="345"/>
      <c r="J531" s="345">
        <v>100</v>
      </c>
      <c r="K531" s="320">
        <v>120</v>
      </c>
      <c r="L531" s="342">
        <v>120</v>
      </c>
      <c r="M531" s="373">
        <v>45421</v>
      </c>
      <c r="N531" s="342">
        <f>+Table7[[#This Row],[стойност с ДДС]]-Table7[[#This Row],[направено плащане]]</f>
        <v>0</v>
      </c>
      <c r="O531" s="346">
        <v>45422</v>
      </c>
    </row>
    <row r="532" spans="1:15" ht="20.100000000000001" customHeight="1" x14ac:dyDescent="0.3">
      <c r="A532" s="206" t="s">
        <v>341</v>
      </c>
      <c r="B532" s="378" t="s">
        <v>917</v>
      </c>
      <c r="C532" s="371">
        <v>45412</v>
      </c>
      <c r="D532" s="337"/>
      <c r="E532" s="332" t="s">
        <v>343</v>
      </c>
      <c r="F532" s="409"/>
      <c r="G532" s="322"/>
      <c r="H532" s="324">
        <v>22653</v>
      </c>
      <c r="I532" s="325">
        <v>0.05</v>
      </c>
      <c r="J532" s="325">
        <f>I532*H532</f>
        <v>1132.6500000000001</v>
      </c>
      <c r="K532" s="318">
        <f>J532*1.2</f>
        <v>1359.18</v>
      </c>
      <c r="L532" s="322">
        <v>1359.18</v>
      </c>
      <c r="M532" s="373">
        <v>45421</v>
      </c>
      <c r="N532" s="322">
        <f>+Table7[[#This Row],[стойност с ДДС]]-Table7[[#This Row],[направено плащане]]</f>
        <v>0</v>
      </c>
      <c r="O532" s="327">
        <v>45422</v>
      </c>
    </row>
    <row r="533" spans="1:15" ht="20.100000000000001" customHeight="1" x14ac:dyDescent="0.3">
      <c r="A533" s="151" t="s">
        <v>341</v>
      </c>
      <c r="B533" s="378" t="s">
        <v>917</v>
      </c>
      <c r="C533" s="371">
        <v>45412</v>
      </c>
      <c r="D533" s="337"/>
      <c r="E533" s="332" t="s">
        <v>343</v>
      </c>
      <c r="F533" s="409"/>
      <c r="G533" s="322"/>
      <c r="H533" s="324">
        <v>39390</v>
      </c>
      <c r="I533" s="325">
        <v>0.02</v>
      </c>
      <c r="J533" s="325">
        <f t="shared" ref="J533:J534" si="59">I533*H533</f>
        <v>787.80000000000007</v>
      </c>
      <c r="K533" s="318">
        <f t="shared" ref="K533:K534" si="60">J533*1.2</f>
        <v>945.36</v>
      </c>
      <c r="L533" s="322">
        <v>945.36</v>
      </c>
      <c r="M533" s="373">
        <v>45421</v>
      </c>
      <c r="N533" s="322">
        <f>+Table7[[#This Row],[стойност с ДДС]]-Table7[[#This Row],[направено плащане]]</f>
        <v>0</v>
      </c>
      <c r="O533" s="327">
        <v>45422</v>
      </c>
    </row>
    <row r="534" spans="1:15" ht="20.100000000000001" customHeight="1" x14ac:dyDescent="0.3">
      <c r="A534" s="151" t="s">
        <v>341</v>
      </c>
      <c r="B534" s="381" t="s">
        <v>917</v>
      </c>
      <c r="C534" s="373">
        <v>45412</v>
      </c>
      <c r="D534" s="343"/>
      <c r="E534" s="332" t="s">
        <v>343</v>
      </c>
      <c r="F534" s="412"/>
      <c r="G534" s="342"/>
      <c r="H534" s="344">
        <v>48000</v>
      </c>
      <c r="I534" s="345">
        <v>0.04</v>
      </c>
      <c r="J534" s="345">
        <f t="shared" si="59"/>
        <v>1920</v>
      </c>
      <c r="K534" s="320">
        <f t="shared" si="60"/>
        <v>2304</v>
      </c>
      <c r="L534" s="342">
        <v>2304</v>
      </c>
      <c r="M534" s="373">
        <v>45421</v>
      </c>
      <c r="N534" s="342">
        <f>+Table7[[#This Row],[стойност с ДДС]]-Table7[[#This Row],[направено плащане]]</f>
        <v>0</v>
      </c>
      <c r="O534" s="327">
        <v>45422</v>
      </c>
    </row>
    <row r="535" spans="1:15" ht="20.100000000000001" customHeight="1" x14ac:dyDescent="0.3">
      <c r="A535" s="206" t="s">
        <v>341</v>
      </c>
      <c r="B535" s="378" t="s">
        <v>918</v>
      </c>
      <c r="C535" s="371">
        <v>45414</v>
      </c>
      <c r="D535" s="337"/>
      <c r="E535" s="332" t="s">
        <v>343</v>
      </c>
      <c r="F535" s="409" t="s">
        <v>798</v>
      </c>
      <c r="G535" s="322"/>
      <c r="H535" s="324">
        <v>1</v>
      </c>
      <c r="I535" s="325">
        <v>1700</v>
      </c>
      <c r="J535" s="325">
        <f t="shared" ref="J535:J540" si="61">I535*H535</f>
        <v>1700</v>
      </c>
      <c r="K535" s="318">
        <f t="shared" ref="K535:K540" si="62">J535*1.2</f>
        <v>2040</v>
      </c>
      <c r="L535" s="322">
        <v>2040</v>
      </c>
      <c r="M535" s="373">
        <v>45421</v>
      </c>
      <c r="N535" s="322">
        <f>+Table7[[#This Row],[стойност с ДДС]]-Table7[[#This Row],[направено плащане]]</f>
        <v>0</v>
      </c>
      <c r="O535" s="327">
        <v>45422</v>
      </c>
    </row>
    <row r="536" spans="1:15" ht="20.100000000000001" customHeight="1" x14ac:dyDescent="0.3">
      <c r="A536" s="206" t="s">
        <v>341</v>
      </c>
      <c r="B536" s="378" t="s">
        <v>918</v>
      </c>
      <c r="C536" s="371">
        <v>45414</v>
      </c>
      <c r="D536" s="337"/>
      <c r="E536" s="332" t="s">
        <v>343</v>
      </c>
      <c r="F536" s="409"/>
      <c r="G536" s="322"/>
      <c r="H536" s="324">
        <v>2</v>
      </c>
      <c r="I536" s="325">
        <v>600</v>
      </c>
      <c r="J536" s="325">
        <f t="shared" si="61"/>
        <v>1200</v>
      </c>
      <c r="K536" s="318">
        <f t="shared" si="62"/>
        <v>1440</v>
      </c>
      <c r="L536" s="322">
        <v>1440</v>
      </c>
      <c r="M536" s="373">
        <v>45421</v>
      </c>
      <c r="N536" s="322">
        <f>+Table7[[#This Row],[стойност с ДДС]]-Table7[[#This Row],[направено плащане]]</f>
        <v>0</v>
      </c>
      <c r="O536" s="327">
        <v>45422</v>
      </c>
    </row>
    <row r="537" spans="1:15" ht="20.100000000000001" customHeight="1" x14ac:dyDescent="0.3">
      <c r="A537" s="206" t="s">
        <v>341</v>
      </c>
      <c r="B537" s="378" t="s">
        <v>919</v>
      </c>
      <c r="C537" s="371">
        <v>45414</v>
      </c>
      <c r="D537" s="337"/>
      <c r="E537" s="332" t="s">
        <v>343</v>
      </c>
      <c r="F537" s="409" t="s">
        <v>920</v>
      </c>
      <c r="G537" s="322"/>
      <c r="H537" s="324">
        <v>1</v>
      </c>
      <c r="I537" s="325">
        <v>200</v>
      </c>
      <c r="J537" s="325">
        <f t="shared" si="61"/>
        <v>200</v>
      </c>
      <c r="K537" s="318">
        <f t="shared" si="62"/>
        <v>240</v>
      </c>
      <c r="L537" s="322">
        <v>240</v>
      </c>
      <c r="M537" s="373">
        <v>45421</v>
      </c>
      <c r="N537" s="322">
        <f>+Table7[[#This Row],[стойност с ДДС]]-Table7[[#This Row],[направено плащане]]</f>
        <v>0</v>
      </c>
      <c r="O537" s="327">
        <v>45425</v>
      </c>
    </row>
    <row r="538" spans="1:15" ht="20.100000000000001" customHeight="1" x14ac:dyDescent="0.25">
      <c r="A538" s="206" t="s">
        <v>118</v>
      </c>
      <c r="B538" s="381" t="s">
        <v>840</v>
      </c>
      <c r="C538" s="373">
        <v>45412</v>
      </c>
      <c r="D538" s="343"/>
      <c r="E538" s="347" t="s">
        <v>131</v>
      </c>
      <c r="F538" s="412" t="s">
        <v>841</v>
      </c>
      <c r="G538" s="342"/>
      <c r="H538" s="344">
        <v>10000</v>
      </c>
      <c r="I538" s="345">
        <v>48</v>
      </c>
      <c r="J538" s="345">
        <f t="shared" si="61"/>
        <v>480000</v>
      </c>
      <c r="K538" s="320">
        <f t="shared" si="62"/>
        <v>576000</v>
      </c>
      <c r="L538" s="342"/>
      <c r="M538" s="373"/>
      <c r="N538" s="342">
        <f>+Table7[[#This Row],[стойност с ДДС]]-Table7[[#This Row],[направено плащане]]</f>
        <v>576000</v>
      </c>
      <c r="O538" s="346">
        <v>45414</v>
      </c>
    </row>
    <row r="539" spans="1:15" ht="20.100000000000001" customHeight="1" x14ac:dyDescent="0.25">
      <c r="A539" s="206" t="s">
        <v>253</v>
      </c>
      <c r="B539" s="381" t="s">
        <v>921</v>
      </c>
      <c r="C539" s="373">
        <v>45414</v>
      </c>
      <c r="D539" s="343"/>
      <c r="E539" s="347" t="s">
        <v>131</v>
      </c>
      <c r="F539" s="412" t="s">
        <v>922</v>
      </c>
      <c r="G539" s="342"/>
      <c r="H539" s="344">
        <v>15</v>
      </c>
      <c r="I539" s="345">
        <v>47</v>
      </c>
      <c r="J539" s="345">
        <f t="shared" si="61"/>
        <v>705</v>
      </c>
      <c r="K539" s="320">
        <f t="shared" si="62"/>
        <v>846</v>
      </c>
      <c r="L539" s="342">
        <v>846</v>
      </c>
      <c r="M539" s="373">
        <v>45419</v>
      </c>
      <c r="N539" s="342">
        <f>+Table7[[#This Row],[стойност с ДДС]]-Table7[[#This Row],[направено плащане]]</f>
        <v>0</v>
      </c>
      <c r="O539" s="346">
        <v>45414</v>
      </c>
    </row>
    <row r="540" spans="1:15" ht="20.100000000000001" customHeight="1" x14ac:dyDescent="0.25">
      <c r="A540" s="206" t="s">
        <v>99</v>
      </c>
      <c r="B540" s="381" t="s">
        <v>923</v>
      </c>
      <c r="C540" s="373">
        <v>45414</v>
      </c>
      <c r="D540" s="343"/>
      <c r="E540" s="347" t="s">
        <v>131</v>
      </c>
      <c r="F540" s="412" t="s">
        <v>924</v>
      </c>
      <c r="G540" s="342"/>
      <c r="H540" s="344">
        <v>200</v>
      </c>
      <c r="I540" s="345">
        <v>47</v>
      </c>
      <c r="J540" s="345">
        <f t="shared" si="61"/>
        <v>9400</v>
      </c>
      <c r="K540" s="320">
        <f t="shared" si="62"/>
        <v>11280</v>
      </c>
      <c r="L540" s="342">
        <v>11280</v>
      </c>
      <c r="M540" s="373">
        <v>45419</v>
      </c>
      <c r="N540" s="342">
        <f>+Table7[[#This Row],[стойност с ДДС]]-Table7[[#This Row],[направено плащане]]</f>
        <v>0</v>
      </c>
      <c r="O540" s="346"/>
    </row>
    <row r="541" spans="1:15" ht="20.100000000000001" customHeight="1" x14ac:dyDescent="0.25">
      <c r="A541" s="206" t="s">
        <v>99</v>
      </c>
      <c r="B541" s="381" t="s">
        <v>923</v>
      </c>
      <c r="C541" s="373">
        <v>45414</v>
      </c>
      <c r="D541" s="337"/>
      <c r="E541" s="347" t="s">
        <v>131</v>
      </c>
      <c r="F541" s="409" t="s">
        <v>925</v>
      </c>
      <c r="G541" s="322"/>
      <c r="H541" s="324">
        <v>300</v>
      </c>
      <c r="I541" s="325">
        <v>47</v>
      </c>
      <c r="J541" s="325">
        <f t="shared" ref="J541:J542" si="63">I541*H541</f>
        <v>14100</v>
      </c>
      <c r="K541" s="318">
        <f t="shared" ref="K541:K542" si="64">J541*1.2</f>
        <v>16920</v>
      </c>
      <c r="L541" s="322">
        <v>16920</v>
      </c>
      <c r="M541" s="373">
        <v>45419</v>
      </c>
      <c r="N541" s="322">
        <f>+Table7[[#This Row],[стойност с ДДС]]-Table7[[#This Row],[направено плащане]]</f>
        <v>0</v>
      </c>
      <c r="O541" s="327"/>
    </row>
    <row r="542" spans="1:15" ht="20.100000000000001" customHeight="1" x14ac:dyDescent="0.25">
      <c r="A542" s="206" t="s">
        <v>99</v>
      </c>
      <c r="B542" s="381" t="s">
        <v>923</v>
      </c>
      <c r="C542" s="373">
        <v>45414</v>
      </c>
      <c r="D542" s="337"/>
      <c r="E542" s="347" t="s">
        <v>131</v>
      </c>
      <c r="F542" s="409" t="s">
        <v>926</v>
      </c>
      <c r="G542" s="322"/>
      <c r="H542" s="324">
        <v>150</v>
      </c>
      <c r="I542" s="325">
        <v>47</v>
      </c>
      <c r="J542" s="325">
        <f t="shared" si="63"/>
        <v>7050</v>
      </c>
      <c r="K542" s="318">
        <f t="shared" si="64"/>
        <v>8460</v>
      </c>
      <c r="L542" s="322">
        <v>8460</v>
      </c>
      <c r="M542" s="373">
        <v>45419</v>
      </c>
      <c r="N542" s="322">
        <f>+Table7[[#This Row],[стойност с ДДС]]-Table7[[#This Row],[направено плащане]]</f>
        <v>0</v>
      </c>
      <c r="O542" s="327"/>
    </row>
    <row r="543" spans="1:15" ht="20.100000000000001" customHeight="1" x14ac:dyDescent="0.25">
      <c r="A543" s="206" t="s">
        <v>118</v>
      </c>
      <c r="B543" s="381" t="s">
        <v>927</v>
      </c>
      <c r="C543" s="373">
        <v>45412</v>
      </c>
      <c r="D543" s="343"/>
      <c r="E543" s="347" t="s">
        <v>131</v>
      </c>
      <c r="F543" s="412" t="s">
        <v>928</v>
      </c>
      <c r="G543" s="342"/>
      <c r="H543" s="344">
        <v>30</v>
      </c>
      <c r="I543" s="345">
        <v>43</v>
      </c>
      <c r="J543" s="345">
        <f>I543*H543</f>
        <v>1290</v>
      </c>
      <c r="K543" s="320">
        <f>J543*1.2</f>
        <v>1548</v>
      </c>
      <c r="L543" s="342">
        <v>1548</v>
      </c>
      <c r="M543" s="373">
        <v>45421</v>
      </c>
      <c r="N543" s="342">
        <f>+Table7[[#This Row],[стойност с ДДС]]-Table7[[#This Row],[направено плащане]]</f>
        <v>0</v>
      </c>
      <c r="O543" s="346">
        <v>45422</v>
      </c>
    </row>
    <row r="544" spans="1:15" ht="20.100000000000001" customHeight="1" x14ac:dyDescent="0.25">
      <c r="A544" s="151" t="s">
        <v>159</v>
      </c>
      <c r="B544" s="381" t="s">
        <v>929</v>
      </c>
      <c r="C544" s="371">
        <v>45411</v>
      </c>
      <c r="D544" s="337"/>
      <c r="E544" s="347" t="s">
        <v>131</v>
      </c>
      <c r="F544" s="409" t="s">
        <v>932</v>
      </c>
      <c r="G544" s="322"/>
      <c r="H544" s="324">
        <v>200</v>
      </c>
      <c r="I544" s="325">
        <v>21.98555</v>
      </c>
      <c r="J544" s="325">
        <f t="shared" ref="J544:J546" si="65">I544*H544</f>
        <v>4397.1099999999997</v>
      </c>
      <c r="K544" s="318">
        <v>8602.07</v>
      </c>
      <c r="L544" s="322">
        <v>8602.07</v>
      </c>
      <c r="M544" s="371">
        <v>45421</v>
      </c>
      <c r="N544" s="322">
        <f>+Table7[[#This Row],[стойност с ДДС]]-Table7[[#This Row],[направено плащане]]</f>
        <v>0</v>
      </c>
      <c r="O544" s="327"/>
    </row>
    <row r="545" spans="1:15" ht="20.100000000000001" customHeight="1" x14ac:dyDescent="0.25">
      <c r="A545" s="151" t="s">
        <v>159</v>
      </c>
      <c r="B545" s="381" t="s">
        <v>931</v>
      </c>
      <c r="C545" s="371">
        <v>45410</v>
      </c>
      <c r="D545" s="337"/>
      <c r="E545" s="347" t="s">
        <v>131</v>
      </c>
      <c r="F545" s="409" t="s">
        <v>935</v>
      </c>
      <c r="G545" s="322"/>
      <c r="H545" s="324">
        <v>120</v>
      </c>
      <c r="I545" s="325">
        <f>22.70136*1.9563</f>
        <v>44.410670568</v>
      </c>
      <c r="J545" s="325">
        <f t="shared" si="65"/>
        <v>5329.2804681600001</v>
      </c>
      <c r="K545" s="325">
        <v>5329.2804681600001</v>
      </c>
      <c r="L545" s="322">
        <v>5329.2804681600001</v>
      </c>
      <c r="M545" s="371">
        <v>45414</v>
      </c>
      <c r="N545" s="322">
        <f>+Table7[[#This Row],[стойност с ДДС]]-Table7[[#This Row],[направено плащане]]</f>
        <v>0</v>
      </c>
      <c r="O545" s="327"/>
    </row>
    <row r="546" spans="1:15" ht="20.100000000000001" customHeight="1" x14ac:dyDescent="0.25">
      <c r="A546" s="206" t="s">
        <v>159</v>
      </c>
      <c r="B546" s="381" t="s">
        <v>931</v>
      </c>
      <c r="C546" s="373">
        <v>45410</v>
      </c>
      <c r="D546" s="343"/>
      <c r="E546" s="347" t="s">
        <v>131</v>
      </c>
      <c r="F546" s="412" t="s">
        <v>936</v>
      </c>
      <c r="G546" s="342"/>
      <c r="H546" s="344">
        <v>200</v>
      </c>
      <c r="I546" s="345">
        <f>22.06224*1.9563</f>
        <v>43.160360111999999</v>
      </c>
      <c r="J546" s="345">
        <f t="shared" si="65"/>
        <v>8632.0720223999997</v>
      </c>
      <c r="K546" s="345">
        <v>8632.0720223999997</v>
      </c>
      <c r="L546" s="342">
        <v>8632.0720223999997</v>
      </c>
      <c r="M546" s="371">
        <v>45414</v>
      </c>
      <c r="N546" s="342">
        <f>+Table7[[#This Row],[стойност с ДДС]]-Table7[[#This Row],[направено плащане]]</f>
        <v>0</v>
      </c>
      <c r="O546" s="346"/>
    </row>
    <row r="547" spans="1:15" ht="20.100000000000001" customHeight="1" x14ac:dyDescent="0.25">
      <c r="A547" s="206" t="s">
        <v>37</v>
      </c>
      <c r="B547" s="381" t="s">
        <v>933</v>
      </c>
      <c r="C547" s="373">
        <v>45411</v>
      </c>
      <c r="D547" s="343"/>
      <c r="E547" s="347" t="s">
        <v>131</v>
      </c>
      <c r="F547" s="412" t="s">
        <v>934</v>
      </c>
      <c r="G547" s="342"/>
      <c r="H547" s="344">
        <v>50</v>
      </c>
      <c r="I547" s="345">
        <v>41</v>
      </c>
      <c r="J547" s="345">
        <f t="shared" ref="J547:J555" si="66">I547*H547</f>
        <v>2050</v>
      </c>
      <c r="K547" s="320">
        <f t="shared" ref="K547:K555" si="67">J547*1.2</f>
        <v>2460</v>
      </c>
      <c r="L547" s="342">
        <v>2460</v>
      </c>
      <c r="M547" s="373">
        <v>45414</v>
      </c>
      <c r="N547" s="342">
        <f>+Table7[[#This Row],[стойност с ДДС]]-Table7[[#This Row],[направено плащане]]</f>
        <v>0</v>
      </c>
      <c r="O547" s="346">
        <v>45420</v>
      </c>
    </row>
    <row r="548" spans="1:15" ht="20.100000000000001" customHeight="1" x14ac:dyDescent="0.25">
      <c r="A548" s="206" t="s">
        <v>37</v>
      </c>
      <c r="B548" s="381" t="s">
        <v>937</v>
      </c>
      <c r="C548" s="373">
        <v>45411</v>
      </c>
      <c r="D548" s="343"/>
      <c r="E548" s="347" t="s">
        <v>131</v>
      </c>
      <c r="F548" s="412" t="s">
        <v>835</v>
      </c>
      <c r="G548" s="342"/>
      <c r="H548" s="344">
        <v>200</v>
      </c>
      <c r="I548" s="345">
        <v>44</v>
      </c>
      <c r="J548" s="345">
        <f t="shared" si="66"/>
        <v>8800</v>
      </c>
      <c r="K548" s="320">
        <f t="shared" si="67"/>
        <v>10560</v>
      </c>
      <c r="L548" s="342">
        <v>10560</v>
      </c>
      <c r="M548" s="373">
        <v>45414</v>
      </c>
      <c r="N548" s="342">
        <f>+Table7[[#This Row],[стойност с ДДС]]-Table7[[#This Row],[направено плащане]]</f>
        <v>0</v>
      </c>
      <c r="O548" s="346">
        <v>45420</v>
      </c>
    </row>
    <row r="549" spans="1:15" ht="20.100000000000001" customHeight="1" x14ac:dyDescent="0.25">
      <c r="A549" s="206" t="s">
        <v>118</v>
      </c>
      <c r="B549" s="381" t="s">
        <v>938</v>
      </c>
      <c r="C549" s="373">
        <v>45411</v>
      </c>
      <c r="D549" s="343"/>
      <c r="E549" s="347" t="s">
        <v>131</v>
      </c>
      <c r="F549" s="412" t="s">
        <v>832</v>
      </c>
      <c r="G549" s="342"/>
      <c r="H549" s="344">
        <v>30</v>
      </c>
      <c r="I549" s="345">
        <v>43</v>
      </c>
      <c r="J549" s="345">
        <f t="shared" si="66"/>
        <v>1290</v>
      </c>
      <c r="K549" s="320">
        <f t="shared" si="67"/>
        <v>1548</v>
      </c>
      <c r="L549" s="342">
        <v>1548</v>
      </c>
      <c r="M549" s="373">
        <v>45414</v>
      </c>
      <c r="N549" s="342">
        <f>+Table7[[#This Row],[стойност с ДДС]]-Table7[[#This Row],[направено плащане]]</f>
        <v>0</v>
      </c>
      <c r="O549" s="346"/>
    </row>
    <row r="550" spans="1:15" ht="20.100000000000001" customHeight="1" x14ac:dyDescent="0.25">
      <c r="A550" s="206" t="s">
        <v>157</v>
      </c>
      <c r="B550" s="381" t="s">
        <v>803</v>
      </c>
      <c r="C550" s="373">
        <v>45399</v>
      </c>
      <c r="D550" s="343"/>
      <c r="E550" s="347" t="s">
        <v>131</v>
      </c>
      <c r="F550" s="412"/>
      <c r="G550" s="342"/>
      <c r="H550" s="344">
        <v>30</v>
      </c>
      <c r="I550" s="345">
        <v>48.1</v>
      </c>
      <c r="J550" s="345">
        <f t="shared" si="66"/>
        <v>1443</v>
      </c>
      <c r="K550" s="320">
        <f t="shared" si="67"/>
        <v>1731.6</v>
      </c>
      <c r="L550" s="342">
        <v>1731.6</v>
      </c>
      <c r="M550" s="373">
        <v>45414</v>
      </c>
      <c r="N550" s="342">
        <f>+Table7[[#This Row],[стойност с ДДС]]-Table7[[#This Row],[направено плащане]]</f>
        <v>0</v>
      </c>
      <c r="O550" s="346">
        <v>45394</v>
      </c>
    </row>
    <row r="551" spans="1:15" ht="20.100000000000001" customHeight="1" x14ac:dyDescent="0.3">
      <c r="A551" s="206" t="s">
        <v>99</v>
      </c>
      <c r="B551" s="381" t="s">
        <v>939</v>
      </c>
      <c r="C551" s="373">
        <v>45414</v>
      </c>
      <c r="D551" s="343"/>
      <c r="E551" s="323" t="s">
        <v>54</v>
      </c>
      <c r="F551" s="412"/>
      <c r="G551" s="342"/>
      <c r="H551" s="344">
        <v>1</v>
      </c>
      <c r="I551" s="345">
        <v>1364.51</v>
      </c>
      <c r="J551" s="345">
        <f t="shared" si="66"/>
        <v>1364.51</v>
      </c>
      <c r="K551" s="320">
        <f t="shared" si="67"/>
        <v>1637.412</v>
      </c>
      <c r="L551" s="342">
        <v>1637.41</v>
      </c>
      <c r="M551" s="371">
        <v>45421</v>
      </c>
      <c r="N551" s="342">
        <f>+Table7[[#This Row],[стойност с ДДС]]-Table7[[#This Row],[направено плащане]]</f>
        <v>1.9999999999527063E-3</v>
      </c>
      <c r="O551" s="346">
        <v>45422</v>
      </c>
    </row>
    <row r="552" spans="1:15" ht="20.100000000000001" customHeight="1" x14ac:dyDescent="0.3">
      <c r="A552" s="206" t="s">
        <v>99</v>
      </c>
      <c r="B552" s="378" t="s">
        <v>940</v>
      </c>
      <c r="C552" s="371">
        <v>45414</v>
      </c>
      <c r="D552" s="337"/>
      <c r="E552" s="323" t="s">
        <v>54</v>
      </c>
      <c r="F552" s="409"/>
      <c r="G552" s="322"/>
      <c r="H552" s="324">
        <v>147998.32399999999</v>
      </c>
      <c r="I552" s="325">
        <v>0.11</v>
      </c>
      <c r="J552" s="325">
        <f t="shared" si="66"/>
        <v>16279.815639999999</v>
      </c>
      <c r="K552" s="318">
        <f t="shared" si="67"/>
        <v>19535.778767999996</v>
      </c>
      <c r="L552" s="322">
        <v>19535.78</v>
      </c>
      <c r="M552" s="371">
        <v>45421</v>
      </c>
      <c r="N552" s="322">
        <f>+Table7[[#This Row],[стойност с ДДС]]-Table7[[#This Row],[направено плащане]]</f>
        <v>-1.2320000023464672E-3</v>
      </c>
      <c r="O552" s="346">
        <v>45422</v>
      </c>
    </row>
    <row r="553" spans="1:15" ht="20.100000000000001" customHeight="1" x14ac:dyDescent="0.3">
      <c r="A553" s="206" t="s">
        <v>99</v>
      </c>
      <c r="B553" s="378" t="s">
        <v>941</v>
      </c>
      <c r="C553" s="371">
        <v>45414</v>
      </c>
      <c r="D553" s="337"/>
      <c r="E553" s="323" t="s">
        <v>54</v>
      </c>
      <c r="F553" s="409"/>
      <c r="G553" s="322"/>
      <c r="H553" s="324">
        <v>94</v>
      </c>
      <c r="I553" s="325">
        <v>1441.991</v>
      </c>
      <c r="J553" s="325">
        <f t="shared" si="66"/>
        <v>135547.15400000001</v>
      </c>
      <c r="K553" s="318">
        <f t="shared" si="67"/>
        <v>162656.58480000001</v>
      </c>
      <c r="L553" s="322">
        <v>162656.57999999999</v>
      </c>
      <c r="M553" s="371">
        <v>45421</v>
      </c>
      <c r="N553" s="322">
        <f>+Table7[[#This Row],[стойност с ДДС]]-Table7[[#This Row],[направено плащане]]</f>
        <v>4.8000000242609531E-3</v>
      </c>
      <c r="O553" s="327"/>
    </row>
    <row r="554" spans="1:15" ht="20.100000000000001" customHeight="1" x14ac:dyDescent="0.3">
      <c r="A554" s="206" t="s">
        <v>99</v>
      </c>
      <c r="B554" s="381" t="s">
        <v>941</v>
      </c>
      <c r="C554" s="373">
        <v>45414</v>
      </c>
      <c r="D554" s="343"/>
      <c r="E554" s="323" t="s">
        <v>54</v>
      </c>
      <c r="F554" s="412"/>
      <c r="G554" s="342"/>
      <c r="H554" s="344">
        <v>1620</v>
      </c>
      <c r="I554" s="345">
        <v>19.86</v>
      </c>
      <c r="J554" s="345">
        <f t="shared" si="66"/>
        <v>32173.200000000001</v>
      </c>
      <c r="K554" s="320">
        <f>J554*1.2</f>
        <v>38607.839999999997</v>
      </c>
      <c r="L554" s="342">
        <v>38607.800000000003</v>
      </c>
      <c r="M554" s="371">
        <v>45421</v>
      </c>
      <c r="N554" s="342">
        <f>+Table7[[#This Row],[стойност с ДДС]]-Table7[[#This Row],[направено плащане]]</f>
        <v>3.9999999993597157E-2</v>
      </c>
      <c r="O554" s="346"/>
    </row>
    <row r="555" spans="1:15" ht="20.100000000000001" customHeight="1" x14ac:dyDescent="0.3">
      <c r="A555" s="206" t="s">
        <v>413</v>
      </c>
      <c r="B555" s="381" t="s">
        <v>942</v>
      </c>
      <c r="C555" s="373">
        <v>45412</v>
      </c>
      <c r="D555" s="343"/>
      <c r="E555" s="332" t="s">
        <v>415</v>
      </c>
      <c r="F555" s="412"/>
      <c r="G555" s="342"/>
      <c r="H555" s="344"/>
      <c r="I555" s="345">
        <f>1533.88*1.95583</f>
        <v>3000.0085204000002</v>
      </c>
      <c r="J555" s="345">
        <f t="shared" si="66"/>
        <v>0</v>
      </c>
      <c r="K555" s="320">
        <f t="shared" si="67"/>
        <v>0</v>
      </c>
      <c r="L555" s="342"/>
      <c r="M555" s="373"/>
      <c r="N555" s="342">
        <f>+Table7[[#This Row],[стойност с ДДС]]-Table7[[#This Row],[направено плащане]]</f>
        <v>0</v>
      </c>
      <c r="O555" s="346"/>
    </row>
    <row r="556" spans="1:15" ht="20.100000000000001" customHeight="1" x14ac:dyDescent="0.25">
      <c r="A556" s="151" t="s">
        <v>159</v>
      </c>
      <c r="B556" s="378" t="s">
        <v>943</v>
      </c>
      <c r="C556" s="371">
        <v>45413</v>
      </c>
      <c r="D556" s="337"/>
      <c r="E556" s="347" t="s">
        <v>131</v>
      </c>
      <c r="F556" s="409" t="s">
        <v>946</v>
      </c>
      <c r="G556" s="322"/>
      <c r="H556" s="324">
        <v>1000</v>
      </c>
      <c r="I556" s="325">
        <f>23.77507*1.95583</f>
        <v>46.499995158099999</v>
      </c>
      <c r="J556" s="325">
        <f t="shared" ref="J556:J563" si="68">I556*H556</f>
        <v>46499.995158099999</v>
      </c>
      <c r="K556" s="318">
        <v>46500</v>
      </c>
      <c r="L556" s="322">
        <v>46500</v>
      </c>
      <c r="M556" s="371">
        <v>45421</v>
      </c>
      <c r="N556" s="322">
        <f>+Table7[[#This Row],[стойност с ДДС]]-Table7[[#This Row],[направено плащане]]</f>
        <v>0</v>
      </c>
      <c r="O556" s="327"/>
    </row>
    <row r="557" spans="1:15" ht="20.100000000000001" customHeight="1" x14ac:dyDescent="0.25">
      <c r="A557" s="151" t="s">
        <v>159</v>
      </c>
      <c r="B557" s="378" t="s">
        <v>943</v>
      </c>
      <c r="C557" s="371">
        <v>45413</v>
      </c>
      <c r="D557" s="337"/>
      <c r="E557" s="347" t="s">
        <v>131</v>
      </c>
      <c r="F557" s="409" t="s">
        <v>947</v>
      </c>
      <c r="G557" s="322"/>
      <c r="H557" s="324">
        <v>1000</v>
      </c>
      <c r="I557" s="325">
        <f>24.28636*1.95583</f>
        <v>47.499991478799998</v>
      </c>
      <c r="J557" s="325">
        <f t="shared" si="68"/>
        <v>47499.991478799995</v>
      </c>
      <c r="K557" s="318">
        <v>47499.99</v>
      </c>
      <c r="L557" s="322">
        <v>47499.99</v>
      </c>
      <c r="M557" s="371">
        <v>45421</v>
      </c>
      <c r="N557" s="322">
        <f>+Table7[[#This Row],[стойност с ДДС]]-Table7[[#This Row],[направено плащане]]</f>
        <v>0</v>
      </c>
      <c r="O557" s="327"/>
    </row>
    <row r="558" spans="1:15" ht="20.100000000000001" customHeight="1" x14ac:dyDescent="0.25">
      <c r="A558" s="151" t="s">
        <v>159</v>
      </c>
      <c r="B558" s="378" t="s">
        <v>943</v>
      </c>
      <c r="C558" s="371">
        <v>45413</v>
      </c>
      <c r="D558" s="337"/>
      <c r="E558" s="347" t="s">
        <v>131</v>
      </c>
      <c r="F558" s="409" t="s">
        <v>948</v>
      </c>
      <c r="G558" s="322"/>
      <c r="H558" s="324">
        <v>383</v>
      </c>
      <c r="I558" s="325">
        <f>24.54201*1.95583</f>
        <v>47.9999994183</v>
      </c>
      <c r="J558" s="325">
        <f t="shared" si="68"/>
        <v>18383.999777208901</v>
      </c>
      <c r="K558" s="318">
        <v>18411</v>
      </c>
      <c r="L558" s="322">
        <v>18411</v>
      </c>
      <c r="M558" s="371">
        <v>45421</v>
      </c>
      <c r="N558" s="322">
        <f>+Table7[[#This Row],[стойност с ДДС]]-Table7[[#This Row],[направено плащане]]</f>
        <v>0</v>
      </c>
      <c r="O558" s="327"/>
    </row>
    <row r="559" spans="1:15" ht="20.100000000000001" customHeight="1" x14ac:dyDescent="0.25">
      <c r="A559" s="151" t="s">
        <v>159</v>
      </c>
      <c r="B559" s="378" t="s">
        <v>944</v>
      </c>
      <c r="C559" s="371">
        <v>45414</v>
      </c>
      <c r="D559" s="337"/>
      <c r="E559" s="347" t="s">
        <v>131</v>
      </c>
      <c r="F559" s="409" t="s">
        <v>949</v>
      </c>
      <c r="G559" s="322"/>
      <c r="H559" s="324">
        <v>3584</v>
      </c>
      <c r="I559" s="325">
        <f>25.15556*1.9563</f>
        <v>49.211822028</v>
      </c>
      <c r="J559" s="325">
        <f t="shared" si="68"/>
        <v>176375.17014835199</v>
      </c>
      <c r="K559" s="322">
        <v>176382.48</v>
      </c>
      <c r="L559" s="322">
        <v>176382.48</v>
      </c>
      <c r="M559" s="371">
        <v>45425</v>
      </c>
      <c r="N559" s="322">
        <f>+Table7[[#This Row],[стойност с ДДС]]-Table7[[#This Row],[направено плащане]]</f>
        <v>0</v>
      </c>
      <c r="O559" s="327"/>
    </row>
    <row r="560" spans="1:15" ht="20.100000000000001" customHeight="1" x14ac:dyDescent="0.25">
      <c r="A560" s="151" t="s">
        <v>159</v>
      </c>
      <c r="B560" s="378" t="s">
        <v>944</v>
      </c>
      <c r="C560" s="371">
        <v>45414</v>
      </c>
      <c r="D560" s="337"/>
      <c r="E560" s="347" t="s">
        <v>131</v>
      </c>
      <c r="F560" s="409" t="s">
        <v>950</v>
      </c>
      <c r="G560" s="322"/>
      <c r="H560" s="324">
        <v>800</v>
      </c>
      <c r="I560" s="325">
        <f>24.77209*1.9563</f>
        <v>48.461639666999993</v>
      </c>
      <c r="J560" s="325">
        <f t="shared" si="68"/>
        <v>38769.311733599992</v>
      </c>
      <c r="K560" s="322">
        <v>38761.997427759998</v>
      </c>
      <c r="L560" s="322">
        <v>38761.997427759998</v>
      </c>
      <c r="M560" s="371">
        <v>45425</v>
      </c>
      <c r="N560" s="322">
        <f>+Table7[[#This Row],[стойност с ДДС]]-Table7[[#This Row],[направено плащане]]</f>
        <v>0</v>
      </c>
      <c r="O560" s="327"/>
    </row>
    <row r="561" spans="1:15" ht="20.100000000000001" customHeight="1" x14ac:dyDescent="0.25">
      <c r="A561" s="151" t="s">
        <v>159</v>
      </c>
      <c r="B561" s="378" t="s">
        <v>945</v>
      </c>
      <c r="C561" s="371">
        <v>45415</v>
      </c>
      <c r="D561" s="337"/>
      <c r="E561" s="347" t="s">
        <v>131</v>
      </c>
      <c r="F561" s="409" t="s">
        <v>951</v>
      </c>
      <c r="G561" s="322"/>
      <c r="H561" s="324">
        <v>50</v>
      </c>
      <c r="I561" s="325">
        <f>24.54201*1.9563</f>
        <v>48.011534163</v>
      </c>
      <c r="J561" s="325">
        <f t="shared" si="68"/>
        <v>2400.5767081499998</v>
      </c>
      <c r="K561" s="318">
        <v>2400.5767081499998</v>
      </c>
      <c r="L561" s="322">
        <v>2400.5767081499998</v>
      </c>
      <c r="M561" s="371">
        <v>45425</v>
      </c>
      <c r="N561" s="322">
        <f>+Table7[[#This Row],[стойност с ДДС]]-Table7[[#This Row],[направено плащане]]</f>
        <v>0</v>
      </c>
      <c r="O561" s="327"/>
    </row>
    <row r="562" spans="1:15" ht="20.100000000000001" customHeight="1" x14ac:dyDescent="0.25">
      <c r="A562" s="151" t="s">
        <v>159</v>
      </c>
      <c r="B562" s="378" t="s">
        <v>945</v>
      </c>
      <c r="C562" s="371">
        <v>45415</v>
      </c>
      <c r="D562" s="337"/>
      <c r="E562" s="347" t="s">
        <v>131</v>
      </c>
      <c r="F562" s="409" t="s">
        <v>952</v>
      </c>
      <c r="G562" s="322"/>
      <c r="H562" s="324">
        <v>200</v>
      </c>
      <c r="I562" s="325">
        <f>24.54201*1.9563</f>
        <v>48.011534163</v>
      </c>
      <c r="J562" s="325">
        <f t="shared" si="68"/>
        <v>9602.3068325999993</v>
      </c>
      <c r="K562" s="318">
        <v>9602.3068325999993</v>
      </c>
      <c r="L562" s="322">
        <v>9602.3068325999993</v>
      </c>
      <c r="M562" s="371">
        <v>45425</v>
      </c>
      <c r="N562" s="322">
        <f>+Table7[[#This Row],[стойност с ДДС]]-Table7[[#This Row],[направено плащане]]</f>
        <v>0</v>
      </c>
      <c r="O562" s="327"/>
    </row>
    <row r="563" spans="1:15" ht="20.100000000000001" customHeight="1" x14ac:dyDescent="0.25">
      <c r="A563" s="151" t="s">
        <v>159</v>
      </c>
      <c r="B563" s="378" t="s">
        <v>945</v>
      </c>
      <c r="C563" s="371">
        <v>45415</v>
      </c>
      <c r="D563" s="337"/>
      <c r="E563" s="347" t="s">
        <v>131</v>
      </c>
      <c r="F563" s="409" t="s">
        <v>953</v>
      </c>
      <c r="G563" s="322"/>
      <c r="H563" s="324">
        <v>223</v>
      </c>
      <c r="I563" s="325">
        <f>24.38862*1.9563</f>
        <v>47.711457306</v>
      </c>
      <c r="J563" s="325">
        <f t="shared" si="68"/>
        <v>10639.654979237999</v>
      </c>
      <c r="K563" s="318">
        <v>10639.654979237999</v>
      </c>
      <c r="L563" s="322">
        <v>10639.654979237999</v>
      </c>
      <c r="M563" s="371">
        <v>45425</v>
      </c>
      <c r="N563" s="322">
        <f>+Table7[[#This Row],[стойност с ДДС]]-Table7[[#This Row],[направено плащане]]</f>
        <v>0</v>
      </c>
      <c r="O563" s="327"/>
    </row>
    <row r="564" spans="1:15" ht="20.100000000000001" customHeight="1" x14ac:dyDescent="0.25">
      <c r="A564" s="206" t="s">
        <v>159</v>
      </c>
      <c r="B564" s="378" t="s">
        <v>945</v>
      </c>
      <c r="C564" s="371">
        <v>45415</v>
      </c>
      <c r="D564" s="343"/>
      <c r="E564" s="347" t="s">
        <v>131</v>
      </c>
      <c r="F564" s="412" t="s">
        <v>954</v>
      </c>
      <c r="G564" s="342"/>
      <c r="H564" s="344">
        <v>10</v>
      </c>
      <c r="I564" s="345">
        <f>24.28636*1.9563</f>
        <v>47.511406067999992</v>
      </c>
      <c r="J564" s="345">
        <f>I564*H564</f>
        <v>475.11406067999991</v>
      </c>
      <c r="K564" s="320">
        <v>475.1</v>
      </c>
      <c r="L564" s="342">
        <v>475.1</v>
      </c>
      <c r="M564" s="371">
        <v>45425</v>
      </c>
      <c r="N564" s="342">
        <f>+Table7[[#This Row],[стойност с ДДС]]-Table7[[#This Row],[направено плащане]]</f>
        <v>0</v>
      </c>
      <c r="O564" s="346"/>
    </row>
    <row r="565" spans="1:15" ht="20.100000000000001" customHeight="1" x14ac:dyDescent="0.25">
      <c r="A565" s="206" t="s">
        <v>159</v>
      </c>
      <c r="B565" s="381" t="s">
        <v>945</v>
      </c>
      <c r="C565" s="373">
        <v>45415</v>
      </c>
      <c r="D565" s="343"/>
      <c r="E565" s="347" t="s">
        <v>131</v>
      </c>
      <c r="F565" s="412" t="s">
        <v>955</v>
      </c>
      <c r="G565" s="342"/>
      <c r="H565" s="344">
        <v>200</v>
      </c>
      <c r="I565" s="345">
        <f>24.51645*1.9563</f>
        <v>47.961531134999994</v>
      </c>
      <c r="J565" s="345">
        <f>I565*H565</f>
        <v>9592.3062269999991</v>
      </c>
      <c r="K565" s="320">
        <v>9592.2999999999993</v>
      </c>
      <c r="L565" s="342">
        <v>9592.2999999999993</v>
      </c>
      <c r="M565" s="371">
        <v>45425</v>
      </c>
      <c r="N565" s="342">
        <f>+Table7[[#This Row],[стойност с ДДС]]-Table7[[#This Row],[направено плащане]]</f>
        <v>0</v>
      </c>
      <c r="O565" s="346"/>
    </row>
    <row r="566" spans="1:15" ht="20.100000000000001" customHeight="1" x14ac:dyDescent="0.3">
      <c r="A566" s="206" t="s">
        <v>678</v>
      </c>
      <c r="B566" s="381" t="s">
        <v>956</v>
      </c>
      <c r="C566" s="373">
        <v>45413</v>
      </c>
      <c r="D566" s="343"/>
      <c r="E566" s="332" t="s">
        <v>343</v>
      </c>
      <c r="F566" s="412" t="s">
        <v>412</v>
      </c>
      <c r="G566" s="342"/>
      <c r="H566" s="344">
        <v>1</v>
      </c>
      <c r="I566" s="345">
        <f>308.02*1.9563</f>
        <v>602.57952599999999</v>
      </c>
      <c r="J566" s="345">
        <v>602.58000000000004</v>
      </c>
      <c r="K566" s="320">
        <v>602.58000000000004</v>
      </c>
      <c r="L566" s="342">
        <v>602.58000000000004</v>
      </c>
      <c r="M566" s="373">
        <v>45420</v>
      </c>
      <c r="N566" s="342">
        <f>+Table7[[#This Row],[стойност с ДДС]]-Table7[[#This Row],[направено плащане]]</f>
        <v>0</v>
      </c>
      <c r="O566" s="346"/>
    </row>
    <row r="567" spans="1:15" ht="20.100000000000001" customHeight="1" x14ac:dyDescent="0.25">
      <c r="A567" s="206" t="s">
        <v>118</v>
      </c>
      <c r="B567" s="381" t="s">
        <v>957</v>
      </c>
      <c r="C567" s="373">
        <v>45414</v>
      </c>
      <c r="D567" s="343"/>
      <c r="E567" s="347" t="s">
        <v>131</v>
      </c>
      <c r="F567" s="412" t="s">
        <v>958</v>
      </c>
      <c r="G567" s="342"/>
      <c r="H567" s="344">
        <v>1616</v>
      </c>
      <c r="I567" s="345">
        <v>49.2</v>
      </c>
      <c r="J567" s="345">
        <f>I567*H567</f>
        <v>79507.200000000012</v>
      </c>
      <c r="K567" s="320">
        <f>J567*1.2</f>
        <v>95408.640000000014</v>
      </c>
      <c r="L567" s="342">
        <v>95408.639999999999</v>
      </c>
      <c r="M567" s="371">
        <v>45425</v>
      </c>
      <c r="N567" s="342">
        <f>+Table7[[#This Row],[стойност с ДДС]]-Table7[[#This Row],[направено плащане]]</f>
        <v>0</v>
      </c>
      <c r="O567" s="346">
        <v>45425</v>
      </c>
    </row>
    <row r="568" spans="1:15" ht="20.100000000000001" customHeight="1" x14ac:dyDescent="0.25">
      <c r="A568" s="206" t="s">
        <v>118</v>
      </c>
      <c r="B568" s="378" t="s">
        <v>959</v>
      </c>
      <c r="C568" s="371">
        <v>45415</v>
      </c>
      <c r="D568" s="337"/>
      <c r="E568" s="347" t="s">
        <v>131</v>
      </c>
      <c r="F568" s="409" t="s">
        <v>960</v>
      </c>
      <c r="G568" s="322"/>
      <c r="H568" s="324">
        <v>50</v>
      </c>
      <c r="I568" s="325">
        <v>48</v>
      </c>
      <c r="J568" s="325">
        <f>I568*H568</f>
        <v>2400</v>
      </c>
      <c r="K568" s="318">
        <f>J568*1.2</f>
        <v>2880</v>
      </c>
      <c r="L568" s="322">
        <v>2880</v>
      </c>
      <c r="M568" s="371">
        <v>45422</v>
      </c>
      <c r="N568" s="322">
        <f>+Table7[[#This Row],[стойност с ДДС]]-Table7[[#This Row],[направено плащане]]</f>
        <v>0</v>
      </c>
      <c r="O568" s="327">
        <v>45425</v>
      </c>
    </row>
    <row r="569" spans="1:15" ht="20.100000000000001" customHeight="1" x14ac:dyDescent="0.25">
      <c r="A569" s="206" t="s">
        <v>118</v>
      </c>
      <c r="B569" s="381" t="s">
        <v>961</v>
      </c>
      <c r="C569" s="373">
        <v>45417</v>
      </c>
      <c r="D569" s="343"/>
      <c r="E569" s="347" t="s">
        <v>131</v>
      </c>
      <c r="F569" s="412" t="s">
        <v>962</v>
      </c>
      <c r="G569" s="342"/>
      <c r="H569" s="344">
        <v>100</v>
      </c>
      <c r="I569" s="345">
        <v>48</v>
      </c>
      <c r="J569" s="345">
        <f>I569*H569</f>
        <v>4800</v>
      </c>
      <c r="K569" s="320">
        <f>J569*1.2</f>
        <v>5760</v>
      </c>
      <c r="L569" s="342">
        <v>5760</v>
      </c>
      <c r="M569" s="373">
        <v>45422</v>
      </c>
      <c r="N569" s="342">
        <f>+Table7[[#This Row],[стойност с ДДС]]-Table7[[#This Row],[направено плащане]]</f>
        <v>0</v>
      </c>
      <c r="O569" s="327">
        <v>45425</v>
      </c>
    </row>
    <row r="570" spans="1:15" ht="20.100000000000001" customHeight="1" x14ac:dyDescent="0.25">
      <c r="A570" s="151" t="s">
        <v>118</v>
      </c>
      <c r="B570" s="378" t="s">
        <v>961</v>
      </c>
      <c r="C570" s="371">
        <v>45417</v>
      </c>
      <c r="D570" s="337"/>
      <c r="E570" s="328" t="s">
        <v>131</v>
      </c>
      <c r="F570" s="409" t="s">
        <v>963</v>
      </c>
      <c r="G570" s="322"/>
      <c r="H570" s="324">
        <v>200</v>
      </c>
      <c r="I570" s="325">
        <v>48</v>
      </c>
      <c r="J570" s="325">
        <f t="shared" ref="J570:J571" si="69">I570*H570</f>
        <v>9600</v>
      </c>
      <c r="K570" s="318">
        <f t="shared" ref="K570:K571" si="70">J570*1.2</f>
        <v>11520</v>
      </c>
      <c r="L570" s="322">
        <v>11520</v>
      </c>
      <c r="M570" s="371">
        <v>45422</v>
      </c>
      <c r="N570" s="322">
        <f>+Table7[[#This Row],[стойност с ДДС]]-Table7[[#This Row],[направено плащане]]</f>
        <v>0</v>
      </c>
      <c r="O570" s="327">
        <v>45425</v>
      </c>
    </row>
    <row r="571" spans="1:15" ht="20.100000000000001" customHeight="1" x14ac:dyDescent="0.25">
      <c r="A571" s="206" t="s">
        <v>118</v>
      </c>
      <c r="B571" s="381" t="s">
        <v>961</v>
      </c>
      <c r="C571" s="373">
        <v>45417</v>
      </c>
      <c r="D571" s="343"/>
      <c r="E571" s="347" t="s">
        <v>131</v>
      </c>
      <c r="F571" s="412" t="s">
        <v>964</v>
      </c>
      <c r="G571" s="342"/>
      <c r="H571" s="344">
        <v>100</v>
      </c>
      <c r="I571" s="345">
        <v>47.98</v>
      </c>
      <c r="J571" s="345">
        <f t="shared" si="69"/>
        <v>4798</v>
      </c>
      <c r="K571" s="320">
        <f t="shared" si="70"/>
        <v>5757.5999999999995</v>
      </c>
      <c r="L571" s="342">
        <v>5757.5999999999995</v>
      </c>
      <c r="M571" s="373">
        <v>45422</v>
      </c>
      <c r="N571" s="342">
        <f>+Table7[[#This Row],[стойност с ДДС]]-Table7[[#This Row],[направено плащане]]</f>
        <v>0</v>
      </c>
      <c r="O571" s="327">
        <v>45425</v>
      </c>
    </row>
    <row r="572" spans="1:15" ht="20.100000000000001" customHeight="1" x14ac:dyDescent="0.25">
      <c r="A572" s="206" t="s">
        <v>268</v>
      </c>
      <c r="B572" s="381" t="s">
        <v>965</v>
      </c>
      <c r="C572" s="373">
        <v>45417</v>
      </c>
      <c r="D572" s="343"/>
      <c r="E572" s="347" t="s">
        <v>131</v>
      </c>
      <c r="F572" s="412"/>
      <c r="G572" s="342"/>
      <c r="H572" s="344">
        <v>200</v>
      </c>
      <c r="I572" s="345">
        <v>47.7</v>
      </c>
      <c r="J572" s="345">
        <f>I572*H572</f>
        <v>9540</v>
      </c>
      <c r="K572" s="320">
        <f>J572*1.2</f>
        <v>11448</v>
      </c>
      <c r="L572" s="342">
        <v>11448</v>
      </c>
      <c r="M572" s="371">
        <v>45422</v>
      </c>
      <c r="N572" s="342">
        <f>+Table7[[#This Row],[стойност с ДДС]]-Table7[[#This Row],[направено плащане]]</f>
        <v>0</v>
      </c>
      <c r="O572" s="346"/>
    </row>
    <row r="573" spans="1:15" ht="20.100000000000001" customHeight="1" x14ac:dyDescent="0.25">
      <c r="A573" s="151" t="s">
        <v>268</v>
      </c>
      <c r="B573" s="378" t="s">
        <v>965</v>
      </c>
      <c r="C573" s="371">
        <v>45417</v>
      </c>
      <c r="D573" s="337"/>
      <c r="E573" s="347" t="s">
        <v>131</v>
      </c>
      <c r="F573" s="409"/>
      <c r="G573" s="322"/>
      <c r="H573" s="324">
        <v>30</v>
      </c>
      <c r="I573" s="325">
        <v>47.99</v>
      </c>
      <c r="J573" s="325">
        <f t="shared" ref="J573:J574" si="71">I573*H573</f>
        <v>1439.7</v>
      </c>
      <c r="K573" s="318">
        <f t="shared" ref="K573:K574" si="72">J573*1.2</f>
        <v>1727.64</v>
      </c>
      <c r="L573" s="322">
        <v>1727.64</v>
      </c>
      <c r="M573" s="371">
        <v>45422</v>
      </c>
      <c r="N573" s="322">
        <f>+Table7[[#This Row],[стойност с ДДС]]-Table7[[#This Row],[направено плащане]]</f>
        <v>0</v>
      </c>
      <c r="O573" s="327"/>
    </row>
    <row r="574" spans="1:15" ht="20.100000000000001" customHeight="1" x14ac:dyDescent="0.25">
      <c r="A574" s="206" t="s">
        <v>268</v>
      </c>
      <c r="B574" s="381" t="s">
        <v>965</v>
      </c>
      <c r="C574" s="373">
        <v>45417</v>
      </c>
      <c r="D574" s="343"/>
      <c r="E574" s="347" t="s">
        <v>131</v>
      </c>
      <c r="F574" s="412"/>
      <c r="G574" s="342"/>
      <c r="H574" s="344">
        <v>200</v>
      </c>
      <c r="I574" s="345">
        <v>48</v>
      </c>
      <c r="J574" s="345">
        <f t="shared" si="71"/>
        <v>9600</v>
      </c>
      <c r="K574" s="320">
        <f t="shared" si="72"/>
        <v>11520</v>
      </c>
      <c r="L574" s="342">
        <v>11520</v>
      </c>
      <c r="M574" s="371">
        <v>45422</v>
      </c>
      <c r="N574" s="342">
        <f>+Table7[[#This Row],[стойност с ДДС]]-Table7[[#This Row],[направено плащане]]</f>
        <v>0</v>
      </c>
      <c r="O574" s="346"/>
    </row>
    <row r="575" spans="1:15" ht="20.100000000000001" customHeight="1" x14ac:dyDescent="0.25">
      <c r="A575" s="206" t="s">
        <v>34</v>
      </c>
      <c r="B575" s="381" t="s">
        <v>966</v>
      </c>
      <c r="C575" s="373">
        <v>45419</v>
      </c>
      <c r="D575" s="343"/>
      <c r="E575" s="347" t="s">
        <v>131</v>
      </c>
      <c r="F575" s="412" t="s">
        <v>967</v>
      </c>
      <c r="G575" s="342"/>
      <c r="H575" s="344">
        <v>16</v>
      </c>
      <c r="I575" s="345">
        <v>47.7</v>
      </c>
      <c r="J575" s="345">
        <f>I575*H575</f>
        <v>763.2</v>
      </c>
      <c r="K575" s="320">
        <f>J575*1.2</f>
        <v>915.84</v>
      </c>
      <c r="L575" s="342">
        <v>915.84</v>
      </c>
      <c r="M575" s="373">
        <v>45422</v>
      </c>
      <c r="N575" s="342">
        <f>+Table7[[#This Row],[стойност с ДДС]]-Table7[[#This Row],[направено плащане]]</f>
        <v>0</v>
      </c>
      <c r="O575" s="346">
        <v>45425</v>
      </c>
    </row>
    <row r="576" spans="1:15" ht="20.100000000000001" customHeight="1" x14ac:dyDescent="0.25">
      <c r="A576" s="206" t="s">
        <v>159</v>
      </c>
      <c r="B576" s="381" t="s">
        <v>968</v>
      </c>
      <c r="C576" s="373">
        <v>45418</v>
      </c>
      <c r="D576" s="343"/>
      <c r="E576" s="347" t="s">
        <v>131</v>
      </c>
      <c r="F576" s="412" t="s">
        <v>969</v>
      </c>
      <c r="G576" s="342"/>
      <c r="H576" s="344">
        <v>1000</v>
      </c>
      <c r="I576" s="345">
        <f>25.0533*1.9563</f>
        <v>49.01177079</v>
      </c>
      <c r="J576" s="345">
        <f>I576*H576</f>
        <v>49011.770790000002</v>
      </c>
      <c r="K576" s="320">
        <v>49011.770790000002</v>
      </c>
      <c r="L576" s="342">
        <v>49011.770790000002</v>
      </c>
      <c r="M576" s="373">
        <v>45425</v>
      </c>
      <c r="N576" s="342">
        <f>+Table7[[#This Row],[стойност с ДДС]]-Table7[[#This Row],[направено плащане]]</f>
        <v>0</v>
      </c>
      <c r="O576" s="346"/>
    </row>
    <row r="577" spans="1:15" ht="20.100000000000001" customHeight="1" x14ac:dyDescent="0.25">
      <c r="A577" s="151" t="s">
        <v>159</v>
      </c>
      <c r="B577" s="378" t="s">
        <v>968</v>
      </c>
      <c r="C577" s="371">
        <v>45418</v>
      </c>
      <c r="D577" s="337"/>
      <c r="E577" s="328" t="s">
        <v>131</v>
      </c>
      <c r="F577" s="409" t="s">
        <v>970</v>
      </c>
      <c r="G577" s="322"/>
      <c r="H577" s="324">
        <v>1400</v>
      </c>
      <c r="I577" s="325">
        <f>24.79766*1.9563</f>
        <v>48.511662258000001</v>
      </c>
      <c r="J577" s="325">
        <f t="shared" ref="J577:J579" si="73">I577*H577</f>
        <v>67916.327161199995</v>
      </c>
      <c r="K577" s="318">
        <v>67916.327161199995</v>
      </c>
      <c r="L577" s="322">
        <v>67916.327161199995</v>
      </c>
      <c r="M577" s="371">
        <v>45425</v>
      </c>
      <c r="N577" s="322">
        <f>+Table7[[#This Row],[стойност с ДДС]]-Table7[[#This Row],[направено плащане]]</f>
        <v>0</v>
      </c>
      <c r="O577" s="327"/>
    </row>
    <row r="578" spans="1:15" ht="20.100000000000001" customHeight="1" x14ac:dyDescent="0.25">
      <c r="A578" s="151" t="s">
        <v>159</v>
      </c>
      <c r="B578" s="378" t="s">
        <v>968</v>
      </c>
      <c r="C578" s="371">
        <v>45418</v>
      </c>
      <c r="D578" s="337"/>
      <c r="E578" s="328" t="s">
        <v>131</v>
      </c>
      <c r="F578" s="409" t="s">
        <v>971</v>
      </c>
      <c r="G578" s="322"/>
      <c r="H578" s="324">
        <v>100</v>
      </c>
      <c r="I578" s="325">
        <f>24.54201*1.9563</f>
        <v>48.011534163</v>
      </c>
      <c r="J578" s="325">
        <f>I578*H578</f>
        <v>4801.1534162999997</v>
      </c>
      <c r="K578" s="318">
        <v>4801.1499999999996</v>
      </c>
      <c r="L578" s="322">
        <v>4801.1499999999996</v>
      </c>
      <c r="M578" s="371">
        <v>45425</v>
      </c>
      <c r="N578" s="322">
        <f>+Table7[[#This Row],[стойност с ДДС]]-Table7[[#This Row],[направено плащане]]</f>
        <v>0</v>
      </c>
      <c r="O578" s="327"/>
    </row>
    <row r="579" spans="1:15" ht="20.100000000000001" customHeight="1" x14ac:dyDescent="0.25">
      <c r="A579" s="206" t="s">
        <v>159</v>
      </c>
      <c r="B579" s="381" t="s">
        <v>968</v>
      </c>
      <c r="C579" s="373">
        <v>45418</v>
      </c>
      <c r="D579" s="343"/>
      <c r="E579" s="347" t="s">
        <v>131</v>
      </c>
      <c r="F579" s="412" t="s">
        <v>972</v>
      </c>
      <c r="G579" s="342"/>
      <c r="H579" s="344">
        <v>3</v>
      </c>
      <c r="I579" s="345">
        <f>24.38862*1.9563</f>
        <v>47.711457306</v>
      </c>
      <c r="J579" s="345">
        <f t="shared" si="73"/>
        <v>143.134371918</v>
      </c>
      <c r="K579" s="320">
        <v>143.134371918</v>
      </c>
      <c r="L579" s="342">
        <v>143.134371918</v>
      </c>
      <c r="M579" s="373">
        <v>45425</v>
      </c>
      <c r="N579" s="342">
        <f>+Table7[[#This Row],[стойност с ДДС]]-Table7[[#This Row],[направено плащане]]</f>
        <v>0</v>
      </c>
      <c r="O579" s="346"/>
    </row>
    <row r="580" spans="1:15" ht="20.100000000000001" customHeight="1" x14ac:dyDescent="0.25">
      <c r="A580" s="206" t="s">
        <v>118</v>
      </c>
      <c r="B580" s="381" t="s">
        <v>983</v>
      </c>
      <c r="C580" s="373">
        <v>45419</v>
      </c>
      <c r="D580" s="343"/>
      <c r="E580" s="347" t="s">
        <v>131</v>
      </c>
      <c r="F580" s="412" t="s">
        <v>973</v>
      </c>
      <c r="G580" s="342"/>
      <c r="H580" s="344">
        <v>1000</v>
      </c>
      <c r="I580" s="345">
        <v>48.3</v>
      </c>
      <c r="J580" s="345">
        <f>I580*H580</f>
        <v>48300</v>
      </c>
      <c r="K580" s="320">
        <f>J580*1.2</f>
        <v>57960</v>
      </c>
      <c r="L580" s="342">
        <v>57960</v>
      </c>
      <c r="M580" s="373">
        <v>45425</v>
      </c>
      <c r="N580" s="342">
        <f>+Table7[[#This Row],[стойност с ДДС]]-Table7[[#This Row],[направено плащане]]</f>
        <v>0</v>
      </c>
      <c r="O580" s="346">
        <v>45426</v>
      </c>
    </row>
    <row r="581" spans="1:15" ht="20.100000000000001" customHeight="1" x14ac:dyDescent="0.25">
      <c r="A581" s="206" t="s">
        <v>118</v>
      </c>
      <c r="B581" s="381" t="s">
        <v>983</v>
      </c>
      <c r="C581" s="373">
        <v>45419</v>
      </c>
      <c r="D581" s="343"/>
      <c r="E581" s="347" t="s">
        <v>131</v>
      </c>
      <c r="F581" s="412" t="s">
        <v>974</v>
      </c>
      <c r="G581" s="342"/>
      <c r="H581" s="344">
        <v>154</v>
      </c>
      <c r="I581" s="345">
        <v>48.5</v>
      </c>
      <c r="J581" s="345">
        <f>I581*H581</f>
        <v>7469</v>
      </c>
      <c r="K581" s="320">
        <f>J581*1.2</f>
        <v>8962.7999999999993</v>
      </c>
      <c r="L581" s="342">
        <v>8962.7999999999993</v>
      </c>
      <c r="M581" s="373">
        <v>45425</v>
      </c>
      <c r="N581" s="342">
        <f>+Table7[[#This Row],[стойност с ДДС]]-Table7[[#This Row],[направено плащане]]</f>
        <v>0</v>
      </c>
      <c r="O581" s="346">
        <v>45426</v>
      </c>
    </row>
    <row r="582" spans="1:15" ht="20.100000000000001" customHeight="1" x14ac:dyDescent="0.25">
      <c r="A582" s="206" t="s">
        <v>352</v>
      </c>
      <c r="B582" s="381" t="s">
        <v>975</v>
      </c>
      <c r="C582" s="373">
        <v>45416</v>
      </c>
      <c r="D582" s="343"/>
      <c r="E582" s="347" t="s">
        <v>131</v>
      </c>
      <c r="F582" s="412" t="s">
        <v>976</v>
      </c>
      <c r="G582" s="342"/>
      <c r="H582" s="344">
        <v>70</v>
      </c>
      <c r="I582" s="345">
        <v>47.7</v>
      </c>
      <c r="J582" s="345">
        <f>I582*H582</f>
        <v>3339</v>
      </c>
      <c r="K582" s="320">
        <f>J582*1.2</f>
        <v>4006.7999999999997</v>
      </c>
      <c r="L582" s="342">
        <v>4006.7999999999997</v>
      </c>
      <c r="M582" s="373">
        <v>45422</v>
      </c>
      <c r="N582" s="342">
        <f>+Table7[[#This Row],[стойност с ДДС]]-Table7[[#This Row],[направено плащане]]</f>
        <v>0</v>
      </c>
      <c r="O582" s="346">
        <v>45416</v>
      </c>
    </row>
    <row r="583" spans="1:15" ht="20.100000000000001" customHeight="1" x14ac:dyDescent="0.25">
      <c r="A583" s="206" t="s">
        <v>352</v>
      </c>
      <c r="B583" s="381" t="s">
        <v>975</v>
      </c>
      <c r="C583" s="373">
        <v>45416</v>
      </c>
      <c r="D583" s="343"/>
      <c r="E583" s="347" t="s">
        <v>131</v>
      </c>
      <c r="F583" s="412" t="s">
        <v>977</v>
      </c>
      <c r="G583" s="342"/>
      <c r="H583" s="344">
        <v>40</v>
      </c>
      <c r="I583" s="345">
        <v>47.7</v>
      </c>
      <c r="J583" s="345">
        <f>I583*H583</f>
        <v>1908</v>
      </c>
      <c r="K583" s="320">
        <f>J583*1.2</f>
        <v>2289.6</v>
      </c>
      <c r="L583" s="342">
        <v>2289.6</v>
      </c>
      <c r="M583" s="373">
        <v>45422</v>
      </c>
      <c r="N583" s="342">
        <f>+Table7[[#This Row],[стойност с ДДС]]-Table7[[#This Row],[направено плащане]]</f>
        <v>0</v>
      </c>
      <c r="O583" s="346">
        <v>45416</v>
      </c>
    </row>
    <row r="584" spans="1:15" ht="20.100000000000001" customHeight="1" x14ac:dyDescent="0.3">
      <c r="A584" s="206" t="s">
        <v>99</v>
      </c>
      <c r="B584" s="381" t="s">
        <v>978</v>
      </c>
      <c r="C584" s="373">
        <v>45417</v>
      </c>
      <c r="D584" s="343"/>
      <c r="E584" s="323" t="s">
        <v>458</v>
      </c>
      <c r="F584" s="412"/>
      <c r="G584" s="342"/>
      <c r="H584" s="344">
        <v>7192</v>
      </c>
      <c r="I584" s="345"/>
      <c r="J584" s="345">
        <v>176161.53</v>
      </c>
      <c r="K584" s="320">
        <f t="shared" ref="K584:K585" si="74">J584*1.2</f>
        <v>211393.83599999998</v>
      </c>
      <c r="L584" s="320">
        <v>211393.83599999998</v>
      </c>
      <c r="M584" s="373">
        <v>45425</v>
      </c>
      <c r="N584" s="342">
        <f>+Table7[[#This Row],[стойност с ДДС]]-Table7[[#This Row],[направено плащане]]</f>
        <v>0</v>
      </c>
      <c r="O584" s="346">
        <v>45422</v>
      </c>
    </row>
    <row r="585" spans="1:15" ht="20.100000000000001" customHeight="1" x14ac:dyDescent="0.3">
      <c r="A585" s="206" t="s">
        <v>99</v>
      </c>
      <c r="B585" s="381" t="s">
        <v>978</v>
      </c>
      <c r="C585" s="373">
        <v>45417</v>
      </c>
      <c r="D585" s="343"/>
      <c r="E585" s="323" t="s">
        <v>458</v>
      </c>
      <c r="F585" s="412"/>
      <c r="G585" s="342"/>
      <c r="H585" s="344">
        <v>587.87</v>
      </c>
      <c r="I585" s="345"/>
      <c r="J585" s="345">
        <v>18321.68</v>
      </c>
      <c r="K585" s="320">
        <f t="shared" si="74"/>
        <v>21986.016</v>
      </c>
      <c r="L585" s="320">
        <v>21986.016</v>
      </c>
      <c r="M585" s="373">
        <v>45425</v>
      </c>
      <c r="N585" s="342">
        <f>+Table7[[#This Row],[стойност с ДДС]]-Table7[[#This Row],[направено плащане]]</f>
        <v>0</v>
      </c>
      <c r="O585" s="346">
        <v>45422</v>
      </c>
    </row>
    <row r="586" spans="1:15" ht="20.100000000000001" customHeight="1" x14ac:dyDescent="0.3">
      <c r="A586" s="206" t="s">
        <v>99</v>
      </c>
      <c r="B586" s="378" t="s">
        <v>979</v>
      </c>
      <c r="C586" s="371">
        <v>45417</v>
      </c>
      <c r="D586" s="337"/>
      <c r="E586" s="323" t="s">
        <v>458</v>
      </c>
      <c r="F586" s="409"/>
      <c r="G586" s="322"/>
      <c r="H586" s="324">
        <v>7346.1</v>
      </c>
      <c r="I586" s="325"/>
      <c r="J586" s="325">
        <v>12370.09</v>
      </c>
      <c r="K586" s="318">
        <f>J586*1.2</f>
        <v>14844.108</v>
      </c>
      <c r="L586" s="322">
        <v>14844.108</v>
      </c>
      <c r="M586" s="373">
        <v>45422</v>
      </c>
      <c r="N586" s="322">
        <f>+Table7[[#This Row],[стойност с ДДС]]-Table7[[#This Row],[направено плащане]]</f>
        <v>0</v>
      </c>
      <c r="O586" s="346">
        <v>45422</v>
      </c>
    </row>
    <row r="587" spans="1:15" ht="20.100000000000001" customHeight="1" x14ac:dyDescent="0.3">
      <c r="A587" s="151" t="s">
        <v>99</v>
      </c>
      <c r="B587" s="378" t="s">
        <v>979</v>
      </c>
      <c r="C587" s="371">
        <v>45417</v>
      </c>
      <c r="D587" s="337"/>
      <c r="E587" s="323" t="s">
        <v>461</v>
      </c>
      <c r="F587" s="409"/>
      <c r="G587" s="322"/>
      <c r="H587" s="324">
        <v>1310.2349999999999</v>
      </c>
      <c r="I587" s="325"/>
      <c r="J587" s="325">
        <v>2781.6</v>
      </c>
      <c r="K587" s="318">
        <f t="shared" ref="K587:K592" si="75">J587*1.2</f>
        <v>3337.9199999999996</v>
      </c>
      <c r="L587" s="322">
        <v>3337.9199999999996</v>
      </c>
      <c r="M587" s="373">
        <v>45422</v>
      </c>
      <c r="N587" s="322">
        <f>+Table7[[#This Row],[стойност с ДДС]]-Table7[[#This Row],[направено плащане]]</f>
        <v>0</v>
      </c>
      <c r="O587" s="346">
        <v>45422</v>
      </c>
    </row>
    <row r="588" spans="1:15" ht="20.100000000000001" customHeight="1" x14ac:dyDescent="0.3">
      <c r="A588" s="151" t="s">
        <v>99</v>
      </c>
      <c r="B588" s="378" t="s">
        <v>979</v>
      </c>
      <c r="C588" s="371">
        <v>45417</v>
      </c>
      <c r="D588" s="337"/>
      <c r="E588" s="323" t="s">
        <v>462</v>
      </c>
      <c r="F588" s="409"/>
      <c r="G588" s="322"/>
      <c r="H588" s="324">
        <v>23238.055</v>
      </c>
      <c r="I588" s="325"/>
      <c r="J588" s="325">
        <v>4780.07</v>
      </c>
      <c r="K588" s="318">
        <f t="shared" si="75"/>
        <v>5736.0839999999998</v>
      </c>
      <c r="L588" s="322">
        <v>5736.0839999999998</v>
      </c>
      <c r="M588" s="373">
        <v>45422</v>
      </c>
      <c r="N588" s="322">
        <f>+Table7[[#This Row],[стойност с ДДС]]-Table7[[#This Row],[направено плащане]]</f>
        <v>0</v>
      </c>
      <c r="O588" s="346">
        <v>45422</v>
      </c>
    </row>
    <row r="589" spans="1:15" ht="20.100000000000001" customHeight="1" x14ac:dyDescent="0.3">
      <c r="A589" s="151" t="s">
        <v>99</v>
      </c>
      <c r="B589" s="378" t="s">
        <v>979</v>
      </c>
      <c r="C589" s="371">
        <v>45417</v>
      </c>
      <c r="D589" s="337"/>
      <c r="E589" s="323" t="s">
        <v>463</v>
      </c>
      <c r="F589" s="409"/>
      <c r="G589" s="322"/>
      <c r="H589" s="324">
        <v>23238.055</v>
      </c>
      <c r="I589" s="325"/>
      <c r="J589" s="325">
        <v>6757.64</v>
      </c>
      <c r="K589" s="318">
        <f t="shared" si="75"/>
        <v>8109.1679999999997</v>
      </c>
      <c r="L589" s="322">
        <v>8109.1679999999997</v>
      </c>
      <c r="M589" s="373">
        <v>45422</v>
      </c>
      <c r="N589" s="322">
        <f>+Table7[[#This Row],[стойност с ДДС]]-Table7[[#This Row],[направено плащане]]</f>
        <v>0</v>
      </c>
      <c r="O589" s="346">
        <v>45422</v>
      </c>
    </row>
    <row r="590" spans="1:15" ht="20.100000000000001" customHeight="1" x14ac:dyDescent="0.3">
      <c r="A590" s="151" t="s">
        <v>99</v>
      </c>
      <c r="B590" s="378" t="s">
        <v>979</v>
      </c>
      <c r="C590" s="371">
        <v>45417</v>
      </c>
      <c r="D590" s="337"/>
      <c r="E590" s="349" t="s">
        <v>464</v>
      </c>
      <c r="F590" s="409"/>
      <c r="G590" s="322"/>
      <c r="H590" s="324">
        <v>23138.055</v>
      </c>
      <c r="I590" s="325"/>
      <c r="J590" s="325">
        <v>610.84</v>
      </c>
      <c r="K590" s="318">
        <f t="shared" si="75"/>
        <v>733.00800000000004</v>
      </c>
      <c r="L590" s="322">
        <v>733.00800000000004</v>
      </c>
      <c r="M590" s="373">
        <v>45422</v>
      </c>
      <c r="N590" s="322">
        <f>+Table7[[#This Row],[стойност с ДДС]]-Table7[[#This Row],[направено плащане]]</f>
        <v>0</v>
      </c>
      <c r="O590" s="346">
        <v>45422</v>
      </c>
    </row>
    <row r="591" spans="1:15" ht="20.100000000000001" customHeight="1" x14ac:dyDescent="0.3">
      <c r="A591" s="151" t="s">
        <v>99</v>
      </c>
      <c r="B591" s="378" t="s">
        <v>979</v>
      </c>
      <c r="C591" s="371">
        <v>45417</v>
      </c>
      <c r="D591" s="337"/>
      <c r="E591" s="349" t="s">
        <v>465</v>
      </c>
      <c r="F591" s="409"/>
      <c r="G591" s="322"/>
      <c r="H591" s="324">
        <v>23238.055</v>
      </c>
      <c r="I591" s="325"/>
      <c r="J591" s="325">
        <v>-808.69</v>
      </c>
      <c r="K591" s="318">
        <f t="shared" si="75"/>
        <v>-970.428</v>
      </c>
      <c r="L591" s="322">
        <v>-970.428</v>
      </c>
      <c r="M591" s="373">
        <v>45422</v>
      </c>
      <c r="N591" s="322">
        <f>+Table7[[#This Row],[стойност с ДДС]]-Table7[[#This Row],[направено плащане]]</f>
        <v>0</v>
      </c>
      <c r="O591" s="346">
        <v>45422</v>
      </c>
    </row>
    <row r="592" spans="1:15" ht="20.100000000000001" customHeight="1" x14ac:dyDescent="0.3">
      <c r="A592" s="206" t="s">
        <v>99</v>
      </c>
      <c r="B592" s="381" t="s">
        <v>979</v>
      </c>
      <c r="C592" s="373">
        <v>45417</v>
      </c>
      <c r="D592" s="343"/>
      <c r="E592" s="323" t="s">
        <v>466</v>
      </c>
      <c r="F592" s="412"/>
      <c r="G592" s="342"/>
      <c r="H592" s="344">
        <v>211.18299999999999</v>
      </c>
      <c r="I592" s="345"/>
      <c r="J592" s="345">
        <v>697.26</v>
      </c>
      <c r="K592" s="320">
        <f t="shared" si="75"/>
        <v>836.71199999999999</v>
      </c>
      <c r="L592" s="342">
        <v>836.71199999999999</v>
      </c>
      <c r="M592" s="373">
        <v>45422</v>
      </c>
      <c r="N592" s="342">
        <f>+Table7[[#This Row],[стойност с ДДС]]-Table7[[#This Row],[направено плащане]]</f>
        <v>0</v>
      </c>
      <c r="O592" s="346">
        <v>45422</v>
      </c>
    </row>
    <row r="593" spans="1:15" ht="20.100000000000001" customHeight="1" x14ac:dyDescent="0.3">
      <c r="A593" s="206" t="s">
        <v>99</v>
      </c>
      <c r="B593" s="378" t="s">
        <v>980</v>
      </c>
      <c r="C593" s="371">
        <v>45417</v>
      </c>
      <c r="D593" s="337"/>
      <c r="E593" s="323" t="s">
        <v>328</v>
      </c>
      <c r="F593" s="409"/>
      <c r="G593" s="322"/>
      <c r="H593" s="324">
        <v>1168.704</v>
      </c>
      <c r="I593" s="325"/>
      <c r="J593" s="325">
        <v>54815.97</v>
      </c>
      <c r="K593" s="318">
        <f>J593*1.2</f>
        <v>65779.164000000004</v>
      </c>
      <c r="L593" s="322">
        <v>65779.16</v>
      </c>
      <c r="M593" s="371">
        <v>45435</v>
      </c>
      <c r="N593" s="322">
        <f>+Table7[[#This Row],[стойност с ДДС]]-Table7[[#This Row],[направено плащане]]</f>
        <v>4.0000000008149073E-3</v>
      </c>
      <c r="O593" s="346">
        <v>45422</v>
      </c>
    </row>
    <row r="594" spans="1:15" ht="20.100000000000001" customHeight="1" x14ac:dyDescent="0.3">
      <c r="A594" s="206" t="s">
        <v>448</v>
      </c>
      <c r="B594" s="381" t="s">
        <v>981</v>
      </c>
      <c r="C594" s="373">
        <v>45412</v>
      </c>
      <c r="D594" s="343"/>
      <c r="E594" s="332" t="s">
        <v>450</v>
      </c>
      <c r="F594" s="412"/>
      <c r="G594" s="342"/>
      <c r="H594" s="344"/>
      <c r="I594" s="345"/>
      <c r="J594" s="345">
        <f t="shared" ref="J594:J599" si="76">I594*H594</f>
        <v>0</v>
      </c>
      <c r="K594" s="320">
        <v>11.5</v>
      </c>
      <c r="L594" s="342"/>
      <c r="M594" s="373"/>
      <c r="N594" s="342">
        <f>+Table7[[#This Row],[стойност с ДДС]]-Table7[[#This Row],[направено плащане]]</f>
        <v>11.5</v>
      </c>
      <c r="O594" s="346"/>
    </row>
    <row r="595" spans="1:15" ht="20.100000000000001" customHeight="1" x14ac:dyDescent="0.3">
      <c r="A595" s="206" t="s">
        <v>448</v>
      </c>
      <c r="B595" s="378" t="s">
        <v>982</v>
      </c>
      <c r="C595" s="373">
        <v>45412</v>
      </c>
      <c r="D595" s="343"/>
      <c r="E595" s="332" t="s">
        <v>450</v>
      </c>
      <c r="F595" s="409"/>
      <c r="G595" s="322"/>
      <c r="H595" s="324"/>
      <c r="I595" s="325"/>
      <c r="J595" s="325">
        <f t="shared" si="76"/>
        <v>0</v>
      </c>
      <c r="K595" s="318">
        <v>750</v>
      </c>
      <c r="L595" s="322"/>
      <c r="M595" s="371"/>
      <c r="N595" s="322">
        <f>+Table7[[#This Row],[стойност с ДДС]]-Table7[[#This Row],[направено плащане]]</f>
        <v>750</v>
      </c>
      <c r="O595" s="327"/>
    </row>
    <row r="596" spans="1:15" ht="20.100000000000001" customHeight="1" x14ac:dyDescent="0.25">
      <c r="A596" s="206" t="s">
        <v>118</v>
      </c>
      <c r="B596" s="381" t="s">
        <v>984</v>
      </c>
      <c r="C596" s="373">
        <v>45421</v>
      </c>
      <c r="D596" s="343"/>
      <c r="E596" s="347" t="s">
        <v>131</v>
      </c>
      <c r="F596" s="412"/>
      <c r="G596" s="342"/>
      <c r="H596" s="344"/>
      <c r="I596" s="345"/>
      <c r="J596" s="345">
        <f t="shared" si="76"/>
        <v>0</v>
      </c>
      <c r="K596" s="320">
        <v>576000</v>
      </c>
      <c r="L596" s="342">
        <v>576000</v>
      </c>
      <c r="M596" s="373">
        <v>45422</v>
      </c>
      <c r="N596" s="342">
        <f>+Table7[[#This Row],[стойност с ДДС]]-Table7[[#This Row],[направено плащане]]</f>
        <v>0</v>
      </c>
      <c r="O596" s="346"/>
    </row>
    <row r="597" spans="1:15" ht="20.100000000000001" customHeight="1" x14ac:dyDescent="0.3">
      <c r="A597" s="206" t="s">
        <v>606</v>
      </c>
      <c r="B597" s="381" t="s">
        <v>987</v>
      </c>
      <c r="C597" s="373">
        <v>45422</v>
      </c>
      <c r="D597" s="343"/>
      <c r="E597" s="332" t="s">
        <v>609</v>
      </c>
      <c r="F597" s="412"/>
      <c r="G597" s="342"/>
      <c r="H597" s="344"/>
      <c r="I597" s="345"/>
      <c r="J597" s="345">
        <f t="shared" si="76"/>
        <v>0</v>
      </c>
      <c r="K597" s="320">
        <v>156.5</v>
      </c>
      <c r="L597" s="342">
        <v>156.5</v>
      </c>
      <c r="M597" s="373">
        <v>45425</v>
      </c>
      <c r="N597" s="342">
        <f>+Table7[[#This Row],[стойност с ДДС]]-Table7[[#This Row],[направено плащане]]</f>
        <v>0</v>
      </c>
      <c r="O597" s="346"/>
    </row>
    <row r="598" spans="1:15" ht="20.100000000000001" customHeight="1" x14ac:dyDescent="0.3">
      <c r="A598" s="206" t="s">
        <v>1392</v>
      </c>
      <c r="B598" s="381" t="s">
        <v>986</v>
      </c>
      <c r="C598" s="373">
        <v>45401</v>
      </c>
      <c r="D598" s="343"/>
      <c r="E598" s="332" t="s">
        <v>864</v>
      </c>
      <c r="F598" s="412"/>
      <c r="G598" s="342"/>
      <c r="H598" s="344"/>
      <c r="I598" s="345"/>
      <c r="J598" s="345">
        <f t="shared" si="76"/>
        <v>0</v>
      </c>
      <c r="K598" s="320">
        <v>56.12</v>
      </c>
      <c r="L598" s="342">
        <v>56.12</v>
      </c>
      <c r="M598" s="373">
        <v>45425</v>
      </c>
      <c r="N598" s="342">
        <f>+Table7[[#This Row],[стойност с ДДС]]-Table7[[#This Row],[направено плащане]]</f>
        <v>0</v>
      </c>
      <c r="O598" s="346"/>
    </row>
    <row r="599" spans="1:15" ht="20.100000000000001" customHeight="1" x14ac:dyDescent="0.3">
      <c r="A599" s="206" t="s">
        <v>1393</v>
      </c>
      <c r="B599" s="381"/>
      <c r="C599" s="373"/>
      <c r="D599" s="343"/>
      <c r="E599" s="332" t="s">
        <v>622</v>
      </c>
      <c r="F599" s="412"/>
      <c r="G599" s="342"/>
      <c r="H599" s="344"/>
      <c r="I599" s="345"/>
      <c r="J599" s="345">
        <f t="shared" si="76"/>
        <v>0</v>
      </c>
      <c r="K599" s="320">
        <v>1698.07</v>
      </c>
      <c r="L599" s="342">
        <v>1698.07</v>
      </c>
      <c r="M599" s="373">
        <v>45425</v>
      </c>
      <c r="N599" s="342">
        <f>+Table7[[#This Row],[стойност с ДДС]]-Table7[[#This Row],[направено плащане]]</f>
        <v>0</v>
      </c>
      <c r="O599" s="346"/>
    </row>
    <row r="600" spans="1:15" ht="20.100000000000001" customHeight="1" x14ac:dyDescent="0.3">
      <c r="A600" s="151" t="s">
        <v>527</v>
      </c>
      <c r="B600" s="378" t="s">
        <v>988</v>
      </c>
      <c r="C600" s="371">
        <v>45421</v>
      </c>
      <c r="D600" s="337"/>
      <c r="E600" s="348" t="s">
        <v>786</v>
      </c>
      <c r="F600" s="409"/>
      <c r="G600" s="322"/>
      <c r="H600" s="324"/>
      <c r="I600" s="325">
        <f>1680*1.9563</f>
        <v>3286.5839999999998</v>
      </c>
      <c r="J600" s="325">
        <f>1680*1.9563</f>
        <v>3286.5839999999998</v>
      </c>
      <c r="K600" s="325">
        <f>1680*1.9563</f>
        <v>3286.5839999999998</v>
      </c>
      <c r="L600" s="325">
        <f>1680*1.9563</f>
        <v>3286.5839999999998</v>
      </c>
      <c r="M600" s="371">
        <v>45433</v>
      </c>
      <c r="N600" s="322">
        <f>+Table7[[#This Row],[стойност с ДДС]]-Table7[[#This Row],[направено плащане]]</f>
        <v>0</v>
      </c>
      <c r="O600" s="327"/>
    </row>
    <row r="601" spans="1:15" ht="20.100000000000001" customHeight="1" x14ac:dyDescent="0.3">
      <c r="A601" s="206" t="s">
        <v>527</v>
      </c>
      <c r="B601" s="381" t="s">
        <v>989</v>
      </c>
      <c r="C601" s="373">
        <v>45427</v>
      </c>
      <c r="D601" s="343"/>
      <c r="E601" s="348" t="s">
        <v>786</v>
      </c>
      <c r="F601" s="412"/>
      <c r="G601" s="342"/>
      <c r="H601" s="344"/>
      <c r="I601" s="345">
        <f>24.12*1.9563</f>
        <v>47.185955999999997</v>
      </c>
      <c r="J601" s="345">
        <f>24.12*1.9563</f>
        <v>47.185955999999997</v>
      </c>
      <c r="K601" s="345">
        <f>24.12*1.9563</f>
        <v>47.185955999999997</v>
      </c>
      <c r="L601" s="345">
        <f>24.12*1.9563</f>
        <v>47.185955999999997</v>
      </c>
      <c r="M601" s="373"/>
      <c r="N601" s="342">
        <f>+Table7[[#This Row],[стойност с ДДС]]-Table7[[#This Row],[направено плащане]]</f>
        <v>0</v>
      </c>
      <c r="O601" s="346"/>
    </row>
    <row r="602" spans="1:15" ht="20.100000000000001" customHeight="1" x14ac:dyDescent="0.25">
      <c r="A602" s="207" t="s">
        <v>131</v>
      </c>
      <c r="B602" s="382" t="s">
        <v>131</v>
      </c>
      <c r="C602" s="374" t="s">
        <v>131</v>
      </c>
      <c r="D602" s="347" t="s">
        <v>131</v>
      </c>
      <c r="E602" s="347" t="s">
        <v>131</v>
      </c>
      <c r="F602" s="412" t="s">
        <v>990</v>
      </c>
      <c r="G602" s="342"/>
      <c r="H602" s="344">
        <v>4532.5</v>
      </c>
      <c r="I602" s="345"/>
      <c r="J602" s="345">
        <f>I602*H602</f>
        <v>0</v>
      </c>
      <c r="K602" s="320">
        <f>J602*1.2</f>
        <v>0</v>
      </c>
      <c r="L602" s="342"/>
      <c r="M602" s="373"/>
      <c r="N602" s="342">
        <f>+Table7[[#This Row],[стойност с ДДС]]-Table7[[#This Row],[направено плащане]]</f>
        <v>0</v>
      </c>
      <c r="O602" s="346"/>
    </row>
    <row r="603" spans="1:15" ht="20.100000000000001" customHeight="1" x14ac:dyDescent="0.25">
      <c r="A603" s="151" t="s">
        <v>131</v>
      </c>
      <c r="B603" s="378" t="s">
        <v>131</v>
      </c>
      <c r="C603" s="371" t="s">
        <v>131</v>
      </c>
      <c r="D603" s="337" t="s">
        <v>131</v>
      </c>
      <c r="E603" s="328" t="s">
        <v>131</v>
      </c>
      <c r="F603" s="409" t="s">
        <v>991</v>
      </c>
      <c r="G603" s="322"/>
      <c r="H603" s="324">
        <v>1942.5</v>
      </c>
      <c r="I603" s="325"/>
      <c r="J603" s="325">
        <f t="shared" ref="J603:J604" si="77">I603*H603</f>
        <v>0</v>
      </c>
      <c r="K603" s="318">
        <f t="shared" ref="K603:K604" si="78">J603*1.2</f>
        <v>0</v>
      </c>
      <c r="L603" s="322"/>
      <c r="M603" s="371"/>
      <c r="N603" s="322">
        <f>+Table7[[#This Row],[стойност с ДДС]]-Table7[[#This Row],[направено плащане]]</f>
        <v>0</v>
      </c>
      <c r="O603" s="327"/>
    </row>
    <row r="604" spans="1:15" ht="20.100000000000001" customHeight="1" x14ac:dyDescent="0.25">
      <c r="A604" s="206" t="s">
        <v>131</v>
      </c>
      <c r="B604" s="381" t="s">
        <v>131</v>
      </c>
      <c r="C604" s="373" t="s">
        <v>131</v>
      </c>
      <c r="D604" s="343" t="s">
        <v>131</v>
      </c>
      <c r="E604" s="347" t="s">
        <v>131</v>
      </c>
      <c r="F604" s="412" t="s">
        <v>992</v>
      </c>
      <c r="G604" s="342"/>
      <c r="H604" s="344">
        <v>6400</v>
      </c>
      <c r="I604" s="345"/>
      <c r="J604" s="345">
        <f t="shared" si="77"/>
        <v>0</v>
      </c>
      <c r="K604" s="320">
        <f t="shared" si="78"/>
        <v>0</v>
      </c>
      <c r="L604" s="342"/>
      <c r="M604" s="373"/>
      <c r="N604" s="342">
        <f>+Table7[[#This Row],[стойност с ДДС]]-Table7[[#This Row],[направено плащане]]</f>
        <v>0</v>
      </c>
      <c r="O604" s="346"/>
    </row>
    <row r="605" spans="1:15" ht="20.100000000000001" customHeight="1" x14ac:dyDescent="0.25">
      <c r="A605" s="151" t="s">
        <v>159</v>
      </c>
      <c r="B605" s="378" t="s">
        <v>985</v>
      </c>
      <c r="C605" s="371">
        <v>45419</v>
      </c>
      <c r="D605" s="337"/>
      <c r="E605" s="347" t="s">
        <v>131</v>
      </c>
      <c r="F605" s="409" t="s">
        <v>995</v>
      </c>
      <c r="G605" s="322"/>
      <c r="H605" s="324">
        <v>1000</v>
      </c>
      <c r="I605" s="325">
        <f>24.64427*1.9563</f>
        <v>48.211585400999994</v>
      </c>
      <c r="J605" s="325">
        <f>I605*H605</f>
        <v>48211.585400999997</v>
      </c>
      <c r="K605" s="318">
        <v>48211.585400999997</v>
      </c>
      <c r="L605" s="322">
        <v>48211.585400999997</v>
      </c>
      <c r="M605" s="373">
        <v>45425</v>
      </c>
      <c r="N605" s="322">
        <f>+Table7[[#This Row],[стойност с ДДС]]-Table7[[#This Row],[направено плащане]]</f>
        <v>0</v>
      </c>
      <c r="O605" s="327"/>
    </row>
    <row r="606" spans="1:15" ht="20.100000000000001" customHeight="1" x14ac:dyDescent="0.25">
      <c r="A606" s="151" t="s">
        <v>159</v>
      </c>
      <c r="B606" s="378" t="s">
        <v>985</v>
      </c>
      <c r="C606" s="371">
        <v>45419</v>
      </c>
      <c r="D606" s="337"/>
      <c r="E606" s="347" t="s">
        <v>131</v>
      </c>
      <c r="F606" s="409" t="s">
        <v>996</v>
      </c>
      <c r="G606" s="322"/>
      <c r="H606" s="324">
        <v>250</v>
      </c>
      <c r="I606" s="325">
        <f>24.84879*1.9563</f>
        <v>48.611687877000001</v>
      </c>
      <c r="J606" s="325">
        <f>I606*H606</f>
        <v>12152.921969250001</v>
      </c>
      <c r="K606" s="318">
        <v>12152.921969250001</v>
      </c>
      <c r="L606" s="322">
        <v>12152.921969250001</v>
      </c>
      <c r="M606" s="373">
        <v>45425</v>
      </c>
      <c r="N606" s="322">
        <f>+Table7[[#This Row],[стойност с ДДС]]-Table7[[#This Row],[направено плащане]]</f>
        <v>0</v>
      </c>
      <c r="O606" s="327"/>
    </row>
    <row r="607" spans="1:15" ht="20.100000000000001" customHeight="1" x14ac:dyDescent="0.25">
      <c r="A607" s="151" t="s">
        <v>159</v>
      </c>
      <c r="B607" s="378" t="s">
        <v>993</v>
      </c>
      <c r="C607" s="371">
        <v>45422</v>
      </c>
      <c r="D607" s="337"/>
      <c r="E607" s="347" t="s">
        <v>131</v>
      </c>
      <c r="F607" s="409" t="s">
        <v>997</v>
      </c>
      <c r="G607" s="322"/>
      <c r="H607" s="324">
        <v>500</v>
      </c>
      <c r="I607" s="325">
        <f>24.84879*1.9563</f>
        <v>48.611687877000001</v>
      </c>
      <c r="J607" s="325">
        <f t="shared" ref="J607:J612" si="79">I607*H607</f>
        <v>24305.843938500002</v>
      </c>
      <c r="K607" s="318">
        <v>24305.843938500002</v>
      </c>
      <c r="L607" s="322">
        <v>24305.843938500002</v>
      </c>
      <c r="M607" s="371">
        <v>45425</v>
      </c>
      <c r="N607" s="322">
        <f>+Table7[[#This Row],[стойност с ДДС]]-Table7[[#This Row],[направено плащане]]</f>
        <v>0</v>
      </c>
      <c r="O607" s="327"/>
    </row>
    <row r="608" spans="1:15" ht="20.100000000000001" customHeight="1" x14ac:dyDescent="0.25">
      <c r="A608" s="151" t="s">
        <v>159</v>
      </c>
      <c r="B608" s="378" t="s">
        <v>993</v>
      </c>
      <c r="C608" s="371">
        <v>45422</v>
      </c>
      <c r="D608" s="337"/>
      <c r="E608" s="347" t="s">
        <v>131</v>
      </c>
      <c r="F608" s="409" t="s">
        <v>998</v>
      </c>
      <c r="G608" s="322"/>
      <c r="H608" s="324">
        <v>2000</v>
      </c>
      <c r="I608" s="325">
        <f>24.87435*1.9563</f>
        <v>48.661690905</v>
      </c>
      <c r="J608" s="325">
        <f t="shared" si="79"/>
        <v>97323.381810000006</v>
      </c>
      <c r="K608" s="318">
        <v>97323.381810000006</v>
      </c>
      <c r="L608" s="322">
        <v>97323.381810000006</v>
      </c>
      <c r="M608" s="373">
        <v>45425</v>
      </c>
      <c r="N608" s="322">
        <f>+Table7[[#This Row],[стойност с ДДС]]-Table7[[#This Row],[направено плащане]]</f>
        <v>0</v>
      </c>
      <c r="O608" s="327"/>
    </row>
    <row r="609" spans="1:15" ht="20.100000000000001" customHeight="1" x14ac:dyDescent="0.25">
      <c r="A609" s="151" t="s">
        <v>159</v>
      </c>
      <c r="B609" s="378" t="s">
        <v>993</v>
      </c>
      <c r="C609" s="371">
        <v>45422</v>
      </c>
      <c r="D609" s="337"/>
      <c r="E609" s="347" t="s">
        <v>131</v>
      </c>
      <c r="F609" s="409" t="s">
        <v>999</v>
      </c>
      <c r="G609" s="322"/>
      <c r="H609" s="324">
        <v>36</v>
      </c>
      <c r="I609" s="325">
        <f>24.79766*1.9563</f>
        <v>48.511662258000001</v>
      </c>
      <c r="J609" s="325">
        <f t="shared" si="79"/>
        <v>1746.419841288</v>
      </c>
      <c r="K609" s="318">
        <v>1746.419841288</v>
      </c>
      <c r="L609" s="322">
        <v>1746.419841288</v>
      </c>
      <c r="M609" s="371">
        <v>45425</v>
      </c>
      <c r="N609" s="322">
        <f>+Table7[[#This Row],[стойност с ДДС]]-Table7[[#This Row],[направено плащане]]</f>
        <v>0</v>
      </c>
      <c r="O609" s="327"/>
    </row>
    <row r="610" spans="1:15" ht="20.100000000000001" customHeight="1" x14ac:dyDescent="0.25">
      <c r="A610" s="151" t="s">
        <v>159</v>
      </c>
      <c r="B610" s="378" t="s">
        <v>993</v>
      </c>
      <c r="C610" s="371">
        <v>45422</v>
      </c>
      <c r="D610" s="337"/>
      <c r="E610" s="347" t="s">
        <v>131</v>
      </c>
      <c r="F610" s="409" t="s">
        <v>1000</v>
      </c>
      <c r="G610" s="322"/>
      <c r="H610" s="324">
        <v>1000</v>
      </c>
      <c r="I610" s="325">
        <f>24.87435*1.9563</f>
        <v>48.661690905</v>
      </c>
      <c r="J610" s="325">
        <f t="shared" si="79"/>
        <v>48661.690905000003</v>
      </c>
      <c r="K610" s="318">
        <v>48661.690905000003</v>
      </c>
      <c r="L610" s="322">
        <v>48661.690905000003</v>
      </c>
      <c r="M610" s="373">
        <v>45425</v>
      </c>
      <c r="N610" s="322">
        <f>+Table7[[#This Row],[стойност с ДДС]]-Table7[[#This Row],[направено плащане]]</f>
        <v>0</v>
      </c>
      <c r="O610" s="327"/>
    </row>
    <row r="611" spans="1:15" ht="20.100000000000001" customHeight="1" x14ac:dyDescent="0.25">
      <c r="A611" s="151" t="s">
        <v>159</v>
      </c>
      <c r="B611" s="378" t="s">
        <v>993</v>
      </c>
      <c r="C611" s="371">
        <v>45422</v>
      </c>
      <c r="D611" s="337"/>
      <c r="E611" s="347" t="s">
        <v>131</v>
      </c>
      <c r="F611" s="409" t="s">
        <v>1001</v>
      </c>
      <c r="G611" s="322"/>
      <c r="H611" s="324">
        <v>400</v>
      </c>
      <c r="I611" s="325">
        <f>24.84879*1.9563</f>
        <v>48.611687877000001</v>
      </c>
      <c r="J611" s="325">
        <f t="shared" si="79"/>
        <v>19444.675150800002</v>
      </c>
      <c r="K611" s="318">
        <v>19444.675150800002</v>
      </c>
      <c r="L611" s="322">
        <v>19444.675150800002</v>
      </c>
      <c r="M611" s="371">
        <v>45425</v>
      </c>
      <c r="N611" s="322">
        <f>+Table7[[#This Row],[стойност с ДДС]]-Table7[[#This Row],[направено плащане]]</f>
        <v>0</v>
      </c>
      <c r="O611" s="327"/>
    </row>
    <row r="612" spans="1:15" ht="20.100000000000001" customHeight="1" x14ac:dyDescent="0.25">
      <c r="A612" s="206" t="s">
        <v>159</v>
      </c>
      <c r="B612" s="381" t="s">
        <v>993</v>
      </c>
      <c r="C612" s="371">
        <v>45422</v>
      </c>
      <c r="D612" s="343"/>
      <c r="E612" s="347" t="s">
        <v>131</v>
      </c>
      <c r="F612" s="412" t="s">
        <v>1002</v>
      </c>
      <c r="G612" s="342"/>
      <c r="H612" s="344">
        <v>200</v>
      </c>
      <c r="I612" s="345">
        <f>24.79766*1.9563</f>
        <v>48.511662258000001</v>
      </c>
      <c r="J612" s="345">
        <f t="shared" si="79"/>
        <v>9702.3324515999993</v>
      </c>
      <c r="K612" s="320">
        <v>9702.3324515999993</v>
      </c>
      <c r="L612" s="342">
        <v>9702.3324515999993</v>
      </c>
      <c r="M612" s="373">
        <v>45425</v>
      </c>
      <c r="N612" s="342">
        <f>+Table7[[#This Row],[стойност с ДДС]]-Table7[[#This Row],[направено плащане]]</f>
        <v>0</v>
      </c>
      <c r="O612" s="346"/>
    </row>
    <row r="613" spans="1:15" ht="20.100000000000001" customHeight="1" x14ac:dyDescent="0.25">
      <c r="A613" s="206" t="s">
        <v>159</v>
      </c>
      <c r="B613" s="381" t="s">
        <v>994</v>
      </c>
      <c r="C613" s="371">
        <v>45425</v>
      </c>
      <c r="D613" s="337"/>
      <c r="E613" s="347" t="s">
        <v>131</v>
      </c>
      <c r="F613" s="409" t="s">
        <v>1003</v>
      </c>
      <c r="G613" s="322"/>
      <c r="H613" s="324">
        <v>2000</v>
      </c>
      <c r="I613" s="325">
        <f>24.64427*1.9563</f>
        <v>48.211585400999994</v>
      </c>
      <c r="J613" s="325">
        <f>I613*H613</f>
        <v>96423.170801999993</v>
      </c>
      <c r="K613" s="318">
        <v>96423.170801999993</v>
      </c>
      <c r="L613" s="322">
        <v>96423.170801999993</v>
      </c>
      <c r="M613" s="371">
        <v>45428</v>
      </c>
      <c r="N613" s="322">
        <f>+Table7[[#This Row],[стойност с ДДС]]-Table7[[#This Row],[направено плащане]]</f>
        <v>0</v>
      </c>
      <c r="O613" s="327" t="s">
        <v>1044</v>
      </c>
    </row>
    <row r="614" spans="1:15" ht="20.100000000000001" customHeight="1" x14ac:dyDescent="0.25">
      <c r="A614" s="151" t="s">
        <v>159</v>
      </c>
      <c r="B614" s="378" t="s">
        <v>994</v>
      </c>
      <c r="C614" s="371">
        <v>45425</v>
      </c>
      <c r="D614" s="337"/>
      <c r="E614" s="347" t="s">
        <v>131</v>
      </c>
      <c r="F614" s="409" t="s">
        <v>1004</v>
      </c>
      <c r="G614" s="322"/>
      <c r="H614" s="324">
        <v>400</v>
      </c>
      <c r="I614" s="325">
        <f>24.59314*1.9563</f>
        <v>48.111559781999993</v>
      </c>
      <c r="J614" s="325">
        <f t="shared" ref="J614:J616" si="80">I614*H614</f>
        <v>19244.623912799998</v>
      </c>
      <c r="K614" s="318">
        <v>19244.623912799998</v>
      </c>
      <c r="L614" s="322">
        <v>19244.623912799998</v>
      </c>
      <c r="M614" s="371">
        <v>45428</v>
      </c>
      <c r="N614" s="322">
        <f>+Table7[[#This Row],[стойност с ДДС]]-Table7[[#This Row],[направено плащане]]</f>
        <v>0</v>
      </c>
      <c r="O614" s="327" t="s">
        <v>1044</v>
      </c>
    </row>
    <row r="615" spans="1:15" ht="20.100000000000001" customHeight="1" x14ac:dyDescent="0.25">
      <c r="A615" s="151" t="s">
        <v>159</v>
      </c>
      <c r="B615" s="378" t="s">
        <v>994</v>
      </c>
      <c r="C615" s="371">
        <v>45425</v>
      </c>
      <c r="D615" s="337"/>
      <c r="E615" s="347" t="s">
        <v>131</v>
      </c>
      <c r="F615" s="409" t="s">
        <v>1005</v>
      </c>
      <c r="G615" s="322"/>
      <c r="H615" s="324">
        <v>300</v>
      </c>
      <c r="I615" s="325">
        <f>24.74653*1.9563</f>
        <v>48.411636639000001</v>
      </c>
      <c r="J615" s="325">
        <f t="shared" si="80"/>
        <v>14523.4909917</v>
      </c>
      <c r="K615" s="318">
        <v>14523.4909917</v>
      </c>
      <c r="L615" s="322">
        <v>14523.4909917</v>
      </c>
      <c r="M615" s="371">
        <v>45428</v>
      </c>
      <c r="N615" s="322">
        <f>+Table7[[#This Row],[стойност с ДДС]]-Table7[[#This Row],[направено плащане]]</f>
        <v>0</v>
      </c>
      <c r="O615" s="327" t="s">
        <v>1044</v>
      </c>
    </row>
    <row r="616" spans="1:15" ht="20.100000000000001" customHeight="1" x14ac:dyDescent="0.25">
      <c r="A616" s="206" t="s">
        <v>159</v>
      </c>
      <c r="B616" s="381" t="s">
        <v>994</v>
      </c>
      <c r="C616" s="371">
        <v>45425</v>
      </c>
      <c r="D616" s="343"/>
      <c r="E616" s="347" t="s">
        <v>131</v>
      </c>
      <c r="F616" s="412" t="s">
        <v>1006</v>
      </c>
      <c r="G616" s="342"/>
      <c r="H616" s="344">
        <v>1000</v>
      </c>
      <c r="I616" s="345">
        <f>24.80277*1.9563</f>
        <v>48.521658950999999</v>
      </c>
      <c r="J616" s="345">
        <f t="shared" si="80"/>
        <v>48521.658950999998</v>
      </c>
      <c r="K616" s="320">
        <v>48521.658950999998</v>
      </c>
      <c r="L616" s="342">
        <v>48521.658950999998</v>
      </c>
      <c r="M616" s="373">
        <v>45428</v>
      </c>
      <c r="N616" s="342">
        <f>+Table7[[#This Row],[стойност с ДДС]]-Table7[[#This Row],[направено плащане]]</f>
        <v>0</v>
      </c>
      <c r="O616" s="346" t="s">
        <v>1044</v>
      </c>
    </row>
    <row r="617" spans="1:15" ht="20.100000000000001" customHeight="1" x14ac:dyDescent="0.25">
      <c r="A617" s="206" t="s">
        <v>118</v>
      </c>
      <c r="B617" s="381" t="s">
        <v>984</v>
      </c>
      <c r="C617" s="373">
        <v>45421</v>
      </c>
      <c r="D617" s="343"/>
      <c r="E617" s="347" t="s">
        <v>131</v>
      </c>
      <c r="F617" s="412" t="s">
        <v>841</v>
      </c>
      <c r="G617" s="342" t="s">
        <v>1047</v>
      </c>
      <c r="H617" s="344">
        <v>10000</v>
      </c>
      <c r="I617" s="345">
        <v>48</v>
      </c>
      <c r="J617" s="345">
        <f t="shared" ref="J617:J623" si="81">I617*H617</f>
        <v>480000</v>
      </c>
      <c r="K617" s="320">
        <f>J617*1.2</f>
        <v>576000</v>
      </c>
      <c r="L617" s="342"/>
      <c r="M617" s="373"/>
      <c r="N617" s="342">
        <f>+Table7[[#This Row],[стойност с ДДС]]-Table7[[#This Row],[направено плащане]]</f>
        <v>576000</v>
      </c>
      <c r="O617" s="346"/>
    </row>
    <row r="618" spans="1:15" ht="20.100000000000001" customHeight="1" x14ac:dyDescent="0.25">
      <c r="A618" s="206" t="s">
        <v>157</v>
      </c>
      <c r="B618" s="381" t="s">
        <v>1007</v>
      </c>
      <c r="C618" s="373">
        <v>45421</v>
      </c>
      <c r="D618" s="343"/>
      <c r="E618" s="347" t="s">
        <v>131</v>
      </c>
      <c r="F618" s="412"/>
      <c r="G618" s="342"/>
      <c r="H618" s="344">
        <v>1000</v>
      </c>
      <c r="I618" s="345">
        <v>48.65</v>
      </c>
      <c r="J618" s="345">
        <f t="shared" si="81"/>
        <v>48650</v>
      </c>
      <c r="K618" s="320">
        <f>J618*1.2</f>
        <v>58380</v>
      </c>
      <c r="L618" s="342"/>
      <c r="M618" s="373"/>
      <c r="N618" s="342">
        <f>+Table7[[#This Row],[стойност с ДДС]]-Table7[[#This Row],[направено плащане]]</f>
        <v>58380</v>
      </c>
      <c r="O618" s="346"/>
    </row>
    <row r="619" spans="1:15" ht="20.100000000000001" customHeight="1" x14ac:dyDescent="0.25">
      <c r="A619" s="206" t="s">
        <v>814</v>
      </c>
      <c r="B619" s="381" t="s">
        <v>1008</v>
      </c>
      <c r="C619" s="373">
        <v>45421</v>
      </c>
      <c r="D619" s="343"/>
      <c r="E619" s="347" t="s">
        <v>131</v>
      </c>
      <c r="F619" s="412" t="s">
        <v>1009</v>
      </c>
      <c r="G619" s="342"/>
      <c r="H619" s="344">
        <v>37</v>
      </c>
      <c r="I619" s="345">
        <v>48</v>
      </c>
      <c r="J619" s="345">
        <f t="shared" si="81"/>
        <v>1776</v>
      </c>
      <c r="K619" s="320">
        <f>J619*1.2</f>
        <v>2131.1999999999998</v>
      </c>
      <c r="L619" s="342"/>
      <c r="M619" s="373"/>
      <c r="N619" s="342">
        <f>+Table7[[#This Row],[стойност с ДДС]]-Table7[[#This Row],[направено плащане]]</f>
        <v>2131.1999999999998</v>
      </c>
      <c r="O619" s="346"/>
    </row>
    <row r="620" spans="1:15" ht="20.100000000000001" customHeight="1" x14ac:dyDescent="0.25">
      <c r="A620" s="206" t="s">
        <v>159</v>
      </c>
      <c r="B620" s="381" t="s">
        <v>1045</v>
      </c>
      <c r="C620" s="373">
        <v>45422</v>
      </c>
      <c r="D620" s="343"/>
      <c r="E620" s="347" t="s">
        <v>131</v>
      </c>
      <c r="F620" s="412" t="s">
        <v>1015</v>
      </c>
      <c r="G620" s="342"/>
      <c r="H620" s="344">
        <v>6600</v>
      </c>
      <c r="I620" s="345">
        <f>25.65*1.9563</f>
        <v>50.179094999999997</v>
      </c>
      <c r="J620" s="345">
        <f t="shared" si="81"/>
        <v>331182.027</v>
      </c>
      <c r="K620" s="320">
        <v>164752.84</v>
      </c>
      <c r="L620" s="320">
        <v>164752.84</v>
      </c>
      <c r="M620" s="373">
        <v>45428</v>
      </c>
      <c r="N620" s="342">
        <f>+Table7[[#This Row],[стойност с ДДС]]-Table7[[#This Row],[направено плащане]]</f>
        <v>0</v>
      </c>
      <c r="O620" s="346" t="s">
        <v>1044</v>
      </c>
    </row>
    <row r="621" spans="1:15" ht="20.100000000000001" customHeight="1" x14ac:dyDescent="0.25">
      <c r="A621" s="206" t="s">
        <v>1017</v>
      </c>
      <c r="B621" s="381" t="s">
        <v>1010</v>
      </c>
      <c r="C621" s="373">
        <v>45422</v>
      </c>
      <c r="D621" s="343"/>
      <c r="E621" s="347" t="s">
        <v>131</v>
      </c>
      <c r="F621" s="412" t="s">
        <v>1011</v>
      </c>
      <c r="G621" s="342"/>
      <c r="H621" s="344">
        <v>2000</v>
      </c>
      <c r="I621" s="345">
        <v>48</v>
      </c>
      <c r="J621" s="345">
        <f t="shared" si="81"/>
        <v>96000</v>
      </c>
      <c r="K621" s="320">
        <f>J621*1.2</f>
        <v>115200</v>
      </c>
      <c r="L621" s="342">
        <v>115200</v>
      </c>
      <c r="M621" s="373">
        <v>45427</v>
      </c>
      <c r="N621" s="342">
        <f>+Table7[[#This Row],[стойност с ДДС]]-Table7[[#This Row],[направено плащане]]</f>
        <v>0</v>
      </c>
      <c r="O621" s="346"/>
    </row>
    <row r="622" spans="1:15" ht="20.100000000000001" customHeight="1" x14ac:dyDescent="0.25">
      <c r="A622" s="206" t="s">
        <v>118</v>
      </c>
      <c r="B622" s="381" t="s">
        <v>1012</v>
      </c>
      <c r="C622" s="373">
        <v>45425</v>
      </c>
      <c r="D622" s="343"/>
      <c r="E622" s="347" t="s">
        <v>131</v>
      </c>
      <c r="F622" s="412" t="s">
        <v>1013</v>
      </c>
      <c r="G622" s="342" t="s">
        <v>1046</v>
      </c>
      <c r="H622" s="344">
        <v>5500</v>
      </c>
      <c r="I622" s="345">
        <v>48.7</v>
      </c>
      <c r="J622" s="345">
        <f t="shared" si="81"/>
        <v>267850</v>
      </c>
      <c r="K622" s="320">
        <f>J622*1.2</f>
        <v>321420</v>
      </c>
      <c r="L622" s="342">
        <v>321420</v>
      </c>
      <c r="M622" s="373">
        <v>45428</v>
      </c>
      <c r="N622" s="342">
        <f>+Table7[[#This Row],[стойност с ДДС]]-Table7[[#This Row],[направено плащане]]</f>
        <v>0</v>
      </c>
      <c r="O622" s="346"/>
    </row>
    <row r="623" spans="1:15" ht="20.100000000000001" customHeight="1" x14ac:dyDescent="0.25">
      <c r="A623" s="206" t="s">
        <v>159</v>
      </c>
      <c r="B623" s="381" t="s">
        <v>1014</v>
      </c>
      <c r="C623" s="373">
        <v>45425</v>
      </c>
      <c r="D623" s="343"/>
      <c r="E623" s="347" t="s">
        <v>131</v>
      </c>
      <c r="F623" s="412" t="s">
        <v>1015</v>
      </c>
      <c r="G623" s="342"/>
      <c r="H623" s="344">
        <v>3500</v>
      </c>
      <c r="I623" s="345">
        <f>24.9*1.9563</f>
        <v>48.711869999999998</v>
      </c>
      <c r="J623" s="345">
        <f t="shared" si="81"/>
        <v>170491.54499999998</v>
      </c>
      <c r="K623" s="320">
        <v>170491.54499999998</v>
      </c>
      <c r="L623" s="342"/>
      <c r="M623" s="373"/>
      <c r="N623" s="342">
        <f>+Table7[[#This Row],[стойност с ДДС]]-Table7[[#This Row],[направено плащане]]</f>
        <v>170491.54499999998</v>
      </c>
      <c r="O623" s="346"/>
    </row>
    <row r="624" spans="1:15" ht="20.100000000000001" customHeight="1" x14ac:dyDescent="0.3">
      <c r="A624" s="206" t="s">
        <v>780</v>
      </c>
      <c r="B624" s="381" t="s">
        <v>1016</v>
      </c>
      <c r="C624" s="373">
        <v>45425</v>
      </c>
      <c r="D624" s="343"/>
      <c r="E624" s="332" t="s">
        <v>422</v>
      </c>
      <c r="F624" s="412"/>
      <c r="G624" s="342"/>
      <c r="H624" s="344"/>
      <c r="I624" s="345"/>
      <c r="J624" s="345"/>
      <c r="K624" s="320">
        <v>35</v>
      </c>
      <c r="L624" s="342">
        <v>35</v>
      </c>
      <c r="M624" s="373">
        <v>45427</v>
      </c>
      <c r="N624" s="342">
        <f>+Table7[[#This Row],[стойност с ДДС]]-Table7[[#This Row],[направено плащане]]</f>
        <v>0</v>
      </c>
      <c r="O624" s="346"/>
    </row>
    <row r="625" spans="1:15" ht="20.100000000000001" customHeight="1" x14ac:dyDescent="0.25">
      <c r="A625" s="206" t="s">
        <v>1017</v>
      </c>
      <c r="B625" s="381" t="s">
        <v>1018</v>
      </c>
      <c r="C625" s="373">
        <v>45427</v>
      </c>
      <c r="D625" s="343"/>
      <c r="E625" s="347" t="s">
        <v>131</v>
      </c>
      <c r="F625" s="412" t="s">
        <v>1019</v>
      </c>
      <c r="G625" s="342"/>
      <c r="H625" s="344">
        <v>1000</v>
      </c>
      <c r="I625" s="345">
        <v>48.5</v>
      </c>
      <c r="J625" s="345">
        <f>I625*H625</f>
        <v>48500</v>
      </c>
      <c r="K625" s="320">
        <f>J625*1.2</f>
        <v>58200</v>
      </c>
      <c r="L625" s="342"/>
      <c r="M625" s="373"/>
      <c r="N625" s="342">
        <f>+Table7[[#This Row],[стойност с ДДС]]-Table7[[#This Row],[направено плащане]]</f>
        <v>58200</v>
      </c>
      <c r="O625" s="346"/>
    </row>
    <row r="626" spans="1:15" ht="20.100000000000001" customHeight="1" x14ac:dyDescent="0.3">
      <c r="A626" s="206" t="s">
        <v>914</v>
      </c>
      <c r="B626" s="381" t="s">
        <v>1020</v>
      </c>
      <c r="C626" s="373">
        <v>45425</v>
      </c>
      <c r="D626" s="343"/>
      <c r="E626" s="323" t="s">
        <v>263</v>
      </c>
      <c r="F626" s="412"/>
      <c r="G626" s="342">
        <v>45413</v>
      </c>
      <c r="H626" s="344">
        <v>1</v>
      </c>
      <c r="I626" s="345"/>
      <c r="J626" s="345" t="s">
        <v>1039</v>
      </c>
      <c r="K626" s="320">
        <v>38.840000000000003</v>
      </c>
      <c r="L626" s="342">
        <v>38.840000000000003</v>
      </c>
      <c r="M626" s="373">
        <v>45428</v>
      </c>
      <c r="N626" s="342">
        <f>+Table7[[#This Row],[стойност с ДДС]]-Table7[[#This Row],[направено плащане]]</f>
        <v>0</v>
      </c>
      <c r="O626" s="346"/>
    </row>
    <row r="627" spans="1:15" ht="20.100000000000001" customHeight="1" x14ac:dyDescent="0.25">
      <c r="A627" s="206" t="s">
        <v>231</v>
      </c>
      <c r="B627" s="381" t="s">
        <v>1021</v>
      </c>
      <c r="C627" s="373">
        <v>45426</v>
      </c>
      <c r="D627" s="343"/>
      <c r="E627" s="347" t="s">
        <v>131</v>
      </c>
      <c r="F627" s="412"/>
      <c r="G627" s="342"/>
      <c r="H627" s="344">
        <v>1550</v>
      </c>
      <c r="I627" s="345">
        <v>47.9</v>
      </c>
      <c r="J627" s="345">
        <f t="shared" ref="J627:J640" si="82">I627*H627</f>
        <v>74245</v>
      </c>
      <c r="K627" s="320">
        <f>J627*1.2</f>
        <v>89094</v>
      </c>
      <c r="L627" s="342"/>
      <c r="M627" s="373"/>
      <c r="N627" s="342">
        <f>+Table7[[#This Row],[стойност с ДДС]]-Table7[[#This Row],[направено плащане]]</f>
        <v>89094</v>
      </c>
      <c r="O627" s="346"/>
    </row>
    <row r="628" spans="1:15" ht="20.100000000000001" customHeight="1" x14ac:dyDescent="0.25">
      <c r="A628" s="206" t="s">
        <v>159</v>
      </c>
      <c r="B628" s="381" t="s">
        <v>1022</v>
      </c>
      <c r="C628" s="373">
        <v>45426</v>
      </c>
      <c r="D628" s="343"/>
      <c r="E628" s="347" t="s">
        <v>131</v>
      </c>
      <c r="F628" s="412" t="s">
        <v>1041</v>
      </c>
      <c r="G628" s="342"/>
      <c r="H628" s="344">
        <v>2100</v>
      </c>
      <c r="I628" s="345">
        <f>24.80277*1.9563</f>
        <v>48.521658950999999</v>
      </c>
      <c r="J628" s="345">
        <f t="shared" si="82"/>
        <v>101895.48379709999</v>
      </c>
      <c r="K628" s="320">
        <f>+Table7[[#This Row],[стойност]]+0.01</f>
        <v>101895.49379709999</v>
      </c>
      <c r="L628" s="342">
        <v>101895.49</v>
      </c>
      <c r="M628" s="373">
        <v>45429</v>
      </c>
      <c r="N628" s="342">
        <f>+Table7[[#This Row],[стойност с ДДС]]-Table7[[#This Row],[направено плащане]]</f>
        <v>3.7970999837853014E-3</v>
      </c>
      <c r="O628" s="346"/>
    </row>
    <row r="629" spans="1:15" ht="20.100000000000001" customHeight="1" x14ac:dyDescent="0.25">
      <c r="A629" s="206" t="s">
        <v>1017</v>
      </c>
      <c r="B629" s="381" t="s">
        <v>1023</v>
      </c>
      <c r="C629" s="373">
        <v>45425</v>
      </c>
      <c r="D629" s="343"/>
      <c r="E629" s="347" t="s">
        <v>131</v>
      </c>
      <c r="F629" s="412" t="s">
        <v>1024</v>
      </c>
      <c r="G629" s="342"/>
      <c r="H629" s="344">
        <v>1000</v>
      </c>
      <c r="I629" s="345">
        <v>48.51</v>
      </c>
      <c r="J629" s="345">
        <f t="shared" si="82"/>
        <v>48510</v>
      </c>
      <c r="K629" s="320">
        <f t="shared" ref="K629:K640" si="83">J629*1.2</f>
        <v>58212</v>
      </c>
      <c r="L629" s="342"/>
      <c r="M629" s="373"/>
      <c r="N629" s="342">
        <f>+Table7[[#This Row],[стойност с ДДС]]-Table7[[#This Row],[направено плащане]]</f>
        <v>58212</v>
      </c>
      <c r="O629" s="346"/>
    </row>
    <row r="630" spans="1:15" ht="20.100000000000001" customHeight="1" x14ac:dyDescent="0.25">
      <c r="A630" s="206" t="s">
        <v>153</v>
      </c>
      <c r="B630" s="381" t="s">
        <v>1025</v>
      </c>
      <c r="C630" s="373">
        <v>45425</v>
      </c>
      <c r="D630" s="343"/>
      <c r="E630" s="347" t="s">
        <v>131</v>
      </c>
      <c r="F630" s="412" t="s">
        <v>1026</v>
      </c>
      <c r="G630" s="342"/>
      <c r="H630" s="344">
        <v>700</v>
      </c>
      <c r="I630" s="345">
        <v>48.51</v>
      </c>
      <c r="J630" s="345">
        <f t="shared" si="82"/>
        <v>33957</v>
      </c>
      <c r="K630" s="320">
        <f t="shared" si="83"/>
        <v>40748.400000000001</v>
      </c>
      <c r="L630" s="342">
        <v>40748.400000000001</v>
      </c>
      <c r="M630" s="373">
        <v>45429</v>
      </c>
      <c r="N630" s="342">
        <f>+Table7[[#This Row],[стойност с ДДС]]-Table7[[#This Row],[направено плащане]]</f>
        <v>0</v>
      </c>
      <c r="O630" s="346"/>
    </row>
    <row r="631" spans="1:15" ht="20.100000000000001" customHeight="1" x14ac:dyDescent="0.25">
      <c r="A631" s="206" t="s">
        <v>37</v>
      </c>
      <c r="B631" s="381" t="s">
        <v>1027</v>
      </c>
      <c r="C631" s="373">
        <v>45425</v>
      </c>
      <c r="D631" s="343"/>
      <c r="E631" s="347" t="s">
        <v>131</v>
      </c>
      <c r="F631" s="412" t="s">
        <v>1028</v>
      </c>
      <c r="G631" s="342"/>
      <c r="H631" s="344">
        <v>400</v>
      </c>
      <c r="I631" s="345">
        <v>48.51</v>
      </c>
      <c r="J631" s="345">
        <f t="shared" si="82"/>
        <v>19404</v>
      </c>
      <c r="K631" s="320">
        <f t="shared" si="83"/>
        <v>23284.799999999999</v>
      </c>
      <c r="L631" s="342">
        <v>23284.799999999999</v>
      </c>
      <c r="M631" s="373">
        <v>45428</v>
      </c>
      <c r="N631" s="342">
        <f>+Table7[[#This Row],[стойност с ДДС]]-Table7[[#This Row],[направено плащане]]</f>
        <v>0</v>
      </c>
      <c r="O631" s="346"/>
    </row>
    <row r="632" spans="1:15" ht="20.100000000000001" customHeight="1" x14ac:dyDescent="0.25">
      <c r="A632" s="206" t="s">
        <v>157</v>
      </c>
      <c r="B632" s="381" t="s">
        <v>1029</v>
      </c>
      <c r="C632" s="373">
        <v>45425</v>
      </c>
      <c r="D632" s="343"/>
      <c r="E632" s="347" t="s">
        <v>131</v>
      </c>
      <c r="F632" s="412"/>
      <c r="G632" s="342"/>
      <c r="H632" s="344">
        <v>60</v>
      </c>
      <c r="I632" s="345">
        <v>49</v>
      </c>
      <c r="J632" s="345">
        <f t="shared" si="82"/>
        <v>2940</v>
      </c>
      <c r="K632" s="320">
        <f t="shared" si="83"/>
        <v>3528</v>
      </c>
      <c r="L632" s="342">
        <v>3528</v>
      </c>
      <c r="M632" s="373">
        <v>45428</v>
      </c>
      <c r="N632" s="342">
        <f>+Table7[[#This Row],[стойност с ДДС]]-Table7[[#This Row],[направено плащане]]</f>
        <v>0</v>
      </c>
      <c r="O632" s="346"/>
    </row>
    <row r="633" spans="1:15" ht="20.100000000000001" customHeight="1" x14ac:dyDescent="0.25">
      <c r="A633" s="206" t="s">
        <v>268</v>
      </c>
      <c r="B633" s="381" t="s">
        <v>1030</v>
      </c>
      <c r="C633" s="373">
        <v>45425</v>
      </c>
      <c r="D633" s="343"/>
      <c r="E633" s="347" t="s">
        <v>131</v>
      </c>
      <c r="F633" s="412" t="s">
        <v>1042</v>
      </c>
      <c r="G633" s="342"/>
      <c r="H633" s="344">
        <v>50</v>
      </c>
      <c r="I633" s="345">
        <v>46.5</v>
      </c>
      <c r="J633" s="345">
        <f t="shared" si="82"/>
        <v>2325</v>
      </c>
      <c r="K633" s="320">
        <f t="shared" si="83"/>
        <v>2790</v>
      </c>
      <c r="L633" s="342">
        <v>2790</v>
      </c>
      <c r="M633" s="373">
        <v>45429</v>
      </c>
      <c r="N633" s="342">
        <f>+Table7[[#This Row],[стойност с ДДС]]-Table7[[#This Row],[направено плащане]]</f>
        <v>0</v>
      </c>
      <c r="O633" s="346"/>
    </row>
    <row r="634" spans="1:15" ht="20.100000000000001" customHeight="1" x14ac:dyDescent="0.25">
      <c r="A634" s="206" t="s">
        <v>153</v>
      </c>
      <c r="B634" s="381" t="s">
        <v>1032</v>
      </c>
      <c r="C634" s="373" t="s">
        <v>1031</v>
      </c>
      <c r="D634" s="343"/>
      <c r="E634" s="347" t="s">
        <v>131</v>
      </c>
      <c r="F634" s="412" t="s">
        <v>1033</v>
      </c>
      <c r="G634" s="342"/>
      <c r="H634" s="344">
        <v>1000</v>
      </c>
      <c r="I634" s="345">
        <v>48.3</v>
      </c>
      <c r="J634" s="345">
        <f t="shared" si="82"/>
        <v>48300</v>
      </c>
      <c r="K634" s="320">
        <f t="shared" si="83"/>
        <v>57960</v>
      </c>
      <c r="L634" s="342"/>
      <c r="M634" s="373"/>
      <c r="N634" s="342">
        <f>+Table7[[#This Row],[стойност с ДДС]]-Table7[[#This Row],[направено плащане]]</f>
        <v>57960</v>
      </c>
      <c r="O634" s="346"/>
    </row>
    <row r="635" spans="1:15" ht="20.100000000000001" customHeight="1" x14ac:dyDescent="0.25">
      <c r="A635" s="206" t="s">
        <v>159</v>
      </c>
      <c r="B635" s="378"/>
      <c r="C635" s="371"/>
      <c r="D635" s="337"/>
      <c r="E635" s="347" t="s">
        <v>131</v>
      </c>
      <c r="F635" s="409"/>
      <c r="G635" s="322" t="s">
        <v>1049</v>
      </c>
      <c r="H635" s="324">
        <v>10500</v>
      </c>
      <c r="I635" s="325">
        <v>48.8</v>
      </c>
      <c r="J635" s="325">
        <f>I635*H635</f>
        <v>512399.99999999994</v>
      </c>
      <c r="K635" s="318">
        <f>J635*1.2</f>
        <v>614879.99999999988</v>
      </c>
      <c r="L635" s="322"/>
      <c r="M635" s="371"/>
      <c r="N635" s="322">
        <f>+Table7[[#This Row],[стойност с ДДС]]-Table7[[#This Row],[направено плащане]]</f>
        <v>614879.99999999988</v>
      </c>
      <c r="O635" s="327"/>
    </row>
    <row r="636" spans="1:15" ht="20.100000000000001" customHeight="1" x14ac:dyDescent="0.25">
      <c r="A636" s="206" t="s">
        <v>159</v>
      </c>
      <c r="B636" s="378" t="s">
        <v>1067</v>
      </c>
      <c r="C636" s="371">
        <v>45426</v>
      </c>
      <c r="D636" s="337"/>
      <c r="E636" s="347" t="s">
        <v>131</v>
      </c>
      <c r="F636" s="409" t="s">
        <v>1068</v>
      </c>
      <c r="G636" s="322"/>
      <c r="H636" s="324">
        <v>1700</v>
      </c>
      <c r="I636" s="325">
        <f>24.74653*1.9563</f>
        <v>48.411636639000001</v>
      </c>
      <c r="J636" s="325">
        <f>I636*H636</f>
        <v>82299.782286300004</v>
      </c>
      <c r="K636" s="318">
        <f>J636*1.2</f>
        <v>98759.738743559996</v>
      </c>
      <c r="L636" s="322">
        <v>98759.738743559996</v>
      </c>
      <c r="M636" s="371"/>
      <c r="N636" s="322">
        <f>+Table7[[#This Row],[стойност с ДДС]]-Table7[[#This Row],[направено плащане]]</f>
        <v>0</v>
      </c>
      <c r="O636" s="327"/>
    </row>
    <row r="637" spans="1:15" ht="20.100000000000001" customHeight="1" x14ac:dyDescent="0.25">
      <c r="A637" s="151" t="s">
        <v>159</v>
      </c>
      <c r="B637" s="378" t="s">
        <v>1067</v>
      </c>
      <c r="C637" s="371">
        <v>45426</v>
      </c>
      <c r="D637" s="337"/>
      <c r="E637" s="328" t="s">
        <v>131</v>
      </c>
      <c r="F637" s="409" t="s">
        <v>1069</v>
      </c>
      <c r="G637" s="322"/>
      <c r="H637" s="324">
        <v>43</v>
      </c>
      <c r="I637" s="325">
        <f>24.6954*1.9563</f>
        <v>48.311611019999994</v>
      </c>
      <c r="J637" s="325">
        <f>I637*H637</f>
        <v>2077.3992738599995</v>
      </c>
      <c r="K637" s="318">
        <f>J637*1.2</f>
        <v>2492.8791286319993</v>
      </c>
      <c r="L637" s="322">
        <v>2492.8791286319993</v>
      </c>
      <c r="M637" s="371"/>
      <c r="N637" s="322">
        <f>+Table7[[#This Row],[стойност с ДДС]]-Table7[[#This Row],[направено плащане]]</f>
        <v>0</v>
      </c>
      <c r="O637" s="327"/>
    </row>
    <row r="638" spans="1:15" ht="20.100000000000001" customHeight="1" x14ac:dyDescent="0.25">
      <c r="A638" s="206" t="s">
        <v>101</v>
      </c>
      <c r="B638" s="388" t="s">
        <v>1034</v>
      </c>
      <c r="C638" s="373">
        <v>45426</v>
      </c>
      <c r="D638" s="343"/>
      <c r="E638" s="347" t="s">
        <v>131</v>
      </c>
      <c r="F638" s="412" t="s">
        <v>1035</v>
      </c>
      <c r="G638" s="342"/>
      <c r="H638" s="344">
        <v>100</v>
      </c>
      <c r="I638" s="345">
        <v>48.5</v>
      </c>
      <c r="J638" s="345">
        <f t="shared" si="82"/>
        <v>4850</v>
      </c>
      <c r="K638" s="320">
        <f t="shared" si="83"/>
        <v>5820</v>
      </c>
      <c r="L638" s="342">
        <v>5820</v>
      </c>
      <c r="M638" s="373">
        <v>45429</v>
      </c>
      <c r="N638" s="342">
        <f>+Table7[[#This Row],[стойност с ДДС]]-Table7[[#This Row],[направено плащане]]</f>
        <v>0</v>
      </c>
      <c r="O638" s="346"/>
    </row>
    <row r="639" spans="1:15" ht="20.100000000000001" customHeight="1" x14ac:dyDescent="0.25">
      <c r="A639" s="206" t="s">
        <v>118</v>
      </c>
      <c r="B639" s="381" t="s">
        <v>1036</v>
      </c>
      <c r="C639" s="373">
        <v>45426</v>
      </c>
      <c r="D639" s="343"/>
      <c r="E639" s="347" t="s">
        <v>131</v>
      </c>
      <c r="F639" s="412" t="s">
        <v>1037</v>
      </c>
      <c r="G639" s="342"/>
      <c r="H639" s="344">
        <v>100</v>
      </c>
      <c r="I639" s="345">
        <v>47.1</v>
      </c>
      <c r="J639" s="345">
        <f t="shared" si="82"/>
        <v>4710</v>
      </c>
      <c r="K639" s="320">
        <f t="shared" si="83"/>
        <v>5652</v>
      </c>
      <c r="L639" s="342"/>
      <c r="M639" s="373"/>
      <c r="N639" s="342">
        <f>+Table7[[#This Row],[стойност с ДДС]]-Table7[[#This Row],[направено плащане]]</f>
        <v>5652</v>
      </c>
      <c r="O639" s="346"/>
    </row>
    <row r="640" spans="1:15" ht="20.100000000000001" customHeight="1" x14ac:dyDescent="0.25">
      <c r="A640" s="206" t="s">
        <v>1017</v>
      </c>
      <c r="B640" s="381" t="s">
        <v>1038</v>
      </c>
      <c r="C640" s="373">
        <v>45425</v>
      </c>
      <c r="D640" s="343"/>
      <c r="E640" s="347" t="s">
        <v>131</v>
      </c>
      <c r="F640" s="412" t="s">
        <v>1024</v>
      </c>
      <c r="G640" s="342"/>
      <c r="H640" s="344">
        <v>1000</v>
      </c>
      <c r="I640" s="345">
        <v>48.51</v>
      </c>
      <c r="J640" s="345">
        <f t="shared" si="82"/>
        <v>48510</v>
      </c>
      <c r="K640" s="320">
        <f t="shared" si="83"/>
        <v>58212</v>
      </c>
      <c r="L640" s="342">
        <v>58212</v>
      </c>
      <c r="M640" s="373">
        <v>45428</v>
      </c>
      <c r="N640" s="342">
        <f>+Table7[[#This Row],[стойност с ДДС]]-Table7[[#This Row],[направено плащане]]</f>
        <v>0</v>
      </c>
      <c r="O640" s="346"/>
    </row>
    <row r="641" spans="1:15" ht="20.100000000000001" customHeight="1" x14ac:dyDescent="0.25">
      <c r="A641" s="151" t="s">
        <v>159</v>
      </c>
      <c r="B641" s="378"/>
      <c r="C641" s="371"/>
      <c r="D641" s="337"/>
      <c r="E641" s="328"/>
      <c r="F641" s="409"/>
      <c r="G641" s="322" t="s">
        <v>1048</v>
      </c>
      <c r="H641" s="324">
        <v>14000</v>
      </c>
      <c r="I641" s="325">
        <v>48.5</v>
      </c>
      <c r="J641" s="325">
        <f t="shared" ref="J641:J648" si="84">I641*H641</f>
        <v>679000</v>
      </c>
      <c r="K641" s="318">
        <f>J641*1.2</f>
        <v>814800</v>
      </c>
      <c r="L641" s="322"/>
      <c r="M641" s="371"/>
      <c r="N641" s="322">
        <f>+Table7[[#This Row],[стойност с ДДС]]-Table7[[#This Row],[направено плащане]]</f>
        <v>814800</v>
      </c>
      <c r="O641" s="327"/>
    </row>
    <row r="642" spans="1:15" ht="20.100000000000001" customHeight="1" x14ac:dyDescent="0.25">
      <c r="A642" s="151" t="s">
        <v>159</v>
      </c>
      <c r="B642" s="378"/>
      <c r="C642" s="371"/>
      <c r="D642" s="337"/>
      <c r="E642" s="328"/>
      <c r="F642" s="409"/>
      <c r="G642" s="322" t="s">
        <v>1050</v>
      </c>
      <c r="H642" s="324">
        <v>8500</v>
      </c>
      <c r="I642" s="325">
        <v>48.8</v>
      </c>
      <c r="J642" s="325">
        <f t="shared" si="84"/>
        <v>414800</v>
      </c>
      <c r="K642" s="318">
        <f>J642*1.2</f>
        <v>497760</v>
      </c>
      <c r="L642" s="322"/>
      <c r="M642" s="371"/>
      <c r="N642" s="322">
        <f>+Table7[[#This Row],[стойност с ДДС]]-Table7[[#This Row],[направено плащане]]</f>
        <v>497760</v>
      </c>
      <c r="O642" s="327"/>
    </row>
    <row r="643" spans="1:15" ht="20.100000000000001" customHeight="1" x14ac:dyDescent="0.25">
      <c r="A643" s="151" t="s">
        <v>153</v>
      </c>
      <c r="B643" s="378" t="s">
        <v>1071</v>
      </c>
      <c r="C643" s="371">
        <v>45427</v>
      </c>
      <c r="D643" s="337"/>
      <c r="E643" s="328" t="s">
        <v>131</v>
      </c>
      <c r="F643" s="409" t="s">
        <v>1051</v>
      </c>
      <c r="G643" s="322"/>
      <c r="H643" s="324">
        <v>450</v>
      </c>
      <c r="I643" s="325">
        <v>48.5</v>
      </c>
      <c r="J643" s="325">
        <f t="shared" si="84"/>
        <v>21825</v>
      </c>
      <c r="K643" s="318">
        <f>J643*1.2</f>
        <v>26190</v>
      </c>
      <c r="L643" s="322">
        <v>26190</v>
      </c>
      <c r="M643" s="371">
        <v>45433</v>
      </c>
      <c r="N643" s="322">
        <f>+Table7[[#This Row],[стойност с ДДС]]-Table7[[#This Row],[направено плащане]]</f>
        <v>0</v>
      </c>
      <c r="O643" s="327"/>
    </row>
    <row r="644" spans="1:15" ht="20.100000000000001" customHeight="1" x14ac:dyDescent="0.3">
      <c r="A644" s="151" t="s">
        <v>838</v>
      </c>
      <c r="B644" s="378" t="s">
        <v>1052</v>
      </c>
      <c r="C644" s="371"/>
      <c r="D644" s="337"/>
      <c r="E644" s="332" t="s">
        <v>422</v>
      </c>
      <c r="F644" s="409"/>
      <c r="G644" s="322"/>
      <c r="H644" s="324"/>
      <c r="I644" s="325"/>
      <c r="J644" s="325">
        <f t="shared" si="84"/>
        <v>0</v>
      </c>
      <c r="K644" s="318">
        <v>315.37</v>
      </c>
      <c r="L644" s="322">
        <v>315.37</v>
      </c>
      <c r="M644" s="371">
        <v>45433</v>
      </c>
      <c r="N644" s="322">
        <f>+Table7[[#This Row],[стойност с ДДС]]-Table7[[#This Row],[направено плащане]]</f>
        <v>0</v>
      </c>
      <c r="O644" s="327"/>
    </row>
    <row r="645" spans="1:15" ht="20.100000000000001" customHeight="1" x14ac:dyDescent="0.25">
      <c r="A645" s="151" t="s">
        <v>159</v>
      </c>
      <c r="B645" s="378" t="s">
        <v>1174</v>
      </c>
      <c r="C645" s="371">
        <v>45427</v>
      </c>
      <c r="D645" s="337"/>
      <c r="E645" s="328" t="s">
        <v>131</v>
      </c>
      <c r="F645" s="409" t="s">
        <v>1066</v>
      </c>
      <c r="G645" s="322"/>
      <c r="H645" s="324">
        <v>1300</v>
      </c>
      <c r="I645" s="325">
        <f>24.79766*1.9563</f>
        <v>48.511662258000001</v>
      </c>
      <c r="J645" s="325">
        <f t="shared" si="84"/>
        <v>63065.160935400003</v>
      </c>
      <c r="K645" s="318">
        <v>63065.160935400003</v>
      </c>
      <c r="L645" s="322">
        <v>63065.160935400003</v>
      </c>
      <c r="M645" s="371">
        <v>45433</v>
      </c>
      <c r="N645" s="322">
        <f>+Table7[[#This Row],[стойност с ДДС]]-Table7[[#This Row],[направено плащане]]</f>
        <v>0</v>
      </c>
      <c r="O645" s="327"/>
    </row>
    <row r="646" spans="1:15" ht="20.100000000000001" customHeight="1" x14ac:dyDescent="0.25">
      <c r="A646" s="151" t="s">
        <v>159</v>
      </c>
      <c r="B646" s="378" t="s">
        <v>1174</v>
      </c>
      <c r="C646" s="371">
        <v>45427</v>
      </c>
      <c r="D646" s="337"/>
      <c r="E646" s="328" t="s">
        <v>131</v>
      </c>
      <c r="F646" s="409" t="s">
        <v>1065</v>
      </c>
      <c r="G646" s="322"/>
      <c r="H646" s="324">
        <v>50</v>
      </c>
      <c r="I646" s="325">
        <f>24.72096*1.9563</f>
        <v>48.361614048</v>
      </c>
      <c r="J646" s="325">
        <f t="shared" si="84"/>
        <v>2418.0807024000001</v>
      </c>
      <c r="K646" s="318">
        <v>2418.0807024000001</v>
      </c>
      <c r="L646" s="322">
        <v>2418.0807024000001</v>
      </c>
      <c r="M646" s="371">
        <v>45433</v>
      </c>
      <c r="N646" s="322">
        <f>+Table7[[#This Row],[стойност с ДДС]]-Table7[[#This Row],[направено плащане]]</f>
        <v>0</v>
      </c>
      <c r="O646" s="350"/>
    </row>
    <row r="647" spans="1:15" ht="20.100000000000001" customHeight="1" x14ac:dyDescent="0.25">
      <c r="A647" s="151" t="s">
        <v>159</v>
      </c>
      <c r="B647" s="378" t="s">
        <v>1053</v>
      </c>
      <c r="C647" s="371">
        <v>45427</v>
      </c>
      <c r="D647" s="337"/>
      <c r="E647" s="328" t="s">
        <v>131</v>
      </c>
      <c r="F647" s="409" t="s">
        <v>1054</v>
      </c>
      <c r="G647" s="322"/>
      <c r="H647" s="324">
        <v>4800</v>
      </c>
      <c r="I647" s="325">
        <v>48.51</v>
      </c>
      <c r="J647" s="325">
        <f t="shared" si="84"/>
        <v>232848</v>
      </c>
      <c r="K647" s="318">
        <v>232855.98</v>
      </c>
      <c r="L647" s="322">
        <v>232855.98</v>
      </c>
      <c r="M647" s="371">
        <v>45433</v>
      </c>
      <c r="N647" s="322">
        <f>+Table7[[#This Row],[стойност с ДДС]]-Table7[[#This Row],[направено плащане]]</f>
        <v>0</v>
      </c>
      <c r="O647" s="350"/>
    </row>
    <row r="648" spans="1:15" ht="20.100000000000001" customHeight="1" x14ac:dyDescent="0.25">
      <c r="A648" s="151" t="s">
        <v>159</v>
      </c>
      <c r="B648" s="378" t="s">
        <v>1173</v>
      </c>
      <c r="C648" s="371">
        <v>45427</v>
      </c>
      <c r="D648" s="337"/>
      <c r="E648" s="328" t="s">
        <v>131</v>
      </c>
      <c r="F648" s="411" t="s">
        <v>1070</v>
      </c>
      <c r="G648" s="322" t="s">
        <v>1015</v>
      </c>
      <c r="H648" s="324">
        <v>6000</v>
      </c>
      <c r="I648" s="325">
        <f>26.65*1.9563</f>
        <v>52.135394999999995</v>
      </c>
      <c r="J648" s="325">
        <f t="shared" si="84"/>
        <v>312812.37</v>
      </c>
      <c r="K648" s="318">
        <v>312812.37</v>
      </c>
      <c r="L648" s="327"/>
      <c r="M648" s="371"/>
      <c r="N648" s="322">
        <f>+Table7[[#This Row],[стойност с ДДС]]-Table7[[#This Row],[направено плащане]]</f>
        <v>312812.37</v>
      </c>
      <c r="O648" s="423"/>
    </row>
    <row r="649" spans="1:15" ht="20.100000000000001" customHeight="1" x14ac:dyDescent="0.25">
      <c r="A649" s="151" t="s">
        <v>159</v>
      </c>
      <c r="B649" s="383" t="s">
        <v>1173</v>
      </c>
      <c r="C649" s="375">
        <v>45427</v>
      </c>
      <c r="D649" s="330"/>
      <c r="E649" s="328" t="s">
        <v>131</v>
      </c>
      <c r="F649" s="411"/>
      <c r="G649" s="327"/>
      <c r="H649" s="324"/>
      <c r="I649" s="325"/>
      <c r="J649" s="351"/>
      <c r="K649" s="322"/>
      <c r="L649" s="327"/>
      <c r="M649" s="371"/>
      <c r="N649" s="322">
        <f>+Table7[[#This Row],[стойност с ДДС]]-Table7[[#This Row],[направено плащане]]</f>
        <v>0</v>
      </c>
      <c r="O649" s="423"/>
    </row>
    <row r="650" spans="1:15" ht="20.100000000000001" customHeight="1" x14ac:dyDescent="0.3">
      <c r="A650" s="151" t="s">
        <v>159</v>
      </c>
      <c r="B650" s="378" t="s">
        <v>1176</v>
      </c>
      <c r="C650" s="375">
        <v>45427</v>
      </c>
      <c r="D650" s="330"/>
      <c r="E650" s="328" t="s">
        <v>131</v>
      </c>
      <c r="F650" s="411" t="s">
        <v>1070</v>
      </c>
      <c r="G650" s="322" t="s">
        <v>1015</v>
      </c>
      <c r="H650" s="324">
        <v>5000</v>
      </c>
      <c r="I650" s="424">
        <f>24.95*1.95</f>
        <v>48.652499999999996</v>
      </c>
      <c r="J650" s="325">
        <f t="shared" ref="J650:J669" si="85">I650*H650</f>
        <v>243262.49999999997</v>
      </c>
      <c r="K650" s="322">
        <v>243262.49999999997</v>
      </c>
      <c r="L650" s="327"/>
      <c r="M650" s="371"/>
      <c r="N650" s="322">
        <f>+Table7[[#This Row],[стойност с ДДС]]-Table7[[#This Row],[направено плащане]]</f>
        <v>243262.49999999997</v>
      </c>
      <c r="O650" s="425"/>
    </row>
    <row r="651" spans="1:15" ht="20.100000000000001" customHeight="1" x14ac:dyDescent="0.25">
      <c r="A651" s="151" t="s">
        <v>159</v>
      </c>
      <c r="B651" s="378" t="s">
        <v>1175</v>
      </c>
      <c r="C651" s="371">
        <v>45427</v>
      </c>
      <c r="D651" s="337"/>
      <c r="E651" s="328" t="s">
        <v>131</v>
      </c>
      <c r="F651" s="409" t="s">
        <v>1073</v>
      </c>
      <c r="G651" s="322"/>
      <c r="H651" s="324">
        <v>1000</v>
      </c>
      <c r="I651" s="325">
        <f>24.79766*1.9563</f>
        <v>48.511662258000001</v>
      </c>
      <c r="J651" s="325">
        <f t="shared" si="85"/>
        <v>48511.662258000004</v>
      </c>
      <c r="K651" s="318">
        <f>+Table7[[#This Row],[стойност]]</f>
        <v>48511.662258000004</v>
      </c>
      <c r="L651" s="322">
        <v>48511.662258000004</v>
      </c>
      <c r="M651" s="371">
        <v>45453</v>
      </c>
      <c r="N651" s="322">
        <f>+Table7[[#This Row],[стойност с ДДС]]-Table7[[#This Row],[направено плащане]]</f>
        <v>0</v>
      </c>
      <c r="O651" s="327"/>
    </row>
    <row r="652" spans="1:15" ht="20.100000000000001" customHeight="1" x14ac:dyDescent="0.25">
      <c r="A652" s="151" t="s">
        <v>159</v>
      </c>
      <c r="B652" s="378" t="s">
        <v>1175</v>
      </c>
      <c r="C652" s="371">
        <v>45427</v>
      </c>
      <c r="D652" s="337"/>
      <c r="E652" s="328" t="s">
        <v>131</v>
      </c>
      <c r="F652" s="409" t="s">
        <v>1074</v>
      </c>
      <c r="G652" s="322"/>
      <c r="H652" s="324">
        <v>1000</v>
      </c>
      <c r="I652" s="325">
        <f>24.77209*1.9563</f>
        <v>48.461639666999993</v>
      </c>
      <c r="J652" s="325">
        <f t="shared" si="85"/>
        <v>48461.639666999996</v>
      </c>
      <c r="K652" s="318">
        <f>+Table7[[#This Row],[стойност]]</f>
        <v>48461.639666999996</v>
      </c>
      <c r="L652" s="322">
        <v>48461.639666999996</v>
      </c>
      <c r="M652" s="371">
        <v>45453</v>
      </c>
      <c r="N652" s="322">
        <f>+Table7[[#This Row],[стойност с ДДС]]-Table7[[#This Row],[направено плащане]]</f>
        <v>0</v>
      </c>
      <c r="O652" s="327"/>
    </row>
    <row r="653" spans="1:15" ht="20.100000000000001" customHeight="1" x14ac:dyDescent="0.25">
      <c r="A653" s="151" t="s">
        <v>159</v>
      </c>
      <c r="B653" s="378" t="s">
        <v>1175</v>
      </c>
      <c r="C653" s="371">
        <v>45427</v>
      </c>
      <c r="D653" s="337"/>
      <c r="E653" s="328" t="s">
        <v>131</v>
      </c>
      <c r="F653" s="409" t="s">
        <v>1075</v>
      </c>
      <c r="G653" s="322"/>
      <c r="H653" s="324">
        <v>1350</v>
      </c>
      <c r="I653" s="325">
        <f>24.72096*1.9563</f>
        <v>48.361614048</v>
      </c>
      <c r="J653" s="325">
        <f t="shared" si="85"/>
        <v>65288.178964799998</v>
      </c>
      <c r="K653" s="318">
        <f>J653*1.2</f>
        <v>78345.814757759988</v>
      </c>
      <c r="L653" s="322">
        <v>78345.814757759988</v>
      </c>
      <c r="M653" s="371">
        <v>45453</v>
      </c>
      <c r="N653" s="322">
        <f>+Table7[[#This Row],[стойност с ДДС]]-Table7[[#This Row],[направено плащане]]</f>
        <v>0</v>
      </c>
      <c r="O653" s="327"/>
    </row>
    <row r="654" spans="1:15" ht="20.100000000000001" customHeight="1" x14ac:dyDescent="0.25">
      <c r="A654" s="151" t="s">
        <v>159</v>
      </c>
      <c r="B654" s="378" t="s">
        <v>1175</v>
      </c>
      <c r="C654" s="371">
        <v>45427</v>
      </c>
      <c r="D654" s="337"/>
      <c r="E654" s="328" t="s">
        <v>131</v>
      </c>
      <c r="F654" s="409" t="s">
        <v>1076</v>
      </c>
      <c r="G654" s="322"/>
      <c r="H654" s="324">
        <v>1400</v>
      </c>
      <c r="I654" s="325">
        <f>24.72209*1.9563</f>
        <v>48.363824667000003</v>
      </c>
      <c r="J654" s="325">
        <f t="shared" si="85"/>
        <v>67709.354533800011</v>
      </c>
      <c r="K654" s="318">
        <f>+Table7[[#This Row],[стойност]]</f>
        <v>67709.354533800011</v>
      </c>
      <c r="L654" s="322">
        <v>67709.354533800011</v>
      </c>
      <c r="M654" s="371">
        <v>45453</v>
      </c>
      <c r="N654" s="322">
        <f>+Table7[[#This Row],[стойност с ДДС]]-Table7[[#This Row],[направено плащане]]</f>
        <v>0</v>
      </c>
      <c r="O654" s="327"/>
    </row>
    <row r="655" spans="1:15" ht="20.100000000000001" customHeight="1" x14ac:dyDescent="0.25">
      <c r="A655" s="151" t="s">
        <v>159</v>
      </c>
      <c r="B655" s="378" t="s">
        <v>1175</v>
      </c>
      <c r="C655" s="371">
        <v>45427</v>
      </c>
      <c r="D655" s="337"/>
      <c r="E655" s="328" t="s">
        <v>131</v>
      </c>
      <c r="F655" s="409" t="s">
        <v>1077</v>
      </c>
      <c r="G655" s="322"/>
      <c r="H655" s="324">
        <v>100</v>
      </c>
      <c r="I655" s="325">
        <f>24.64427*1.9563</f>
        <v>48.211585400999994</v>
      </c>
      <c r="J655" s="325">
        <f t="shared" si="85"/>
        <v>4821.1585400999993</v>
      </c>
      <c r="K655" s="318">
        <f>+Table7[[#This Row],[стойност]]</f>
        <v>4821.1585400999993</v>
      </c>
      <c r="L655" s="322">
        <v>4821.1585400999993</v>
      </c>
      <c r="M655" s="371">
        <v>45453</v>
      </c>
      <c r="N655" s="322">
        <f>+Table7[[#This Row],[стойност с ДДС]]-Table7[[#This Row],[направено плащане]]</f>
        <v>0</v>
      </c>
      <c r="O655" s="327"/>
    </row>
    <row r="656" spans="1:15" ht="19.5" customHeight="1" x14ac:dyDescent="0.25">
      <c r="A656" s="151" t="s">
        <v>159</v>
      </c>
      <c r="B656" s="378" t="s">
        <v>1040</v>
      </c>
      <c r="C656" s="371">
        <v>45429</v>
      </c>
      <c r="D656" s="337"/>
      <c r="E656" s="328" t="s">
        <v>131</v>
      </c>
      <c r="F656" s="409" t="s">
        <v>1043</v>
      </c>
      <c r="G656" s="322" t="s">
        <v>1015</v>
      </c>
      <c r="H656" s="324">
        <v>7000</v>
      </c>
      <c r="I656" s="325">
        <v>48.52</v>
      </c>
      <c r="J656" s="325">
        <f t="shared" si="85"/>
        <v>339640</v>
      </c>
      <c r="K656" s="318">
        <v>339613.68</v>
      </c>
      <c r="L656" s="318">
        <v>339613.68</v>
      </c>
      <c r="M656" s="371">
        <v>45429</v>
      </c>
      <c r="N656" s="322">
        <f>+Table7[[#This Row],[стойност с ДДС]]-Table7[[#This Row],[направено плащане]]</f>
        <v>0</v>
      </c>
      <c r="O656" s="327"/>
    </row>
    <row r="657" spans="1:15" ht="20.100000000000001" customHeight="1" x14ac:dyDescent="0.25">
      <c r="A657" s="151" t="s">
        <v>444</v>
      </c>
      <c r="B657" s="378" t="s">
        <v>1055</v>
      </c>
      <c r="C657" s="371">
        <v>45425</v>
      </c>
      <c r="D657" s="337"/>
      <c r="E657" s="328" t="s">
        <v>131</v>
      </c>
      <c r="F657" s="409" t="s">
        <v>1056</v>
      </c>
      <c r="G657" s="322"/>
      <c r="H657" s="324">
        <v>20</v>
      </c>
      <c r="I657" s="325">
        <v>48.5</v>
      </c>
      <c r="J657" s="325">
        <f t="shared" si="85"/>
        <v>970</v>
      </c>
      <c r="K657" s="318">
        <f t="shared" ref="K657:K664" si="86">J657*1.2</f>
        <v>1164</v>
      </c>
      <c r="L657" s="322">
        <v>1164</v>
      </c>
      <c r="M657" s="371">
        <v>45433</v>
      </c>
      <c r="N657" s="322">
        <f>+Table7[[#This Row],[стойност с ДДС]]-Table7[[#This Row],[направено плащане]]</f>
        <v>0</v>
      </c>
      <c r="O657" s="327"/>
    </row>
    <row r="658" spans="1:15" ht="20.100000000000001" customHeight="1" x14ac:dyDescent="0.25">
      <c r="A658" s="151" t="s">
        <v>157</v>
      </c>
      <c r="B658" s="378" t="s">
        <v>1057</v>
      </c>
      <c r="C658" s="371">
        <v>45432</v>
      </c>
      <c r="D658" s="337"/>
      <c r="E658" s="328" t="s">
        <v>131</v>
      </c>
      <c r="F658" s="409"/>
      <c r="G658" s="322"/>
      <c r="H658" s="324">
        <v>40</v>
      </c>
      <c r="I658" s="325">
        <v>47</v>
      </c>
      <c r="J658" s="325">
        <f t="shared" si="85"/>
        <v>1880</v>
      </c>
      <c r="K658" s="318">
        <f t="shared" si="86"/>
        <v>2256</v>
      </c>
      <c r="L658" s="322">
        <v>2256</v>
      </c>
      <c r="M658" s="371">
        <v>45435</v>
      </c>
      <c r="N658" s="322">
        <f>+Table7[[#This Row],[стойност с ДДС]]-Table7[[#This Row],[направено плащане]]</f>
        <v>0</v>
      </c>
      <c r="O658" s="327" t="s">
        <v>1059</v>
      </c>
    </row>
    <row r="659" spans="1:15" ht="20.100000000000001" customHeight="1" x14ac:dyDescent="0.25">
      <c r="A659" s="151" t="s">
        <v>118</v>
      </c>
      <c r="B659" s="378" t="s">
        <v>1058</v>
      </c>
      <c r="C659" s="371">
        <v>45431</v>
      </c>
      <c r="D659" s="337"/>
      <c r="E659" s="328" t="s">
        <v>131</v>
      </c>
      <c r="F659" s="409" t="s">
        <v>1060</v>
      </c>
      <c r="G659" s="322"/>
      <c r="H659" s="324">
        <v>800</v>
      </c>
      <c r="I659" s="325">
        <v>48.4</v>
      </c>
      <c r="J659" s="325">
        <f t="shared" si="85"/>
        <v>38720</v>
      </c>
      <c r="K659" s="318">
        <f t="shared" si="86"/>
        <v>46464</v>
      </c>
      <c r="L659" s="322">
        <v>46464</v>
      </c>
      <c r="M659" s="371">
        <v>45405</v>
      </c>
      <c r="N659" s="322">
        <f>+Table7[[#This Row],[стойност с ДДС]]-Table7[[#This Row],[направено плащане]]</f>
        <v>0</v>
      </c>
      <c r="O659" s="327" t="s">
        <v>1059</v>
      </c>
    </row>
    <row r="660" spans="1:15" ht="20.100000000000001" customHeight="1" x14ac:dyDescent="0.25">
      <c r="A660" s="206" t="s">
        <v>1017</v>
      </c>
      <c r="B660" s="381" t="s">
        <v>1061</v>
      </c>
      <c r="C660" s="373">
        <v>45429</v>
      </c>
      <c r="D660" s="343"/>
      <c r="E660" s="347" t="s">
        <v>131</v>
      </c>
      <c r="F660" s="412" t="s">
        <v>1062</v>
      </c>
      <c r="G660" s="342"/>
      <c r="H660" s="344">
        <v>2000</v>
      </c>
      <c r="I660" s="345">
        <v>48.45</v>
      </c>
      <c r="J660" s="345">
        <f t="shared" si="85"/>
        <v>96900</v>
      </c>
      <c r="K660" s="320">
        <f t="shared" si="86"/>
        <v>116280</v>
      </c>
      <c r="L660" s="342">
        <v>116280</v>
      </c>
      <c r="M660" s="373">
        <v>45434</v>
      </c>
      <c r="N660" s="342">
        <f>+Table7[[#This Row],[стойност с ДДС]]-Table7[[#This Row],[направено плащане]]</f>
        <v>0</v>
      </c>
      <c r="O660" s="346">
        <v>45435</v>
      </c>
    </row>
    <row r="661" spans="1:15" ht="20.100000000000001" customHeight="1" x14ac:dyDescent="0.25">
      <c r="A661" s="206" t="s">
        <v>118</v>
      </c>
      <c r="B661" s="381" t="s">
        <v>1063</v>
      </c>
      <c r="C661" s="373">
        <v>45427</v>
      </c>
      <c r="D661" s="343"/>
      <c r="E661" s="347" t="s">
        <v>131</v>
      </c>
      <c r="F661" s="412" t="s">
        <v>1064</v>
      </c>
      <c r="G661" s="342"/>
      <c r="H661" s="344">
        <v>25</v>
      </c>
      <c r="I661" s="345">
        <v>48.5</v>
      </c>
      <c r="J661" s="345">
        <f t="shared" si="85"/>
        <v>1212.5</v>
      </c>
      <c r="K661" s="320">
        <f t="shared" si="86"/>
        <v>1455</v>
      </c>
      <c r="L661" s="342"/>
      <c r="M661" s="373"/>
      <c r="N661" s="342">
        <f>+Table7[[#This Row],[стойност с ДДС]]-Table7[[#This Row],[направено плащане]]</f>
        <v>1455</v>
      </c>
      <c r="O661" s="346">
        <v>45427</v>
      </c>
    </row>
    <row r="662" spans="1:15" ht="20.100000000000001" customHeight="1" x14ac:dyDescent="0.25">
      <c r="A662" s="206" t="s">
        <v>118</v>
      </c>
      <c r="B662" s="378" t="s">
        <v>1072</v>
      </c>
      <c r="C662" s="371">
        <v>45432</v>
      </c>
      <c r="D662" s="337"/>
      <c r="E662" s="347" t="s">
        <v>131</v>
      </c>
      <c r="F662" s="409" t="s">
        <v>841</v>
      </c>
      <c r="G662" s="322"/>
      <c r="H662" s="324">
        <v>11000</v>
      </c>
      <c r="I662" s="325">
        <v>48</v>
      </c>
      <c r="J662" s="325">
        <f t="shared" si="85"/>
        <v>528000</v>
      </c>
      <c r="K662" s="318">
        <f t="shared" si="86"/>
        <v>633600</v>
      </c>
      <c r="L662" s="322">
        <v>633600</v>
      </c>
      <c r="M662" s="373">
        <v>45434</v>
      </c>
      <c r="N662" s="322">
        <f>+Table7[[#This Row],[стойност с ДДС]]-Table7[[#This Row],[направено плащане]]</f>
        <v>0</v>
      </c>
      <c r="O662" s="327"/>
    </row>
    <row r="663" spans="1:15" ht="20.100000000000001" customHeight="1" x14ac:dyDescent="0.25">
      <c r="A663" s="206" t="s">
        <v>1017</v>
      </c>
      <c r="B663" s="381" t="s">
        <v>1078</v>
      </c>
      <c r="C663" s="373">
        <v>45431</v>
      </c>
      <c r="D663" s="343"/>
      <c r="E663" s="347" t="s">
        <v>131</v>
      </c>
      <c r="F663" s="412" t="s">
        <v>1080</v>
      </c>
      <c r="G663" s="342"/>
      <c r="H663" s="344">
        <v>1000</v>
      </c>
      <c r="I663" s="345">
        <v>48.4</v>
      </c>
      <c r="J663" s="345">
        <f t="shared" si="85"/>
        <v>48400</v>
      </c>
      <c r="K663" s="320">
        <f t="shared" si="86"/>
        <v>58080</v>
      </c>
      <c r="L663" s="342">
        <v>58080</v>
      </c>
      <c r="M663" s="373">
        <v>45435</v>
      </c>
      <c r="N663" s="342">
        <f>+Table7[[#This Row],[стойност с ДДС]]-Table7[[#This Row],[направено плащане]]</f>
        <v>0</v>
      </c>
      <c r="O663" s="346"/>
    </row>
    <row r="664" spans="1:15" ht="20.100000000000001" customHeight="1" x14ac:dyDescent="0.25">
      <c r="A664" s="206" t="s">
        <v>34</v>
      </c>
      <c r="B664" s="381" t="s">
        <v>1079</v>
      </c>
      <c r="C664" s="373">
        <v>45432</v>
      </c>
      <c r="D664" s="343"/>
      <c r="E664" s="347" t="s">
        <v>131</v>
      </c>
      <c r="F664" s="412" t="s">
        <v>1081</v>
      </c>
      <c r="G664" s="342"/>
      <c r="H664" s="344">
        <v>25</v>
      </c>
      <c r="I664" s="345">
        <v>48.25</v>
      </c>
      <c r="J664" s="345">
        <f t="shared" si="85"/>
        <v>1206.25</v>
      </c>
      <c r="K664" s="320">
        <f t="shared" si="86"/>
        <v>1447.5</v>
      </c>
      <c r="L664" s="342">
        <v>1447.5</v>
      </c>
      <c r="M664" s="373">
        <v>45435</v>
      </c>
      <c r="N664" s="342">
        <f>+Table7[[#This Row],[стойност с ДДС]]-Table7[[#This Row],[направено плащане]]</f>
        <v>0</v>
      </c>
      <c r="O664" s="346"/>
    </row>
    <row r="665" spans="1:15" ht="20.100000000000001" customHeight="1" x14ac:dyDescent="0.3">
      <c r="A665" s="206" t="s">
        <v>420</v>
      </c>
      <c r="B665" s="381" t="s">
        <v>1083</v>
      </c>
      <c r="C665" s="373">
        <v>45432</v>
      </c>
      <c r="D665" s="343"/>
      <c r="E665" s="332" t="s">
        <v>422</v>
      </c>
      <c r="F665" s="412"/>
      <c r="G665" s="342"/>
      <c r="H665" s="344"/>
      <c r="I665" s="345"/>
      <c r="J665" s="345">
        <f t="shared" si="85"/>
        <v>0</v>
      </c>
      <c r="K665" s="320">
        <v>552.5</v>
      </c>
      <c r="L665" s="342">
        <v>552.5</v>
      </c>
      <c r="M665" s="373">
        <v>45434</v>
      </c>
      <c r="N665" s="342">
        <f>+Table7[[#This Row],[стойност с ДДС]]-Table7[[#This Row],[направено плащане]]</f>
        <v>0</v>
      </c>
      <c r="O665" s="346"/>
    </row>
    <row r="666" spans="1:15" ht="20.100000000000001" customHeight="1" x14ac:dyDescent="0.3">
      <c r="A666" s="206" t="s">
        <v>423</v>
      </c>
      <c r="B666" s="381" t="s">
        <v>1082</v>
      </c>
      <c r="C666" s="373">
        <v>45393</v>
      </c>
      <c r="D666" s="343"/>
      <c r="E666" s="332" t="s">
        <v>422</v>
      </c>
      <c r="F666" s="412"/>
      <c r="G666" s="342"/>
      <c r="H666" s="344"/>
      <c r="I666" s="345"/>
      <c r="J666" s="345">
        <f t="shared" si="85"/>
        <v>0</v>
      </c>
      <c r="K666" s="320">
        <v>80</v>
      </c>
      <c r="L666" s="342">
        <v>80</v>
      </c>
      <c r="M666" s="373">
        <v>45435</v>
      </c>
      <c r="N666" s="342">
        <f>+Table7[[#This Row],[стойност с ДДС]]-Table7[[#This Row],[направено плащане]]</f>
        <v>0</v>
      </c>
      <c r="O666" s="346"/>
    </row>
    <row r="667" spans="1:15" ht="20.100000000000001" customHeight="1" x14ac:dyDescent="0.3">
      <c r="A667" s="206" t="s">
        <v>423</v>
      </c>
      <c r="B667" s="378" t="s">
        <v>1084</v>
      </c>
      <c r="C667" s="373">
        <v>45393</v>
      </c>
      <c r="D667" s="337"/>
      <c r="E667" s="332" t="s">
        <v>422</v>
      </c>
      <c r="F667" s="409"/>
      <c r="G667" s="322"/>
      <c r="H667" s="324"/>
      <c r="I667" s="325"/>
      <c r="J667" s="325">
        <f t="shared" si="85"/>
        <v>0</v>
      </c>
      <c r="K667" s="318">
        <v>731.12</v>
      </c>
      <c r="L667" s="322">
        <v>731.12</v>
      </c>
      <c r="M667" s="371">
        <v>45435</v>
      </c>
      <c r="N667" s="322">
        <f>+Table7[[#This Row],[стойност с ДДС]]-Table7[[#This Row],[направено плащане]]</f>
        <v>0</v>
      </c>
      <c r="O667" s="327"/>
    </row>
    <row r="668" spans="1:15" ht="20.100000000000001" customHeight="1" x14ac:dyDescent="0.3">
      <c r="A668" s="206" t="s">
        <v>423</v>
      </c>
      <c r="B668" s="381" t="s">
        <v>1086</v>
      </c>
      <c r="C668" s="373">
        <v>45434</v>
      </c>
      <c r="D668" s="343"/>
      <c r="E668" s="332" t="s">
        <v>422</v>
      </c>
      <c r="F668" s="412"/>
      <c r="G668" s="342"/>
      <c r="H668" s="344"/>
      <c r="I668" s="345"/>
      <c r="J668" s="345">
        <f t="shared" si="85"/>
        <v>0</v>
      </c>
      <c r="K668" s="320">
        <v>489.22</v>
      </c>
      <c r="L668" s="320">
        <v>489.22</v>
      </c>
      <c r="M668" s="373">
        <v>45435</v>
      </c>
      <c r="N668" s="342">
        <f>+Table7[[#This Row],[стойност с ДДС]]-Table7[[#This Row],[направено плащане]]</f>
        <v>0</v>
      </c>
      <c r="O668" s="346"/>
    </row>
    <row r="669" spans="1:15" ht="20.100000000000001" customHeight="1" x14ac:dyDescent="0.3">
      <c r="A669" s="206" t="s">
        <v>423</v>
      </c>
      <c r="B669" s="381" t="s">
        <v>1087</v>
      </c>
      <c r="C669" s="373">
        <v>45434</v>
      </c>
      <c r="D669" s="343"/>
      <c r="E669" s="332" t="s">
        <v>422</v>
      </c>
      <c r="F669" s="412"/>
      <c r="G669" s="342"/>
      <c r="H669" s="344"/>
      <c r="I669" s="345"/>
      <c r="J669" s="345">
        <f t="shared" si="85"/>
        <v>0</v>
      </c>
      <c r="K669" s="320">
        <v>3087.6</v>
      </c>
      <c r="L669" s="342">
        <v>3087.6</v>
      </c>
      <c r="M669" s="373">
        <v>45435</v>
      </c>
      <c r="N669" s="342">
        <f>+Table7[[#This Row],[стойност с ДДС]]-Table7[[#This Row],[направено плащане]]</f>
        <v>0</v>
      </c>
      <c r="O669" s="346"/>
    </row>
    <row r="670" spans="1:15" ht="20.100000000000001" customHeight="1" x14ac:dyDescent="0.3">
      <c r="A670" s="206" t="s">
        <v>423</v>
      </c>
      <c r="B670" s="381">
        <v>1000012320</v>
      </c>
      <c r="C670" s="373">
        <v>45434</v>
      </c>
      <c r="D670" s="343"/>
      <c r="E670" s="332" t="s">
        <v>422</v>
      </c>
      <c r="F670" s="412"/>
      <c r="G670" s="342"/>
      <c r="H670" s="344"/>
      <c r="I670" s="345"/>
      <c r="J670" s="345">
        <f t="shared" ref="J670:J671" si="87">I670*H670</f>
        <v>0</v>
      </c>
      <c r="K670" s="320">
        <v>120</v>
      </c>
      <c r="L670" s="320">
        <v>120</v>
      </c>
      <c r="M670" s="373">
        <v>45435</v>
      </c>
      <c r="N670" s="342">
        <f>+Table7[[#This Row],[стойност с ДДС]]-Table7[[#This Row],[направено плащане]]</f>
        <v>0</v>
      </c>
      <c r="O670" s="346"/>
    </row>
    <row r="671" spans="1:15" ht="20.100000000000001" customHeight="1" x14ac:dyDescent="0.25">
      <c r="A671" s="206" t="s">
        <v>1394</v>
      </c>
      <c r="B671" s="381" t="s">
        <v>1088</v>
      </c>
      <c r="C671" s="373">
        <v>45433</v>
      </c>
      <c r="D671" s="343"/>
      <c r="E671" s="347" t="s">
        <v>131</v>
      </c>
      <c r="F671" s="409"/>
      <c r="G671" s="342"/>
      <c r="H671" s="344">
        <v>300</v>
      </c>
      <c r="I671" s="345">
        <f>24.80277*1.9563</f>
        <v>48.521658950999999</v>
      </c>
      <c r="J671" s="345">
        <f t="shared" si="87"/>
        <v>14556.497685299999</v>
      </c>
      <c r="K671" s="320">
        <v>14556.497685299999</v>
      </c>
      <c r="L671" s="342">
        <v>14556.497685299999</v>
      </c>
      <c r="M671" s="373">
        <v>45435</v>
      </c>
      <c r="N671" s="342"/>
      <c r="O671" s="346">
        <v>45435</v>
      </c>
    </row>
    <row r="672" spans="1:15" ht="20.100000000000001" customHeight="1" x14ac:dyDescent="0.25">
      <c r="A672" s="206" t="s">
        <v>118</v>
      </c>
      <c r="B672" s="381" t="s">
        <v>1089</v>
      </c>
      <c r="C672" s="373">
        <v>45433</v>
      </c>
      <c r="D672" s="343"/>
      <c r="E672" s="347" t="s">
        <v>131</v>
      </c>
      <c r="F672" s="412" t="s">
        <v>1094</v>
      </c>
      <c r="G672" s="342"/>
      <c r="H672" s="344">
        <v>20</v>
      </c>
      <c r="I672" s="345">
        <v>48</v>
      </c>
      <c r="J672" s="345">
        <f t="shared" ref="J672:J678" si="88">I672*H672</f>
        <v>960</v>
      </c>
      <c r="K672" s="320">
        <f>J672*1.2</f>
        <v>1152</v>
      </c>
      <c r="L672" s="342">
        <v>1152</v>
      </c>
      <c r="M672" s="373">
        <v>45441</v>
      </c>
      <c r="N672" s="342">
        <f>+Table7[[#This Row],[стойност с ДДС]]-Table7[[#This Row],[направено плащане]]</f>
        <v>0</v>
      </c>
      <c r="O672" s="346">
        <v>45442</v>
      </c>
    </row>
    <row r="673" spans="1:15" ht="20.100000000000001" customHeight="1" x14ac:dyDescent="0.25">
      <c r="A673" s="206" t="s">
        <v>159</v>
      </c>
      <c r="B673" s="378" t="s">
        <v>1090</v>
      </c>
      <c r="C673" s="373">
        <v>45432</v>
      </c>
      <c r="D673" s="343"/>
      <c r="E673" s="347" t="s">
        <v>131</v>
      </c>
      <c r="F673" s="412"/>
      <c r="G673" s="342"/>
      <c r="H673" s="344">
        <v>1800</v>
      </c>
      <c r="I673" s="345">
        <f>24.79766*1.9563</f>
        <v>48.511662258000001</v>
      </c>
      <c r="J673" s="345">
        <f t="shared" si="88"/>
        <v>87320.992064400009</v>
      </c>
      <c r="K673" s="320">
        <v>87320.992064400009</v>
      </c>
      <c r="L673" s="342">
        <v>87320.992064400009</v>
      </c>
      <c r="M673" s="373">
        <v>45435</v>
      </c>
      <c r="N673" s="342">
        <f>+Table7[[#This Row],[стойност с ДДС]]-Table7[[#This Row],[направено плащане]]</f>
        <v>0</v>
      </c>
      <c r="O673" s="346">
        <v>45439</v>
      </c>
    </row>
    <row r="674" spans="1:15" ht="20.100000000000001" customHeight="1" x14ac:dyDescent="0.25">
      <c r="A674" s="206" t="s">
        <v>814</v>
      </c>
      <c r="B674" s="381" t="s">
        <v>1091</v>
      </c>
      <c r="C674" s="373">
        <v>45434</v>
      </c>
      <c r="D674" s="343"/>
      <c r="E674" s="347" t="s">
        <v>131</v>
      </c>
      <c r="F674" s="412" t="s">
        <v>1092</v>
      </c>
      <c r="G674" s="342"/>
      <c r="H674" s="344">
        <v>200</v>
      </c>
      <c r="I674" s="345">
        <v>48.9</v>
      </c>
      <c r="J674" s="345">
        <f t="shared" si="88"/>
        <v>9780</v>
      </c>
      <c r="K674" s="320">
        <f>J674*1.2</f>
        <v>11736</v>
      </c>
      <c r="L674" s="342">
        <v>11736</v>
      </c>
      <c r="M674" s="373">
        <v>45440</v>
      </c>
      <c r="N674" s="342">
        <f>+Table7[[#This Row],[стойност с ДДС]]-Table7[[#This Row],[направено плащане]]</f>
        <v>0</v>
      </c>
      <c r="O674" s="346">
        <v>45441</v>
      </c>
    </row>
    <row r="675" spans="1:15" ht="20.100000000000001" customHeight="1" x14ac:dyDescent="0.25">
      <c r="A675" s="206" t="s">
        <v>814</v>
      </c>
      <c r="B675" s="381" t="s">
        <v>1091</v>
      </c>
      <c r="C675" s="373">
        <v>45434</v>
      </c>
      <c r="D675" s="343"/>
      <c r="E675" s="347" t="s">
        <v>131</v>
      </c>
      <c r="F675" s="412" t="s">
        <v>1093</v>
      </c>
      <c r="G675" s="342"/>
      <c r="H675" s="344">
        <v>4</v>
      </c>
      <c r="I675" s="345">
        <v>49.72</v>
      </c>
      <c r="J675" s="345">
        <f t="shared" si="88"/>
        <v>198.88</v>
      </c>
      <c r="K675" s="320">
        <f>J675*1.2</f>
        <v>238.65599999999998</v>
      </c>
      <c r="L675" s="342">
        <v>238.65599999999998</v>
      </c>
      <c r="M675" s="373">
        <v>45440</v>
      </c>
      <c r="N675" s="342">
        <f>+Table7[[#This Row],[стойност с ДДС]]-Table7[[#This Row],[направено плащане]]</f>
        <v>0</v>
      </c>
      <c r="O675" s="346">
        <v>45441</v>
      </c>
    </row>
    <row r="676" spans="1:15" ht="20.100000000000001" customHeight="1" x14ac:dyDescent="0.25">
      <c r="A676" s="206" t="s">
        <v>153</v>
      </c>
      <c r="B676" s="381" t="s">
        <v>1095</v>
      </c>
      <c r="C676" s="373">
        <v>45433</v>
      </c>
      <c r="D676" s="343"/>
      <c r="E676" s="347" t="s">
        <v>131</v>
      </c>
      <c r="F676" s="412" t="s">
        <v>1096</v>
      </c>
      <c r="G676" s="342"/>
      <c r="H676" s="344">
        <v>500</v>
      </c>
      <c r="I676" s="345">
        <v>48.92</v>
      </c>
      <c r="J676" s="345">
        <f t="shared" si="88"/>
        <v>24460</v>
      </c>
      <c r="K676" s="320">
        <f>J676*1.2</f>
        <v>29352</v>
      </c>
      <c r="L676" s="342"/>
      <c r="M676" s="373"/>
      <c r="N676" s="342">
        <f>+Table7[[#This Row],[стойност с ДДС]]-Table7[[#This Row],[направено плащане]]</f>
        <v>29352</v>
      </c>
      <c r="O676" s="346">
        <v>45440</v>
      </c>
    </row>
    <row r="677" spans="1:15" ht="20.100000000000001" customHeight="1" x14ac:dyDescent="0.25">
      <c r="A677" s="206" t="s">
        <v>253</v>
      </c>
      <c r="B677" s="381" t="s">
        <v>1097</v>
      </c>
      <c r="C677" s="373">
        <v>45435</v>
      </c>
      <c r="D677" s="343"/>
      <c r="E677" s="347" t="s">
        <v>131</v>
      </c>
      <c r="F677" s="412" t="s">
        <v>1098</v>
      </c>
      <c r="G677" s="342"/>
      <c r="H677" s="344">
        <v>20</v>
      </c>
      <c r="I677" s="345">
        <v>48.4</v>
      </c>
      <c r="J677" s="345">
        <f t="shared" si="88"/>
        <v>968</v>
      </c>
      <c r="K677" s="320">
        <f>J677*1.2</f>
        <v>1161.5999999999999</v>
      </c>
      <c r="L677" s="320">
        <v>1161.5999999999999</v>
      </c>
      <c r="M677" s="373">
        <v>45439</v>
      </c>
      <c r="N677" s="342">
        <f>+Table7[[#This Row],[стойност с ДДС]]-Table7[[#This Row],[направено плащане]]</f>
        <v>0</v>
      </c>
      <c r="O677" s="346">
        <v>45435</v>
      </c>
    </row>
    <row r="678" spans="1:15" ht="20.100000000000001" customHeight="1" x14ac:dyDescent="0.25">
      <c r="A678" s="206" t="s">
        <v>157</v>
      </c>
      <c r="B678" s="381" t="s">
        <v>1099</v>
      </c>
      <c r="C678" s="373">
        <v>45434</v>
      </c>
      <c r="D678" s="343"/>
      <c r="E678" s="347" t="s">
        <v>131</v>
      </c>
      <c r="F678" s="412"/>
      <c r="G678" s="342"/>
      <c r="H678" s="344">
        <v>30</v>
      </c>
      <c r="I678" s="345">
        <v>49.2</v>
      </c>
      <c r="J678" s="345">
        <f t="shared" si="88"/>
        <v>1476</v>
      </c>
      <c r="K678" s="320">
        <f>J678*1.2</f>
        <v>1771.2</v>
      </c>
      <c r="L678" s="342">
        <v>1771.2</v>
      </c>
      <c r="M678" s="373">
        <v>45440</v>
      </c>
      <c r="N678" s="342">
        <f>+Table7[[#This Row],[стойност с ДДС]]-Table7[[#This Row],[направено плащане]]</f>
        <v>0</v>
      </c>
      <c r="O678" s="327"/>
    </row>
    <row r="679" spans="1:15" ht="20.100000000000001" customHeight="1" x14ac:dyDescent="0.3">
      <c r="A679" s="206" t="s">
        <v>235</v>
      </c>
      <c r="B679" s="381" t="s">
        <v>1100</v>
      </c>
      <c r="C679" s="373">
        <v>45434</v>
      </c>
      <c r="D679" s="343"/>
      <c r="E679" s="323" t="s">
        <v>263</v>
      </c>
      <c r="F679" s="412"/>
      <c r="G679" s="342"/>
      <c r="H679" s="344"/>
      <c r="I679" s="345"/>
      <c r="J679" s="345">
        <f>194625*1.9563</f>
        <v>380744.88750000001</v>
      </c>
      <c r="K679" s="320">
        <v>380744.88750000001</v>
      </c>
      <c r="L679" s="342">
        <v>380744.88750000001</v>
      </c>
      <c r="M679" s="373">
        <v>45440</v>
      </c>
      <c r="N679" s="342">
        <f>+Table7[[#This Row],[стойност с ДДС]]-Table7[[#This Row],[направено плащане]]</f>
        <v>0</v>
      </c>
      <c r="O679" s="346">
        <v>45441</v>
      </c>
    </row>
    <row r="680" spans="1:15" ht="20.100000000000001" customHeight="1" x14ac:dyDescent="0.3">
      <c r="A680" s="206" t="s">
        <v>235</v>
      </c>
      <c r="B680" s="378" t="s">
        <v>1101</v>
      </c>
      <c r="C680" s="373">
        <v>45434</v>
      </c>
      <c r="D680" s="337"/>
      <c r="E680" s="323" t="s">
        <v>263</v>
      </c>
      <c r="F680" s="409"/>
      <c r="G680" s="322"/>
      <c r="H680" s="324"/>
      <c r="I680" s="325"/>
      <c r="J680" s="325">
        <f>194625*1.9563</f>
        <v>380744.88750000001</v>
      </c>
      <c r="K680" s="318">
        <v>380744.88750000001</v>
      </c>
      <c r="L680" s="322">
        <v>380744.88750000001</v>
      </c>
      <c r="M680" s="371">
        <v>45455</v>
      </c>
      <c r="N680" s="322">
        <f>+Table7[[#This Row],[стойност с ДДС]]-Table7[[#This Row],[направено плащане]]</f>
        <v>0</v>
      </c>
      <c r="O680" s="327">
        <v>45456</v>
      </c>
    </row>
    <row r="681" spans="1:15" ht="20.100000000000001" customHeight="1" x14ac:dyDescent="0.3">
      <c r="A681" s="206" t="s">
        <v>235</v>
      </c>
      <c r="B681" s="378" t="s">
        <v>1102</v>
      </c>
      <c r="C681" s="373">
        <v>45434</v>
      </c>
      <c r="D681" s="337"/>
      <c r="E681" s="323" t="s">
        <v>263</v>
      </c>
      <c r="F681" s="409"/>
      <c r="G681" s="322"/>
      <c r="H681" s="324"/>
      <c r="I681" s="325"/>
      <c r="J681" s="325">
        <f>189000*1.9563</f>
        <v>369740.7</v>
      </c>
      <c r="K681" s="318">
        <v>369740.7</v>
      </c>
      <c r="L681" s="322">
        <v>369740.7</v>
      </c>
      <c r="M681" s="371">
        <v>45455</v>
      </c>
      <c r="N681" s="322">
        <f>+Table7[[#This Row],[стойност с ДДС]]-Table7[[#This Row],[направено плащане]]</f>
        <v>0</v>
      </c>
      <c r="O681" s="327">
        <v>45456</v>
      </c>
    </row>
    <row r="682" spans="1:15" ht="20.100000000000001" customHeight="1" x14ac:dyDescent="0.3">
      <c r="A682" s="206" t="s">
        <v>235</v>
      </c>
      <c r="B682" s="378" t="s">
        <v>1103</v>
      </c>
      <c r="C682" s="373">
        <v>45434</v>
      </c>
      <c r="D682" s="337"/>
      <c r="E682" s="323" t="s">
        <v>263</v>
      </c>
      <c r="F682" s="409"/>
      <c r="G682" s="322"/>
      <c r="H682" s="324"/>
      <c r="I682" s="325"/>
      <c r="J682" s="325">
        <v>369740.7</v>
      </c>
      <c r="K682" s="318">
        <v>369740.7</v>
      </c>
      <c r="L682" s="322">
        <v>369740.7</v>
      </c>
      <c r="M682" s="371">
        <v>45440</v>
      </c>
      <c r="N682" s="322">
        <f>+Table7[[#This Row],[стойност с ДДС]]-Table7[[#This Row],[направено плащане]]</f>
        <v>0</v>
      </c>
      <c r="O682" s="327">
        <v>45441</v>
      </c>
    </row>
    <row r="683" spans="1:15" ht="20.100000000000001" customHeight="1" x14ac:dyDescent="0.25">
      <c r="A683" s="206" t="s">
        <v>159</v>
      </c>
      <c r="B683" s="381" t="s">
        <v>1104</v>
      </c>
      <c r="C683" s="373">
        <v>45434</v>
      </c>
      <c r="D683" s="343"/>
      <c r="E683" s="347" t="s">
        <v>131</v>
      </c>
      <c r="F683" s="412" t="s">
        <v>1105</v>
      </c>
      <c r="G683" s="342"/>
      <c r="H683" s="344">
        <v>1000</v>
      </c>
      <c r="I683" s="345">
        <f>25.51346*1.9563</f>
        <v>49.911981797999992</v>
      </c>
      <c r="J683" s="345">
        <f>I683*H683</f>
        <v>49911.981797999993</v>
      </c>
      <c r="K683" s="320">
        <v>49911.981797999993</v>
      </c>
      <c r="L683" s="342">
        <v>49911.981797999993</v>
      </c>
      <c r="M683" s="373">
        <v>45440</v>
      </c>
      <c r="N683" s="342">
        <f>+Table7[[#This Row],[стойност с ДДС]]-Table7[[#This Row],[направено плащане]]</f>
        <v>0</v>
      </c>
      <c r="O683" s="346">
        <v>45441</v>
      </c>
    </row>
    <row r="684" spans="1:15" ht="20.100000000000001" customHeight="1" x14ac:dyDescent="0.25">
      <c r="A684" s="206" t="s">
        <v>159</v>
      </c>
      <c r="B684" s="381" t="s">
        <v>1104</v>
      </c>
      <c r="C684" s="373">
        <v>45434</v>
      </c>
      <c r="D684" s="343"/>
      <c r="E684" s="347" t="s">
        <v>131</v>
      </c>
      <c r="F684" s="412" t="s">
        <v>1106</v>
      </c>
      <c r="G684" s="342"/>
      <c r="H684" s="344">
        <v>750</v>
      </c>
      <c r="I684" s="345">
        <f>25.49301*1.9563</f>
        <v>49.871975462999998</v>
      </c>
      <c r="J684" s="345">
        <f>I684*H684</f>
        <v>37403.98159725</v>
      </c>
      <c r="K684" s="320">
        <v>37403.98159725</v>
      </c>
      <c r="L684" s="342">
        <v>37403.98159725</v>
      </c>
      <c r="M684" s="373">
        <v>45440</v>
      </c>
      <c r="N684" s="342">
        <f>+Table7[[#This Row],[стойност с ДДС]]-Table7[[#This Row],[направено плащане]]</f>
        <v>0</v>
      </c>
      <c r="O684" s="346">
        <v>45441</v>
      </c>
    </row>
    <row r="685" spans="1:15" ht="20.100000000000001" customHeight="1" x14ac:dyDescent="0.25">
      <c r="A685" s="206"/>
      <c r="B685" s="381"/>
      <c r="C685" s="373"/>
      <c r="D685" s="343"/>
      <c r="E685" s="352" t="s">
        <v>623</v>
      </c>
      <c r="F685" s="412" t="s">
        <v>798</v>
      </c>
      <c r="G685" s="342"/>
      <c r="H685" s="344"/>
      <c r="I685" s="345"/>
      <c r="J685" s="345">
        <v>5868.9</v>
      </c>
      <c r="K685" s="320">
        <v>5868.9</v>
      </c>
      <c r="L685" s="342">
        <v>5868.9</v>
      </c>
      <c r="M685" s="373">
        <v>45439</v>
      </c>
      <c r="N685" s="342">
        <f>+Table7[[#This Row],[стойност с ДДС]]-Table7[[#This Row],[направено плащане]]</f>
        <v>0</v>
      </c>
      <c r="O685" s="346"/>
    </row>
    <row r="686" spans="1:15" ht="20.100000000000001" customHeight="1" x14ac:dyDescent="0.25">
      <c r="A686" s="151"/>
      <c r="B686" s="378"/>
      <c r="C686" s="371"/>
      <c r="D686" s="337"/>
      <c r="E686" s="352" t="s">
        <v>623</v>
      </c>
      <c r="F686" s="412" t="s">
        <v>1125</v>
      </c>
      <c r="G686" s="322"/>
      <c r="H686" s="324"/>
      <c r="I686" s="325"/>
      <c r="J686" s="325">
        <v>3040.77</v>
      </c>
      <c r="K686" s="318">
        <v>3040.77</v>
      </c>
      <c r="L686" s="322">
        <v>3040.77</v>
      </c>
      <c r="M686" s="373">
        <v>45439</v>
      </c>
      <c r="N686" s="322"/>
      <c r="O686" s="327"/>
    </row>
    <row r="687" spans="1:15" ht="20.100000000000001" customHeight="1" x14ac:dyDescent="0.25">
      <c r="A687" s="151"/>
      <c r="B687" s="378"/>
      <c r="C687" s="371"/>
      <c r="D687" s="337"/>
      <c r="E687" s="352" t="s">
        <v>872</v>
      </c>
      <c r="F687" s="409" t="s">
        <v>798</v>
      </c>
      <c r="G687" s="322"/>
      <c r="H687" s="324"/>
      <c r="I687" s="325"/>
      <c r="J687" s="325">
        <v>606.45000000000005</v>
      </c>
      <c r="K687" s="318">
        <f>+Table7[[#This Row],[стойност]]</f>
        <v>606.45000000000005</v>
      </c>
      <c r="L687" s="322">
        <v>606.45000000000005</v>
      </c>
      <c r="M687" s="371">
        <v>45439</v>
      </c>
      <c r="N687" s="322">
        <f>+Table7[[#This Row],[стойност с ДДС]]-Table7[[#This Row],[направено плащане]]</f>
        <v>0</v>
      </c>
      <c r="O687" s="327"/>
    </row>
    <row r="688" spans="1:15" ht="20.100000000000001" customHeight="1" x14ac:dyDescent="0.25">
      <c r="A688" s="151"/>
      <c r="B688" s="378"/>
      <c r="C688" s="371"/>
      <c r="D688" s="337"/>
      <c r="E688" s="352" t="s">
        <v>872</v>
      </c>
      <c r="F688" s="409" t="s">
        <v>344</v>
      </c>
      <c r="G688" s="322"/>
      <c r="H688" s="324"/>
      <c r="I688" s="325"/>
      <c r="J688" s="325">
        <v>606.45000000000005</v>
      </c>
      <c r="K688" s="318">
        <v>606.45000000000005</v>
      </c>
      <c r="L688" s="322">
        <v>606.45000000000005</v>
      </c>
      <c r="M688" s="371">
        <v>45439</v>
      </c>
      <c r="N688" s="322">
        <f>+Table7[[#This Row],[стойност с ДДС]]-Table7[[#This Row],[направено плащане]]</f>
        <v>0</v>
      </c>
      <c r="O688" s="327"/>
    </row>
    <row r="689" spans="1:15" ht="20.100000000000001" customHeight="1" x14ac:dyDescent="0.3">
      <c r="A689" s="151"/>
      <c r="B689" s="378"/>
      <c r="C689" s="371"/>
      <c r="D689" s="337"/>
      <c r="E689" s="353" t="s">
        <v>622</v>
      </c>
      <c r="F689" s="409" t="s">
        <v>1126</v>
      </c>
      <c r="G689" s="322"/>
      <c r="H689" s="324"/>
      <c r="I689" s="325"/>
      <c r="J689" s="325">
        <v>166.19</v>
      </c>
      <c r="K689" s="318">
        <v>166.19</v>
      </c>
      <c r="L689" s="322">
        <v>166.19</v>
      </c>
      <c r="M689" s="373">
        <v>45439</v>
      </c>
      <c r="N689" s="322">
        <f>+Table7[[#This Row],[стойност с ДДС]]-Table7[[#This Row],[направено плащане]]</f>
        <v>0</v>
      </c>
      <c r="O689" s="327"/>
    </row>
    <row r="690" spans="1:15" ht="20.100000000000001" customHeight="1" x14ac:dyDescent="0.3">
      <c r="A690" s="151"/>
      <c r="B690" s="378"/>
      <c r="C690" s="371"/>
      <c r="D690" s="337"/>
      <c r="E690" s="353" t="s">
        <v>622</v>
      </c>
      <c r="F690" s="409" t="s">
        <v>412</v>
      </c>
      <c r="G690" s="322"/>
      <c r="H690" s="324"/>
      <c r="I690" s="325"/>
      <c r="J690" s="325">
        <v>2590.1</v>
      </c>
      <c r="K690" s="318">
        <v>2590.1</v>
      </c>
      <c r="L690" s="322">
        <v>2590.1</v>
      </c>
      <c r="M690" s="373">
        <v>45439</v>
      </c>
      <c r="N690" s="322">
        <f>+Table7[[#This Row],[стойност с ДДС]]-Table7[[#This Row],[направено плащане]]</f>
        <v>0</v>
      </c>
      <c r="O690" s="327"/>
    </row>
    <row r="691" spans="1:15" ht="20.100000000000001" customHeight="1" x14ac:dyDescent="0.25">
      <c r="A691" s="206" t="s">
        <v>101</v>
      </c>
      <c r="B691" s="388" t="s">
        <v>1107</v>
      </c>
      <c r="C691" s="373">
        <v>45439</v>
      </c>
      <c r="D691" s="343"/>
      <c r="E691" s="347" t="s">
        <v>131</v>
      </c>
      <c r="F691" s="412" t="s">
        <v>1108</v>
      </c>
      <c r="G691" s="342"/>
      <c r="H691" s="344">
        <v>50</v>
      </c>
      <c r="I691" s="345">
        <v>51</v>
      </c>
      <c r="J691" s="345">
        <f>I691*H691</f>
        <v>2550</v>
      </c>
      <c r="K691" s="320">
        <f>J691*1.2</f>
        <v>3060</v>
      </c>
      <c r="L691" s="342">
        <v>3060</v>
      </c>
      <c r="M691" s="373">
        <v>45442</v>
      </c>
      <c r="N691" s="342">
        <f>+Table7[[#This Row],[стойност с ДДС]]-Table7[[#This Row],[направено плащане]]</f>
        <v>0</v>
      </c>
      <c r="O691" s="346">
        <v>45443</v>
      </c>
    </row>
    <row r="692" spans="1:15" ht="20.100000000000001" customHeight="1" x14ac:dyDescent="0.25">
      <c r="A692" s="206" t="s">
        <v>101</v>
      </c>
      <c r="B692" s="388" t="s">
        <v>1107</v>
      </c>
      <c r="C692" s="373">
        <v>45439</v>
      </c>
      <c r="D692" s="343"/>
      <c r="E692" s="347" t="s">
        <v>131</v>
      </c>
      <c r="F692" s="412" t="s">
        <v>1109</v>
      </c>
      <c r="G692" s="342"/>
      <c r="H692" s="344">
        <v>90</v>
      </c>
      <c r="I692" s="345">
        <v>51</v>
      </c>
      <c r="J692" s="345">
        <f>I692*H692</f>
        <v>4590</v>
      </c>
      <c r="K692" s="320">
        <f>J692*1.2</f>
        <v>5508</v>
      </c>
      <c r="L692" s="342">
        <v>5508</v>
      </c>
      <c r="M692" s="373">
        <v>45442</v>
      </c>
      <c r="N692" s="342">
        <f>+Table7[[#This Row],[стойност с ДДС]]-Table7[[#This Row],[направено плащане]]</f>
        <v>0</v>
      </c>
      <c r="O692" s="346">
        <v>45443</v>
      </c>
    </row>
    <row r="693" spans="1:15" ht="20.100000000000001" customHeight="1" x14ac:dyDescent="0.25">
      <c r="A693" s="206" t="s">
        <v>101</v>
      </c>
      <c r="B693" s="388" t="s">
        <v>1107</v>
      </c>
      <c r="C693" s="373">
        <v>45439</v>
      </c>
      <c r="D693" s="343"/>
      <c r="E693" s="347" t="s">
        <v>131</v>
      </c>
      <c r="F693" s="409" t="s">
        <v>1110</v>
      </c>
      <c r="G693" s="322"/>
      <c r="H693" s="324">
        <v>60</v>
      </c>
      <c r="I693" s="325">
        <v>51</v>
      </c>
      <c r="J693" s="325">
        <f t="shared" ref="J693:J694" si="89">I693*H693</f>
        <v>3060</v>
      </c>
      <c r="K693" s="318">
        <f t="shared" ref="K693" si="90">J693*1.2</f>
        <v>3672</v>
      </c>
      <c r="L693" s="322">
        <v>3672</v>
      </c>
      <c r="M693" s="371">
        <v>45442</v>
      </c>
      <c r="N693" s="322">
        <f>+Table7[[#This Row],[стойност с ДДС]]-Table7[[#This Row],[направено плащане]]</f>
        <v>0</v>
      </c>
      <c r="O693" s="346">
        <v>45443</v>
      </c>
    </row>
    <row r="694" spans="1:15" ht="20.100000000000001" customHeight="1" x14ac:dyDescent="0.25">
      <c r="A694" s="206" t="s">
        <v>1394</v>
      </c>
      <c r="B694" s="381" t="s">
        <v>1111</v>
      </c>
      <c r="C694" s="373">
        <v>45440</v>
      </c>
      <c r="D694" s="343"/>
      <c r="E694" s="347" t="s">
        <v>131</v>
      </c>
      <c r="F694" s="409"/>
      <c r="G694" s="322"/>
      <c r="H694" s="324">
        <v>500</v>
      </c>
      <c r="I694" s="325">
        <f>26.2804*1.9563</f>
        <v>51.41234652</v>
      </c>
      <c r="J694" s="325">
        <f t="shared" si="89"/>
        <v>25706.17326</v>
      </c>
      <c r="K694" s="318">
        <f>+Table7[[#This Row],[стойност]]</f>
        <v>25706.17326</v>
      </c>
      <c r="L694" s="322">
        <v>25706.17326</v>
      </c>
      <c r="M694" s="371">
        <v>45443</v>
      </c>
      <c r="N694" s="322">
        <f>+Table7[[#This Row],[стойност с ДДС]]-Table7[[#This Row],[направено плащане]]</f>
        <v>0</v>
      </c>
      <c r="O694" s="327">
        <v>45446</v>
      </c>
    </row>
    <row r="695" spans="1:15" ht="20.100000000000001" customHeight="1" x14ac:dyDescent="0.25">
      <c r="A695" s="206" t="s">
        <v>118</v>
      </c>
      <c r="B695" s="381" t="s">
        <v>1112</v>
      </c>
      <c r="C695" s="373">
        <v>45440</v>
      </c>
      <c r="D695" s="343"/>
      <c r="E695" s="347" t="s">
        <v>131</v>
      </c>
      <c r="F695" s="412" t="s">
        <v>1113</v>
      </c>
      <c r="G695" s="342"/>
      <c r="H695" s="344">
        <v>150</v>
      </c>
      <c r="I695" s="345">
        <v>50.5</v>
      </c>
      <c r="J695" s="345">
        <f>I695*H695</f>
        <v>7575</v>
      </c>
      <c r="K695" s="320">
        <f>J695*1.2</f>
        <v>9090</v>
      </c>
      <c r="L695" s="342">
        <v>9090</v>
      </c>
      <c r="M695" s="373">
        <v>45446</v>
      </c>
      <c r="N695" s="342">
        <f>+Table7[[#This Row],[стойност с ДДС]]-Table7[[#This Row],[направено плащане]]</f>
        <v>0</v>
      </c>
      <c r="O695" s="346">
        <v>45447</v>
      </c>
    </row>
    <row r="696" spans="1:15" ht="20.100000000000001" customHeight="1" x14ac:dyDescent="0.25">
      <c r="A696" s="206" t="s">
        <v>118</v>
      </c>
      <c r="B696" s="381" t="s">
        <v>1112</v>
      </c>
      <c r="C696" s="373">
        <v>45440</v>
      </c>
      <c r="D696" s="343"/>
      <c r="E696" s="347" t="s">
        <v>131</v>
      </c>
      <c r="F696" s="412" t="s">
        <v>1114</v>
      </c>
      <c r="G696" s="342"/>
      <c r="H696" s="344">
        <v>280</v>
      </c>
      <c r="I696" s="345">
        <v>51.4</v>
      </c>
      <c r="J696" s="345">
        <f>I696*H696</f>
        <v>14392</v>
      </c>
      <c r="K696" s="320">
        <f>J696*1.2</f>
        <v>17270.399999999998</v>
      </c>
      <c r="L696" s="342">
        <v>17270.399999999998</v>
      </c>
      <c r="M696" s="373">
        <v>45446</v>
      </c>
      <c r="N696" s="342">
        <f>+Table7[[#This Row],[стойност с ДДС]]-Table7[[#This Row],[направено плащане]]</f>
        <v>0</v>
      </c>
      <c r="O696" s="346">
        <v>45447</v>
      </c>
    </row>
    <row r="697" spans="1:15" ht="20.100000000000001" customHeight="1" x14ac:dyDescent="0.25">
      <c r="A697" s="206" t="s">
        <v>157</v>
      </c>
      <c r="B697" s="381" t="s">
        <v>1115</v>
      </c>
      <c r="C697" s="373">
        <v>45439</v>
      </c>
      <c r="D697" s="343"/>
      <c r="E697" s="347" t="s">
        <v>131</v>
      </c>
      <c r="F697" s="412"/>
      <c r="G697" s="342"/>
      <c r="H697" s="344">
        <v>200</v>
      </c>
      <c r="I697" s="345">
        <v>51.1</v>
      </c>
      <c r="J697" s="345">
        <f>I697*H697</f>
        <v>10220</v>
      </c>
      <c r="K697" s="320">
        <f>J697*1.2</f>
        <v>12264</v>
      </c>
      <c r="L697" s="342">
        <v>12264</v>
      </c>
      <c r="M697" s="371">
        <v>45442</v>
      </c>
      <c r="N697" s="342">
        <f>+Table7[[#This Row],[стойност с ДДС]]-Table7[[#This Row],[направено плащане]]</f>
        <v>0</v>
      </c>
      <c r="O697" s="346">
        <v>45443</v>
      </c>
    </row>
    <row r="698" spans="1:15" ht="20.100000000000001" customHeight="1" x14ac:dyDescent="0.25">
      <c r="A698" s="206" t="s">
        <v>157</v>
      </c>
      <c r="B698" s="381" t="s">
        <v>1115</v>
      </c>
      <c r="C698" s="373">
        <v>45439</v>
      </c>
      <c r="D698" s="343"/>
      <c r="E698" s="347" t="s">
        <v>131</v>
      </c>
      <c r="F698" s="412"/>
      <c r="G698" s="342"/>
      <c r="H698" s="344">
        <v>240</v>
      </c>
      <c r="I698" s="345">
        <v>50.85</v>
      </c>
      <c r="J698" s="345">
        <f>I698*H698</f>
        <v>12204</v>
      </c>
      <c r="K698" s="320">
        <f>J698*1.2</f>
        <v>14644.8</v>
      </c>
      <c r="L698" s="342">
        <v>14644.8</v>
      </c>
      <c r="M698" s="371">
        <v>45442</v>
      </c>
      <c r="N698" s="342">
        <f>+Table7[[#This Row],[стойност с ДДС]]-Table7[[#This Row],[направено плащане]]</f>
        <v>0</v>
      </c>
      <c r="O698" s="346">
        <v>45443</v>
      </c>
    </row>
    <row r="699" spans="1:15" ht="20.100000000000001" customHeight="1" x14ac:dyDescent="0.25">
      <c r="A699" s="206" t="s">
        <v>1394</v>
      </c>
      <c r="B699" s="381" t="s">
        <v>1116</v>
      </c>
      <c r="C699" s="373">
        <v>45433</v>
      </c>
      <c r="D699" s="343"/>
      <c r="E699" s="347" t="s">
        <v>131</v>
      </c>
      <c r="F699" s="412" t="s">
        <v>1132</v>
      </c>
      <c r="G699" s="342"/>
      <c r="H699" s="344">
        <v>225</v>
      </c>
      <c r="I699" s="345">
        <f>25.00217*1.9563</f>
        <v>48.911745171</v>
      </c>
      <c r="J699" s="345">
        <f>I699*H699</f>
        <v>11005.142663475001</v>
      </c>
      <c r="K699" s="320">
        <f>J699*1.2</f>
        <v>13206.17119617</v>
      </c>
      <c r="L699" s="342">
        <v>13206.17119617</v>
      </c>
      <c r="M699" s="373">
        <v>45441</v>
      </c>
      <c r="N699" s="342">
        <f>+Table7[[#This Row],[стойност с ДДС]]-Table7[[#This Row],[направено плащане]]</f>
        <v>0</v>
      </c>
      <c r="O699" s="346">
        <v>45439</v>
      </c>
    </row>
    <row r="700" spans="1:15" ht="20.100000000000001" customHeight="1" x14ac:dyDescent="0.25">
      <c r="A700" s="151" t="s">
        <v>1394</v>
      </c>
      <c r="B700" s="378" t="s">
        <v>1116</v>
      </c>
      <c r="C700" s="371">
        <v>45433</v>
      </c>
      <c r="D700" s="337"/>
      <c r="E700" s="328" t="s">
        <v>131</v>
      </c>
      <c r="F700" s="412" t="s">
        <v>1131</v>
      </c>
      <c r="G700" s="322"/>
      <c r="H700" s="324">
        <v>300</v>
      </c>
      <c r="I700" s="325">
        <v>48.92</v>
      </c>
      <c r="J700" s="325">
        <f t="shared" ref="J700:J701" si="91">I700*H700</f>
        <v>14676</v>
      </c>
      <c r="K700" s="322">
        <v>17615.432923199998</v>
      </c>
      <c r="L700" s="322">
        <v>17615.432923199998</v>
      </c>
      <c r="M700" s="371">
        <v>45441</v>
      </c>
      <c r="N700" s="322">
        <f>+Table7[[#This Row],[стойност с ДДС]]-Table7[[#This Row],[направено плащане]]</f>
        <v>0</v>
      </c>
      <c r="O700" s="346">
        <v>45439</v>
      </c>
    </row>
    <row r="701" spans="1:15" ht="20.100000000000001" customHeight="1" x14ac:dyDescent="0.25">
      <c r="A701" s="206" t="s">
        <v>1394</v>
      </c>
      <c r="B701" s="381" t="s">
        <v>1116</v>
      </c>
      <c r="C701" s="373">
        <v>45433</v>
      </c>
      <c r="D701" s="343"/>
      <c r="E701" s="347" t="s">
        <v>131</v>
      </c>
      <c r="F701" s="412" t="s">
        <v>1133</v>
      </c>
      <c r="G701" s="342"/>
      <c r="H701" s="344">
        <v>470</v>
      </c>
      <c r="I701" s="345">
        <v>49</v>
      </c>
      <c r="J701" s="345">
        <f t="shared" si="91"/>
        <v>23030</v>
      </c>
      <c r="K701" s="342">
        <v>27642.638725559998</v>
      </c>
      <c r="L701" s="342">
        <v>27642.638725559998</v>
      </c>
      <c r="M701" s="373">
        <v>45441</v>
      </c>
      <c r="N701" s="342">
        <f>+Table7[[#This Row],[стойност с ДДС]]-Table7[[#This Row],[направено плащане]]</f>
        <v>0</v>
      </c>
      <c r="O701" s="346">
        <v>45439</v>
      </c>
    </row>
    <row r="702" spans="1:15" ht="20.100000000000001" customHeight="1" x14ac:dyDescent="0.25">
      <c r="A702" s="206" t="s">
        <v>118</v>
      </c>
      <c r="B702" s="381" t="s">
        <v>1117</v>
      </c>
      <c r="C702" s="373">
        <v>45439</v>
      </c>
      <c r="D702" s="343"/>
      <c r="E702" s="347" t="s">
        <v>131</v>
      </c>
      <c r="F702" s="412"/>
      <c r="G702" s="342"/>
      <c r="H702" s="344">
        <v>60</v>
      </c>
      <c r="I702" s="345">
        <v>51</v>
      </c>
      <c r="J702" s="345">
        <f t="shared" ref="J702:J714" si="92">I702*H702</f>
        <v>3060</v>
      </c>
      <c r="K702" s="320">
        <f>J702*1.2</f>
        <v>3672</v>
      </c>
      <c r="L702" s="342">
        <v>3672</v>
      </c>
      <c r="M702" s="373">
        <v>45443</v>
      </c>
      <c r="N702" s="342">
        <f>+Table7[[#This Row],[стойност с ДДС]]-Table7[[#This Row],[направено плащане]]</f>
        <v>0</v>
      </c>
      <c r="O702" s="346">
        <v>45446</v>
      </c>
    </row>
    <row r="703" spans="1:15" ht="20.100000000000001" customHeight="1" x14ac:dyDescent="0.25">
      <c r="A703" s="206" t="s">
        <v>159</v>
      </c>
      <c r="B703" s="381" t="s">
        <v>1140</v>
      </c>
      <c r="C703" s="373">
        <v>45439</v>
      </c>
      <c r="D703" s="343"/>
      <c r="E703" s="347" t="s">
        <v>131</v>
      </c>
      <c r="F703" s="412"/>
      <c r="G703" s="342"/>
      <c r="H703" s="344">
        <v>1000</v>
      </c>
      <c r="I703" s="345">
        <f>26.22927*1.9563</f>
        <v>51.312320901</v>
      </c>
      <c r="J703" s="345">
        <f t="shared" si="92"/>
        <v>51312.320900999999</v>
      </c>
      <c r="K703" s="320">
        <f>+Table7[[#This Row],[стойност]]</f>
        <v>51312.320900999999</v>
      </c>
      <c r="L703" s="342">
        <v>51312.320900999999</v>
      </c>
      <c r="M703" s="373">
        <v>45443</v>
      </c>
      <c r="N703" s="342">
        <f>+Table7[[#This Row],[стойност с ДДС]]-Table7[[#This Row],[направено плащане]]</f>
        <v>0</v>
      </c>
      <c r="O703" s="346">
        <v>45446</v>
      </c>
    </row>
    <row r="704" spans="1:15" ht="20.100000000000001" customHeight="1" x14ac:dyDescent="0.25">
      <c r="A704" s="206" t="s">
        <v>159</v>
      </c>
      <c r="B704" s="381" t="s">
        <v>1141</v>
      </c>
      <c r="C704" s="373">
        <v>45435</v>
      </c>
      <c r="D704" s="343"/>
      <c r="E704" s="347" t="s">
        <v>131</v>
      </c>
      <c r="F704" s="412"/>
      <c r="G704" s="342"/>
      <c r="H704" s="344">
        <v>3000</v>
      </c>
      <c r="I704" s="345">
        <f>26.07589*1.9563</f>
        <v>51.012263607000001</v>
      </c>
      <c r="J704" s="345">
        <f t="shared" si="92"/>
        <v>153036.790821</v>
      </c>
      <c r="K704" s="320">
        <f>+Table7[[#This Row],[стойност]]</f>
        <v>153036.790821</v>
      </c>
      <c r="L704" s="342">
        <v>153036.790821</v>
      </c>
      <c r="M704" s="373">
        <v>45441</v>
      </c>
      <c r="N704" s="342">
        <f>+Table7[[#This Row],[стойност с ДДС]]-Table7[[#This Row],[направено плащане]]</f>
        <v>0</v>
      </c>
      <c r="O704" s="346">
        <v>45442</v>
      </c>
    </row>
    <row r="705" spans="1:15" ht="20.100000000000001" customHeight="1" x14ac:dyDescent="0.25">
      <c r="A705" s="206" t="s">
        <v>159</v>
      </c>
      <c r="B705" s="381" t="s">
        <v>1142</v>
      </c>
      <c r="C705" s="373">
        <v>45436</v>
      </c>
      <c r="D705" s="343"/>
      <c r="E705" s="347" t="s">
        <v>131</v>
      </c>
      <c r="F705" s="409"/>
      <c r="G705" s="322"/>
      <c r="H705" s="324">
        <v>7000</v>
      </c>
      <c r="I705" s="325">
        <f>24.8*1.9563</f>
        <v>48.516239999999996</v>
      </c>
      <c r="J705" s="325">
        <f t="shared" si="92"/>
        <v>339613.68</v>
      </c>
      <c r="K705" s="318">
        <f>+Table7[[#This Row],[стойност]]</f>
        <v>339613.68</v>
      </c>
      <c r="L705" s="322">
        <v>339613.68</v>
      </c>
      <c r="M705" s="371">
        <v>45440</v>
      </c>
      <c r="N705" s="322">
        <f>+Table7[[#This Row],[стойност с ДДС]]-Table7[[#This Row],[направено плащане]]</f>
        <v>0</v>
      </c>
      <c r="O705" s="327">
        <v>45441</v>
      </c>
    </row>
    <row r="706" spans="1:15" ht="20.100000000000001" customHeight="1" x14ac:dyDescent="0.25">
      <c r="A706" s="206" t="s">
        <v>118</v>
      </c>
      <c r="B706" s="381" t="s">
        <v>1120</v>
      </c>
      <c r="C706" s="373">
        <v>45439</v>
      </c>
      <c r="D706" s="343"/>
      <c r="E706" s="347" t="s">
        <v>131</v>
      </c>
      <c r="F706" s="412"/>
      <c r="G706" s="342"/>
      <c r="H706" s="344">
        <v>3500</v>
      </c>
      <c r="I706" s="345">
        <v>48.7</v>
      </c>
      <c r="J706" s="345">
        <f t="shared" si="92"/>
        <v>170450</v>
      </c>
      <c r="K706" s="320">
        <f>J706*1.2</f>
        <v>204540</v>
      </c>
      <c r="L706" s="342">
        <v>204540</v>
      </c>
      <c r="M706" s="373">
        <v>45443</v>
      </c>
      <c r="N706" s="342">
        <f>+Table7[[#This Row],[стойност с ДДС]]-Table7[[#This Row],[направено плащане]]</f>
        <v>0</v>
      </c>
      <c r="O706" s="346">
        <v>45446</v>
      </c>
    </row>
    <row r="707" spans="1:15" ht="20.100000000000001" customHeight="1" x14ac:dyDescent="0.25">
      <c r="A707" s="206" t="s">
        <v>118</v>
      </c>
      <c r="B707" s="378" t="s">
        <v>1121</v>
      </c>
      <c r="C707" s="371">
        <v>45438</v>
      </c>
      <c r="D707" s="337"/>
      <c r="E707" s="347" t="s">
        <v>131</v>
      </c>
      <c r="F707" s="409"/>
      <c r="G707" s="322"/>
      <c r="H707" s="324">
        <v>800</v>
      </c>
      <c r="I707" s="325">
        <v>51.1</v>
      </c>
      <c r="J707" s="325">
        <f t="shared" si="92"/>
        <v>40880</v>
      </c>
      <c r="K707" s="318">
        <f>J707*1.2</f>
        <v>49056</v>
      </c>
      <c r="L707" s="322">
        <v>49056</v>
      </c>
      <c r="M707" s="371">
        <v>45442</v>
      </c>
      <c r="N707" s="322">
        <f>+Table7[[#This Row],[стойност с ДДС]]-Table7[[#This Row],[направено плащане]]</f>
        <v>0</v>
      </c>
      <c r="O707" s="327">
        <v>45443</v>
      </c>
    </row>
    <row r="708" spans="1:15" ht="20.100000000000001" customHeight="1" x14ac:dyDescent="0.25">
      <c r="A708" s="206" t="s">
        <v>118</v>
      </c>
      <c r="B708" s="378" t="s">
        <v>1122</v>
      </c>
      <c r="C708" s="371">
        <v>45435</v>
      </c>
      <c r="D708" s="337"/>
      <c r="E708" s="347" t="s">
        <v>131</v>
      </c>
      <c r="F708" s="409"/>
      <c r="G708" s="322"/>
      <c r="H708" s="324">
        <v>1050</v>
      </c>
      <c r="I708" s="325">
        <v>51</v>
      </c>
      <c r="J708" s="325">
        <f t="shared" si="92"/>
        <v>53550</v>
      </c>
      <c r="K708" s="318">
        <f>J708*1.2</f>
        <v>64260</v>
      </c>
      <c r="L708" s="322">
        <v>64260</v>
      </c>
      <c r="M708" s="371">
        <v>45442</v>
      </c>
      <c r="N708" s="322">
        <f>+Table7[[#This Row],[стойност с ДДС]]-Table7[[#This Row],[направено плащане]]</f>
        <v>0</v>
      </c>
      <c r="O708" s="327">
        <v>45443</v>
      </c>
    </row>
    <row r="709" spans="1:15" ht="20.100000000000001" customHeight="1" x14ac:dyDescent="0.25">
      <c r="A709" s="206" t="s">
        <v>159</v>
      </c>
      <c r="B709" s="381" t="s">
        <v>1139</v>
      </c>
      <c r="C709" s="373">
        <v>45439</v>
      </c>
      <c r="D709" s="343"/>
      <c r="E709" s="347" t="s">
        <v>131</v>
      </c>
      <c r="F709" s="412"/>
      <c r="G709" s="342"/>
      <c r="H709" s="344">
        <v>800</v>
      </c>
      <c r="I709" s="345">
        <v>26.178139999999999</v>
      </c>
      <c r="J709" s="345">
        <f t="shared" si="92"/>
        <v>20942.511999999999</v>
      </c>
      <c r="K709" s="320">
        <f>+Table7[[#This Row],[стойност]]</f>
        <v>20942.511999999999</v>
      </c>
      <c r="L709" s="342">
        <v>20942.511999999999</v>
      </c>
      <c r="M709" s="373">
        <v>45442</v>
      </c>
      <c r="N709" s="342">
        <f>+Table7[[#This Row],[стойност с ДДС]]-Table7[[#This Row],[направено плащане]]</f>
        <v>0</v>
      </c>
      <c r="O709" s="346">
        <v>45443</v>
      </c>
    </row>
    <row r="710" spans="1:15" ht="20.100000000000001" customHeight="1" x14ac:dyDescent="0.25">
      <c r="A710" s="206" t="s">
        <v>1394</v>
      </c>
      <c r="B710" s="381" t="s">
        <v>1123</v>
      </c>
      <c r="C710" s="373">
        <v>45435</v>
      </c>
      <c r="D710" s="343"/>
      <c r="E710" s="347" t="s">
        <v>131</v>
      </c>
      <c r="F710" s="412"/>
      <c r="G710" s="342"/>
      <c r="H710" s="344">
        <v>251</v>
      </c>
      <c r="I710" s="345">
        <f>26.07589*1.9563</f>
        <v>51.012263607000001</v>
      </c>
      <c r="J710" s="345">
        <f t="shared" si="92"/>
        <v>12804.078165357001</v>
      </c>
      <c r="K710" s="320">
        <f>+Table7[[#This Row],[стойност]]</f>
        <v>12804.078165357001</v>
      </c>
      <c r="L710" s="342">
        <v>12804.078165357001</v>
      </c>
      <c r="M710" s="373">
        <v>45440</v>
      </c>
      <c r="N710" s="342">
        <f>+Table7[[#This Row],[стойност с ДДС]]-Table7[[#This Row],[направено плащане]]</f>
        <v>0</v>
      </c>
      <c r="O710" s="346">
        <v>45441</v>
      </c>
    </row>
    <row r="711" spans="1:15" ht="20.100000000000001" customHeight="1" x14ac:dyDescent="0.25">
      <c r="A711" s="206" t="s">
        <v>118</v>
      </c>
      <c r="B711" s="381" t="s">
        <v>1124</v>
      </c>
      <c r="C711" s="373">
        <v>45432</v>
      </c>
      <c r="D711" s="343"/>
      <c r="E711" s="347" t="s">
        <v>131</v>
      </c>
      <c r="F711" s="412"/>
      <c r="G711" s="342"/>
      <c r="H711" s="344">
        <v>3500</v>
      </c>
      <c r="I711" s="345">
        <v>48.7</v>
      </c>
      <c r="J711" s="345">
        <f t="shared" si="92"/>
        <v>170450</v>
      </c>
      <c r="K711" s="320">
        <f>J711*1.2</f>
        <v>204540</v>
      </c>
      <c r="L711" s="342">
        <v>204540</v>
      </c>
      <c r="M711" s="373">
        <v>45435</v>
      </c>
      <c r="N711" s="342">
        <f>+Table7[[#This Row],[стойност с ДДС]]-Table7[[#This Row],[направено плащане]]</f>
        <v>0</v>
      </c>
      <c r="O711" s="346"/>
    </row>
    <row r="712" spans="1:15" ht="20.100000000000001" customHeight="1" x14ac:dyDescent="0.25">
      <c r="A712" s="206" t="s">
        <v>91</v>
      </c>
      <c r="B712" s="381" t="s">
        <v>84</v>
      </c>
      <c r="C712" s="373"/>
      <c r="D712" s="343"/>
      <c r="E712" s="347"/>
      <c r="F712" s="412"/>
      <c r="G712" s="342"/>
      <c r="H712" s="344"/>
      <c r="I712" s="345"/>
      <c r="J712" s="345">
        <f t="shared" si="92"/>
        <v>0</v>
      </c>
      <c r="K712" s="320">
        <v>8097.19</v>
      </c>
      <c r="L712" s="342">
        <v>8097.19</v>
      </c>
      <c r="M712" s="373">
        <v>45439</v>
      </c>
      <c r="N712" s="342">
        <f>+Table7[[#This Row],[стойност с ДДС]]-Table7[[#This Row],[направено плащане]]</f>
        <v>0</v>
      </c>
      <c r="O712" s="346"/>
    </row>
    <row r="713" spans="1:15" ht="20.100000000000001" customHeight="1" x14ac:dyDescent="0.25">
      <c r="A713" s="206" t="s">
        <v>157</v>
      </c>
      <c r="B713" s="381" t="s">
        <v>1127</v>
      </c>
      <c r="C713" s="373">
        <v>45440</v>
      </c>
      <c r="D713" s="343"/>
      <c r="E713" s="347" t="s">
        <v>131</v>
      </c>
      <c r="F713" s="412"/>
      <c r="G713" s="342"/>
      <c r="H713" s="344">
        <v>250</v>
      </c>
      <c r="I713" s="345">
        <v>50.8</v>
      </c>
      <c r="J713" s="345">
        <f t="shared" si="92"/>
        <v>12700</v>
      </c>
      <c r="K713" s="320">
        <f>J713*1.2</f>
        <v>15240</v>
      </c>
      <c r="L713" s="342">
        <v>15240</v>
      </c>
      <c r="M713" s="373">
        <v>45443</v>
      </c>
      <c r="N713" s="342">
        <f>+Table7[[#This Row],[стойност с ДДС]]-Table7[[#This Row],[направено плащане]]</f>
        <v>0</v>
      </c>
      <c r="O713" s="346"/>
    </row>
    <row r="714" spans="1:15" ht="20.100000000000001" customHeight="1" x14ac:dyDescent="0.25">
      <c r="A714" s="206" t="s">
        <v>157</v>
      </c>
      <c r="B714" s="381" t="s">
        <v>1127</v>
      </c>
      <c r="C714" s="373">
        <v>45440</v>
      </c>
      <c r="D714" s="343"/>
      <c r="E714" s="347" t="s">
        <v>131</v>
      </c>
      <c r="F714" s="412"/>
      <c r="G714" s="342"/>
      <c r="H714" s="344">
        <v>250</v>
      </c>
      <c r="I714" s="345">
        <v>51.4</v>
      </c>
      <c r="J714" s="345">
        <f t="shared" si="92"/>
        <v>12850</v>
      </c>
      <c r="K714" s="320">
        <f>J714*1.2</f>
        <v>15420</v>
      </c>
      <c r="L714" s="342">
        <v>15420</v>
      </c>
      <c r="M714" s="373">
        <v>45443</v>
      </c>
      <c r="N714" s="342">
        <f>+Table7[[#This Row],[стойност с ДДС]]-Table7[[#This Row],[направено плащане]]</f>
        <v>0</v>
      </c>
      <c r="O714" s="346"/>
    </row>
    <row r="715" spans="1:15" ht="20.100000000000001" customHeight="1" x14ac:dyDescent="0.3">
      <c r="A715" s="206" t="s">
        <v>1395</v>
      </c>
      <c r="B715" s="381" t="s">
        <v>1128</v>
      </c>
      <c r="C715" s="373">
        <v>45414</v>
      </c>
      <c r="D715" s="343"/>
      <c r="E715" s="353" t="s">
        <v>874</v>
      </c>
      <c r="F715" s="412"/>
      <c r="G715" s="342"/>
      <c r="H715" s="344"/>
      <c r="I715" s="345"/>
      <c r="J715" s="345">
        <f>270*1.563</f>
        <v>422.01</v>
      </c>
      <c r="K715" s="320">
        <f>+Table7[[#This Row],[стойност]]</f>
        <v>422.01</v>
      </c>
      <c r="L715" s="342">
        <v>422.01</v>
      </c>
      <c r="M715" s="373">
        <v>45443</v>
      </c>
      <c r="N715" s="342">
        <f>+Table7[[#This Row],[стойност с ДДС]]-Table7[[#This Row],[направено плащане]]</f>
        <v>0</v>
      </c>
      <c r="O715" s="346"/>
    </row>
    <row r="716" spans="1:15" ht="20.100000000000001" customHeight="1" x14ac:dyDescent="0.25">
      <c r="A716" s="206" t="s">
        <v>352</v>
      </c>
      <c r="B716" s="381" t="s">
        <v>1129</v>
      </c>
      <c r="C716" s="373">
        <v>45440</v>
      </c>
      <c r="D716" s="343"/>
      <c r="E716" s="347" t="s">
        <v>131</v>
      </c>
      <c r="F716" s="412" t="s">
        <v>1130</v>
      </c>
      <c r="G716" s="342"/>
      <c r="H716" s="344">
        <v>220</v>
      </c>
      <c r="I716" s="345">
        <v>51.4</v>
      </c>
      <c r="J716" s="345">
        <f t="shared" ref="J716:J721" si="93">I716*H716</f>
        <v>11308</v>
      </c>
      <c r="K716" s="320">
        <f>J716*1.2</f>
        <v>13569.6</v>
      </c>
      <c r="L716" s="342">
        <v>13569.6</v>
      </c>
      <c r="M716" s="373">
        <v>45443</v>
      </c>
      <c r="N716" s="342">
        <f>+Table7[[#This Row],[стойност с ДДС]]-Table7[[#This Row],[направено плащане]]</f>
        <v>0</v>
      </c>
      <c r="O716" s="346"/>
    </row>
    <row r="717" spans="1:15" ht="20.100000000000001" customHeight="1" x14ac:dyDescent="0.25">
      <c r="A717" s="206" t="s">
        <v>118</v>
      </c>
      <c r="B717" s="381" t="s">
        <v>1134</v>
      </c>
      <c r="C717" s="373">
        <v>45442</v>
      </c>
      <c r="D717" s="343"/>
      <c r="E717" s="347" t="s">
        <v>131</v>
      </c>
      <c r="F717" s="412" t="s">
        <v>1135</v>
      </c>
      <c r="G717" s="342"/>
      <c r="H717" s="344">
        <v>50</v>
      </c>
      <c r="I717" s="345">
        <v>51.15</v>
      </c>
      <c r="J717" s="345">
        <f t="shared" si="93"/>
        <v>2557.5</v>
      </c>
      <c r="K717" s="320">
        <f>J717*1.2</f>
        <v>3069</v>
      </c>
      <c r="L717" s="342">
        <v>3069</v>
      </c>
      <c r="M717" s="373">
        <v>45448</v>
      </c>
      <c r="N717" s="342">
        <f>+Table7[[#This Row],[стойност с ДДС]]-Table7[[#This Row],[направено плащане]]</f>
        <v>0</v>
      </c>
      <c r="O717" s="346">
        <v>45449</v>
      </c>
    </row>
    <row r="718" spans="1:15" ht="20.100000000000001" customHeight="1" x14ac:dyDescent="0.3">
      <c r="A718" s="206" t="s">
        <v>914</v>
      </c>
      <c r="B718" s="381" t="s">
        <v>1136</v>
      </c>
      <c r="C718" s="373">
        <v>45446</v>
      </c>
      <c r="D718" s="343"/>
      <c r="E718" s="323" t="s">
        <v>263</v>
      </c>
      <c r="F718" s="387">
        <v>45444</v>
      </c>
      <c r="G718" s="322"/>
      <c r="H718" s="344">
        <v>225</v>
      </c>
      <c r="I718" s="345">
        <v>67.119</v>
      </c>
      <c r="J718" s="345">
        <f t="shared" si="93"/>
        <v>15101.775</v>
      </c>
      <c r="K718" s="320">
        <f>J718*1.2</f>
        <v>18122.129999999997</v>
      </c>
      <c r="L718" s="342">
        <v>18122.129999999997</v>
      </c>
      <c r="M718" s="373">
        <v>45457</v>
      </c>
      <c r="N718" s="342">
        <f>+Table7[[#This Row],[стойност с ДДС]]-Table7[[#This Row],[направено плащане]]</f>
        <v>0</v>
      </c>
      <c r="O718" s="346">
        <v>45458</v>
      </c>
    </row>
    <row r="719" spans="1:15" ht="20.100000000000001" customHeight="1" x14ac:dyDescent="0.3">
      <c r="A719" s="206" t="s">
        <v>914</v>
      </c>
      <c r="B719" s="378" t="s">
        <v>1137</v>
      </c>
      <c r="C719" s="371">
        <v>45446</v>
      </c>
      <c r="D719" s="337"/>
      <c r="E719" s="323" t="s">
        <v>263</v>
      </c>
      <c r="F719" s="387">
        <v>45444</v>
      </c>
      <c r="G719" s="322"/>
      <c r="H719" s="324">
        <v>225</v>
      </c>
      <c r="I719" s="325">
        <v>67.119</v>
      </c>
      <c r="J719" s="325">
        <f t="shared" si="93"/>
        <v>15101.775</v>
      </c>
      <c r="K719" s="318">
        <f>J719*1.2</f>
        <v>18122.129999999997</v>
      </c>
      <c r="L719" s="322">
        <v>18122.129999999997</v>
      </c>
      <c r="M719" s="371">
        <v>45447</v>
      </c>
      <c r="N719" s="322">
        <f>+Table7[[#This Row],[стойност с ДДС]]-Table7[[#This Row],[направено плащане]]</f>
        <v>0</v>
      </c>
      <c r="O719" s="327">
        <v>45458</v>
      </c>
    </row>
    <row r="720" spans="1:15" ht="20.100000000000001" customHeight="1" x14ac:dyDescent="0.25">
      <c r="A720" s="206" t="s">
        <v>159</v>
      </c>
      <c r="B720" s="381" t="s">
        <v>1138</v>
      </c>
      <c r="C720" s="373">
        <v>45446</v>
      </c>
      <c r="D720" s="343"/>
      <c r="E720" s="347" t="s">
        <v>131</v>
      </c>
      <c r="F720" s="412"/>
      <c r="G720" s="342"/>
      <c r="H720" s="344">
        <v>2000</v>
      </c>
      <c r="I720" s="345">
        <f>27.86541*1.9563</f>
        <v>54.513101583000001</v>
      </c>
      <c r="J720" s="345">
        <f t="shared" si="93"/>
        <v>109026.20316600001</v>
      </c>
      <c r="K720" s="320">
        <f>+Table7[[#This Row],[стойност]]</f>
        <v>109026.20316600001</v>
      </c>
      <c r="L720" s="342">
        <v>109026.20316600001</v>
      </c>
      <c r="M720" s="373">
        <v>45449</v>
      </c>
      <c r="N720" s="342">
        <f>+Table7[[#This Row],[стойност с ДДС]]-Table7[[#This Row],[направено плащане]]</f>
        <v>0</v>
      </c>
      <c r="O720" s="346">
        <v>45450</v>
      </c>
    </row>
    <row r="721" spans="1:15" ht="20.100000000000001" customHeight="1" x14ac:dyDescent="0.25">
      <c r="A721" s="206" t="s">
        <v>118</v>
      </c>
      <c r="B721" s="381" t="s">
        <v>1143</v>
      </c>
      <c r="C721" s="373">
        <v>45450</v>
      </c>
      <c r="D721" s="343"/>
      <c r="E721" s="347" t="s">
        <v>131</v>
      </c>
      <c r="F721" s="412"/>
      <c r="G721" s="342"/>
      <c r="H721" s="344">
        <v>600</v>
      </c>
      <c r="I721" s="345">
        <v>54.2</v>
      </c>
      <c r="J721" s="345">
        <f t="shared" si="93"/>
        <v>32520</v>
      </c>
      <c r="K721" s="320">
        <f>J721*1.2</f>
        <v>39024</v>
      </c>
      <c r="L721" s="342">
        <v>39024</v>
      </c>
      <c r="M721" s="373">
        <v>45449</v>
      </c>
      <c r="N721" s="342">
        <f>+Table7[[#This Row],[стойност с ДДС]]-Table7[[#This Row],[направено плащане]]</f>
        <v>0</v>
      </c>
      <c r="O721" s="346">
        <v>45450</v>
      </c>
    </row>
    <row r="722" spans="1:15" ht="20.100000000000001" customHeight="1" x14ac:dyDescent="0.25">
      <c r="A722" s="151" t="s">
        <v>118</v>
      </c>
      <c r="B722" s="378" t="s">
        <v>1143</v>
      </c>
      <c r="C722" s="371">
        <v>45450</v>
      </c>
      <c r="D722" s="337"/>
      <c r="E722" s="328" t="s">
        <v>131</v>
      </c>
      <c r="F722" s="409"/>
      <c r="G722" s="322"/>
      <c r="H722" s="324">
        <v>600</v>
      </c>
      <c r="I722" s="325">
        <v>54.1</v>
      </c>
      <c r="J722" s="325">
        <f t="shared" ref="J722:J723" si="94">I722*H722</f>
        <v>32460</v>
      </c>
      <c r="K722" s="318">
        <f t="shared" ref="K722:K723" si="95">J722*1.2</f>
        <v>38952</v>
      </c>
      <c r="L722" s="322">
        <v>38952</v>
      </c>
      <c r="M722" s="371">
        <v>45449</v>
      </c>
      <c r="N722" s="322">
        <f>+Table7[[#This Row],[стойност с ДДС]]-Table7[[#This Row],[направено плащане]]</f>
        <v>0</v>
      </c>
      <c r="O722" s="327">
        <v>45450</v>
      </c>
    </row>
    <row r="723" spans="1:15" ht="20.100000000000001" customHeight="1" x14ac:dyDescent="0.25">
      <c r="A723" s="206" t="s">
        <v>118</v>
      </c>
      <c r="B723" s="381" t="s">
        <v>1143</v>
      </c>
      <c r="C723" s="373">
        <v>45450</v>
      </c>
      <c r="D723" s="343"/>
      <c r="E723" s="347" t="s">
        <v>131</v>
      </c>
      <c r="F723" s="412"/>
      <c r="G723" s="342"/>
      <c r="H723" s="344">
        <v>100</v>
      </c>
      <c r="I723" s="345">
        <v>54</v>
      </c>
      <c r="J723" s="345">
        <f t="shared" si="94"/>
        <v>5400</v>
      </c>
      <c r="K723" s="320">
        <f t="shared" si="95"/>
        <v>6480</v>
      </c>
      <c r="L723" s="342">
        <v>6480</v>
      </c>
      <c r="M723" s="373">
        <v>45449</v>
      </c>
      <c r="N723" s="342">
        <f>+Table7[[#This Row],[стойност с ДДС]]-Table7[[#This Row],[направено плащане]]</f>
        <v>0</v>
      </c>
      <c r="O723" s="346">
        <v>45450</v>
      </c>
    </row>
    <row r="724" spans="1:15" ht="20.100000000000001" customHeight="1" x14ac:dyDescent="0.25">
      <c r="A724" s="206" t="s">
        <v>118</v>
      </c>
      <c r="B724" s="378" t="s">
        <v>1144</v>
      </c>
      <c r="C724" s="371">
        <v>45450</v>
      </c>
      <c r="D724" s="337"/>
      <c r="E724" s="347" t="s">
        <v>131</v>
      </c>
      <c r="F724" s="409"/>
      <c r="G724" s="322"/>
      <c r="H724" s="324">
        <v>25</v>
      </c>
      <c r="I724" s="325">
        <v>53</v>
      </c>
      <c r="J724" s="325">
        <f t="shared" ref="J724:J725" si="96">I724*H724</f>
        <v>1325</v>
      </c>
      <c r="K724" s="318">
        <f t="shared" ref="K724:K725" si="97">J724*1.2</f>
        <v>1590</v>
      </c>
      <c r="L724" s="322">
        <v>1590</v>
      </c>
      <c r="M724" s="371">
        <v>45449</v>
      </c>
      <c r="N724" s="322">
        <f>+Table7[[#This Row],[стойност с ДДС]]-Table7[[#This Row],[направено плащане]]</f>
        <v>0</v>
      </c>
      <c r="O724" s="346">
        <v>45450</v>
      </c>
    </row>
    <row r="725" spans="1:15" ht="20.100000000000001" customHeight="1" x14ac:dyDescent="0.25">
      <c r="A725" s="206" t="s">
        <v>118</v>
      </c>
      <c r="B725" s="378" t="s">
        <v>1144</v>
      </c>
      <c r="C725" s="371">
        <v>45450</v>
      </c>
      <c r="D725" s="337"/>
      <c r="E725" s="347" t="s">
        <v>131</v>
      </c>
      <c r="F725" s="409"/>
      <c r="G725" s="322"/>
      <c r="H725" s="324">
        <v>50</v>
      </c>
      <c r="I725" s="325">
        <v>53</v>
      </c>
      <c r="J725" s="325">
        <f t="shared" si="96"/>
        <v>2650</v>
      </c>
      <c r="K725" s="318">
        <f t="shared" si="97"/>
        <v>3180</v>
      </c>
      <c r="L725" s="322">
        <v>3180</v>
      </c>
      <c r="M725" s="371">
        <v>45449</v>
      </c>
      <c r="N725" s="322">
        <f>+Table7[[#This Row],[стойност с ДДС]]-Table7[[#This Row],[направено плащане]]</f>
        <v>0</v>
      </c>
      <c r="O725" s="327">
        <v>45450</v>
      </c>
    </row>
    <row r="726" spans="1:15" ht="20.100000000000001" customHeight="1" x14ac:dyDescent="0.25">
      <c r="A726" s="206" t="s">
        <v>118</v>
      </c>
      <c r="B726" s="378" t="s">
        <v>1145</v>
      </c>
      <c r="C726" s="371">
        <v>45444</v>
      </c>
      <c r="D726" s="337"/>
      <c r="E726" s="347" t="s">
        <v>131</v>
      </c>
      <c r="F726" s="409"/>
      <c r="G726" s="322"/>
      <c r="H726" s="324">
        <v>200</v>
      </c>
      <c r="I726" s="325">
        <v>54.5</v>
      </c>
      <c r="J726" s="325">
        <f>I726*H726</f>
        <v>10900</v>
      </c>
      <c r="K726" s="318">
        <f>J726*1.2</f>
        <v>13080</v>
      </c>
      <c r="L726" s="322">
        <v>13080</v>
      </c>
      <c r="M726" s="371">
        <v>45449</v>
      </c>
      <c r="N726" s="322">
        <f>+Table7[[#This Row],[стойност с ДДС]]-Table7[[#This Row],[направено плащане]]</f>
        <v>0</v>
      </c>
      <c r="O726" s="346">
        <v>45450</v>
      </c>
    </row>
    <row r="727" spans="1:15" ht="20.100000000000001" customHeight="1" x14ac:dyDescent="0.25">
      <c r="A727" s="206" t="s">
        <v>159</v>
      </c>
      <c r="B727" s="381" t="s">
        <v>1147</v>
      </c>
      <c r="C727" s="371"/>
      <c r="D727" s="337"/>
      <c r="E727" s="328" t="s">
        <v>1148</v>
      </c>
      <c r="F727" s="409"/>
      <c r="G727" s="322"/>
      <c r="H727" s="324"/>
      <c r="I727" s="325"/>
      <c r="J727" s="325">
        <f>I727*H727</f>
        <v>0</v>
      </c>
      <c r="K727" s="318">
        <f>J727*1.2</f>
        <v>0</v>
      </c>
      <c r="L727" s="322"/>
      <c r="M727" s="418">
        <f t="shared" ref="M727:M728" si="98">L727*1.2</f>
        <v>0</v>
      </c>
      <c r="N727" s="322">
        <f>+Table7[[#This Row],[стойност с ДДС]]-Table7[[#This Row],[направено плащане]]</f>
        <v>0</v>
      </c>
      <c r="O727" s="327"/>
    </row>
    <row r="728" spans="1:15" ht="20.100000000000001" customHeight="1" x14ac:dyDescent="0.25">
      <c r="A728" s="206" t="s">
        <v>159</v>
      </c>
      <c r="B728" s="381" t="s">
        <v>1149</v>
      </c>
      <c r="C728" s="371"/>
      <c r="D728" s="337"/>
      <c r="E728" s="328" t="s">
        <v>1148</v>
      </c>
      <c r="F728" s="409"/>
      <c r="G728" s="322"/>
      <c r="H728" s="324"/>
      <c r="I728" s="325"/>
      <c r="J728" s="325">
        <f>I728*H728</f>
        <v>0</v>
      </c>
      <c r="K728" s="318">
        <f>J728*1.2</f>
        <v>0</v>
      </c>
      <c r="L728" s="322"/>
      <c r="M728" s="419">
        <f t="shared" si="98"/>
        <v>0</v>
      </c>
      <c r="N728" s="322">
        <f>+Table7[[#This Row],[стойност с ДДС]]-Table7[[#This Row],[направено плащане]]</f>
        <v>0</v>
      </c>
      <c r="O728" s="327"/>
    </row>
    <row r="729" spans="1:15" ht="20.100000000000001" customHeight="1" x14ac:dyDescent="0.25">
      <c r="A729" s="206" t="s">
        <v>159</v>
      </c>
      <c r="B729" s="381" t="s">
        <v>1150</v>
      </c>
      <c r="C729" s="371"/>
      <c r="D729" s="337"/>
      <c r="E729" s="328" t="s">
        <v>1148</v>
      </c>
      <c r="F729" s="409"/>
      <c r="G729" s="322"/>
      <c r="H729" s="324"/>
      <c r="I729" s="325"/>
      <c r="J729" s="325">
        <f>I729*H729</f>
        <v>0</v>
      </c>
      <c r="K729" s="318">
        <f>J729*1.2</f>
        <v>0</v>
      </c>
      <c r="L729" s="322"/>
      <c r="M729" s="371"/>
      <c r="N729" s="322">
        <f>+Table7[[#This Row],[стойност с ДДС]]-Table7[[#This Row],[направено плащане]]</f>
        <v>0</v>
      </c>
      <c r="O729" s="327"/>
    </row>
    <row r="730" spans="1:15" ht="20.100000000000001" customHeight="1" x14ac:dyDescent="0.25">
      <c r="A730" s="206" t="s">
        <v>235</v>
      </c>
      <c r="B730" s="381" t="s">
        <v>1146</v>
      </c>
      <c r="C730" s="373">
        <v>45447</v>
      </c>
      <c r="D730" s="343"/>
      <c r="E730" s="328" t="s">
        <v>1148</v>
      </c>
      <c r="F730" s="412"/>
      <c r="G730" s="342"/>
      <c r="H730" s="344"/>
      <c r="I730" s="345"/>
      <c r="J730" s="345">
        <f>I730*H730</f>
        <v>0</v>
      </c>
      <c r="K730" s="320">
        <f>J730*1.2</f>
        <v>0</v>
      </c>
      <c r="L730" s="342"/>
      <c r="M730" s="373"/>
      <c r="N730" s="342">
        <f>+Table7[[#This Row],[стойност с ДДС]]-Table7[[#This Row],[направено плащане]]</f>
        <v>0</v>
      </c>
      <c r="O730" s="346"/>
    </row>
    <row r="731" spans="1:15" ht="20.100000000000001" customHeight="1" x14ac:dyDescent="0.3">
      <c r="A731" s="206" t="s">
        <v>99</v>
      </c>
      <c r="B731" s="381" t="s">
        <v>1151</v>
      </c>
      <c r="C731" s="373">
        <v>45446</v>
      </c>
      <c r="D731" s="343"/>
      <c r="E731" s="354" t="s">
        <v>121</v>
      </c>
      <c r="F731" s="412"/>
      <c r="G731" s="342"/>
      <c r="H731" s="344">
        <v>29145.876</v>
      </c>
      <c r="I731" s="345">
        <v>1.0900000000000001</v>
      </c>
      <c r="J731" s="345">
        <f t="shared" ref="J731:J734" si="99">I731*H731</f>
        <v>31769.004840000001</v>
      </c>
      <c r="K731" s="320">
        <f t="shared" ref="K731:K734" si="100">J731*1.2</f>
        <v>38122.805807999997</v>
      </c>
      <c r="L731" s="342">
        <v>38122.805807999997</v>
      </c>
      <c r="M731" s="373">
        <v>45450</v>
      </c>
      <c r="N731" s="342">
        <f>+Table7[[#This Row],[стойност с ДДС]]-Table7[[#This Row],[направено плащане]]</f>
        <v>0</v>
      </c>
      <c r="O731" s="346"/>
    </row>
    <row r="732" spans="1:15" ht="20.100000000000001" customHeight="1" x14ac:dyDescent="0.3">
      <c r="A732" s="206" t="s">
        <v>99</v>
      </c>
      <c r="B732" s="381" t="s">
        <v>1151</v>
      </c>
      <c r="C732" s="373">
        <v>45446</v>
      </c>
      <c r="D732" s="343"/>
      <c r="E732" s="354" t="s">
        <v>121</v>
      </c>
      <c r="F732" s="412"/>
      <c r="G732" s="342"/>
      <c r="H732" s="344">
        <v>2400</v>
      </c>
      <c r="I732" s="345">
        <v>0.87</v>
      </c>
      <c r="J732" s="345">
        <f t="shared" si="99"/>
        <v>2088</v>
      </c>
      <c r="K732" s="320">
        <f t="shared" si="100"/>
        <v>2505.6</v>
      </c>
      <c r="L732" s="342">
        <v>2505.6</v>
      </c>
      <c r="M732" s="373">
        <v>45450</v>
      </c>
      <c r="N732" s="342">
        <f>+Table7[[#This Row],[стойност с ДДС]]-Table7[[#This Row],[направено плащане]]</f>
        <v>0</v>
      </c>
      <c r="O732" s="346"/>
    </row>
    <row r="733" spans="1:15" ht="20.100000000000001" customHeight="1" x14ac:dyDescent="0.3">
      <c r="A733" s="206" t="s">
        <v>99</v>
      </c>
      <c r="B733" s="381" t="s">
        <v>1151</v>
      </c>
      <c r="C733" s="373">
        <v>45446</v>
      </c>
      <c r="D733" s="343"/>
      <c r="E733" s="354" t="s">
        <v>461</v>
      </c>
      <c r="F733" s="412"/>
      <c r="G733" s="342"/>
      <c r="H733" s="344">
        <v>3100</v>
      </c>
      <c r="I733" s="345">
        <v>1.0900000000000001</v>
      </c>
      <c r="J733" s="345">
        <f t="shared" si="99"/>
        <v>3379.0000000000005</v>
      </c>
      <c r="K733" s="320">
        <f t="shared" si="100"/>
        <v>4054.8</v>
      </c>
      <c r="L733" s="342">
        <v>4054.8</v>
      </c>
      <c r="M733" s="373">
        <v>45450</v>
      </c>
      <c r="N733" s="342">
        <f>+Table7[[#This Row],[стойност с ДДС]]-Table7[[#This Row],[направено плащане]]</f>
        <v>0</v>
      </c>
      <c r="O733" s="346"/>
    </row>
    <row r="734" spans="1:15" ht="20.100000000000001" customHeight="1" x14ac:dyDescent="0.3">
      <c r="A734" s="206" t="s">
        <v>99</v>
      </c>
      <c r="B734" s="381" t="s">
        <v>1151</v>
      </c>
      <c r="C734" s="373">
        <v>45446</v>
      </c>
      <c r="D734" s="343"/>
      <c r="E734" s="323" t="s">
        <v>462</v>
      </c>
      <c r="F734" s="412"/>
      <c r="G734" s="342"/>
      <c r="H734" s="344">
        <v>84865.77</v>
      </c>
      <c r="I734" s="345">
        <v>0.6</v>
      </c>
      <c r="J734" s="345">
        <f t="shared" si="99"/>
        <v>50919.462</v>
      </c>
      <c r="K734" s="320">
        <f t="shared" si="100"/>
        <v>61103.354399999997</v>
      </c>
      <c r="L734" s="342">
        <v>61103.354399999997</v>
      </c>
      <c r="M734" s="373">
        <v>45450</v>
      </c>
      <c r="N734" s="342">
        <f>+Table7[[#This Row],[стойност с ДДС]]-Table7[[#This Row],[направено плащане]]</f>
        <v>0</v>
      </c>
      <c r="O734" s="346"/>
    </row>
    <row r="735" spans="1:15" ht="20.100000000000001" customHeight="1" x14ac:dyDescent="0.3">
      <c r="A735" s="206" t="s">
        <v>99</v>
      </c>
      <c r="B735" s="378" t="s">
        <v>1152</v>
      </c>
      <c r="C735" s="373">
        <v>45446</v>
      </c>
      <c r="D735" s="337"/>
      <c r="E735" s="354" t="s">
        <v>54</v>
      </c>
      <c r="F735" s="409"/>
      <c r="G735" s="322"/>
      <c r="H735" s="324">
        <v>94</v>
      </c>
      <c r="I735" s="325">
        <v>1395.4749999999999</v>
      </c>
      <c r="J735" s="325">
        <f>I735*H735</f>
        <v>131174.65</v>
      </c>
      <c r="K735" s="318">
        <f>J735*1.2</f>
        <v>157409.57999999999</v>
      </c>
      <c r="L735" s="322">
        <v>157409.57999999999</v>
      </c>
      <c r="M735" s="373">
        <v>45450</v>
      </c>
      <c r="N735" s="322">
        <f>+Table7[[#This Row],[стойност с ДДС]]-Table7[[#This Row],[направено плащане]]</f>
        <v>0</v>
      </c>
      <c r="O735" s="327"/>
    </row>
    <row r="736" spans="1:15" ht="20.100000000000001" customHeight="1" x14ac:dyDescent="0.3">
      <c r="A736" s="206" t="s">
        <v>99</v>
      </c>
      <c r="B736" s="378" t="s">
        <v>1152</v>
      </c>
      <c r="C736" s="373">
        <v>45446</v>
      </c>
      <c r="D736" s="337"/>
      <c r="E736" s="354" t="s">
        <v>54</v>
      </c>
      <c r="F736" s="409"/>
      <c r="G736" s="322"/>
      <c r="H736" s="324">
        <v>830</v>
      </c>
      <c r="I736" s="325">
        <v>19.86</v>
      </c>
      <c r="J736" s="325">
        <f>I736*H736</f>
        <v>16483.8</v>
      </c>
      <c r="K736" s="318">
        <f>J736*1.2</f>
        <v>19780.559999999998</v>
      </c>
      <c r="L736" s="322">
        <v>19780.559999999998</v>
      </c>
      <c r="M736" s="373">
        <v>45450</v>
      </c>
      <c r="N736" s="322">
        <f>+Table7[[#This Row],[стойност с ДДС]]-Table7[[#This Row],[направено плащане]]</f>
        <v>0</v>
      </c>
      <c r="O736" s="327"/>
    </row>
    <row r="737" spans="1:15" ht="20.100000000000001" customHeight="1" x14ac:dyDescent="0.3">
      <c r="A737" s="206" t="s">
        <v>1396</v>
      </c>
      <c r="B737" s="381" t="s">
        <v>1153</v>
      </c>
      <c r="C737" s="373">
        <v>45447</v>
      </c>
      <c r="D737" s="343"/>
      <c r="E737" s="332" t="s">
        <v>422</v>
      </c>
      <c r="F737" s="412"/>
      <c r="G737" s="342"/>
      <c r="H737" s="344"/>
      <c r="I737" s="345"/>
      <c r="J737" s="345">
        <v>53.32</v>
      </c>
      <c r="K737" s="320">
        <f>J737*1.2</f>
        <v>63.983999999999995</v>
      </c>
      <c r="L737" s="342">
        <v>63.983999999999995</v>
      </c>
      <c r="M737" s="373">
        <v>45448</v>
      </c>
      <c r="N737" s="342">
        <f>+Table7[[#This Row],[стойност с ДДС]]-Table7[[#This Row],[направено плащане]]</f>
        <v>0</v>
      </c>
      <c r="O737" s="346"/>
    </row>
    <row r="738" spans="1:15" ht="20.100000000000001" customHeight="1" x14ac:dyDescent="0.3">
      <c r="A738" s="206" t="s">
        <v>678</v>
      </c>
      <c r="B738" s="381" t="s">
        <v>1341</v>
      </c>
      <c r="C738" s="373">
        <v>45366</v>
      </c>
      <c r="D738" s="343"/>
      <c r="E738" s="332" t="s">
        <v>343</v>
      </c>
      <c r="F738" s="412" t="s">
        <v>344</v>
      </c>
      <c r="G738" s="342"/>
      <c r="H738" s="344">
        <v>1</v>
      </c>
      <c r="I738" s="345">
        <v>602.58000000000004</v>
      </c>
      <c r="J738" s="345">
        <v>602.58000000000004</v>
      </c>
      <c r="K738" s="320">
        <v>613.80999999999995</v>
      </c>
      <c r="L738" s="342">
        <v>613.80999999999995</v>
      </c>
      <c r="M738" s="373">
        <v>45448</v>
      </c>
      <c r="N738" s="342">
        <f>+Table7[[#This Row],[стойност с ДДС]]-Table7[[#This Row],[направено плащане]]</f>
        <v>0</v>
      </c>
      <c r="O738" s="346"/>
    </row>
    <row r="739" spans="1:15" ht="20.100000000000001" customHeight="1" x14ac:dyDescent="0.3">
      <c r="A739" s="206" t="s">
        <v>678</v>
      </c>
      <c r="B739" s="381" t="s">
        <v>1342</v>
      </c>
      <c r="C739" s="371">
        <v>45446</v>
      </c>
      <c r="D739" s="337"/>
      <c r="E739" s="332" t="s">
        <v>343</v>
      </c>
      <c r="F739" s="409" t="s">
        <v>798</v>
      </c>
      <c r="G739" s="322"/>
      <c r="H739" s="344">
        <v>1</v>
      </c>
      <c r="I739" s="325">
        <f>307.57*1.9563</f>
        <v>601.69919099999993</v>
      </c>
      <c r="J739" s="325">
        <f>+Table7[[#This Row],[единична цена]]</f>
        <v>601.69919099999993</v>
      </c>
      <c r="K739" s="318">
        <f>+Table7[[#This Row],[стойност]]</f>
        <v>601.69919099999993</v>
      </c>
      <c r="L739" s="322">
        <v>601.69919099999993</v>
      </c>
      <c r="M739" s="373">
        <v>45448</v>
      </c>
      <c r="N739" s="322">
        <f>+Table7[[#This Row],[стойност с ДДС]]-Table7[[#This Row],[направено плащане]]</f>
        <v>0</v>
      </c>
      <c r="O739" s="327"/>
    </row>
    <row r="740" spans="1:15" ht="20.100000000000001" customHeight="1" x14ac:dyDescent="0.3">
      <c r="A740" s="206" t="s">
        <v>1402</v>
      </c>
      <c r="B740" s="381" t="s">
        <v>1403</v>
      </c>
      <c r="C740" s="373">
        <v>45446</v>
      </c>
      <c r="D740" s="343"/>
      <c r="E740" s="353" t="s">
        <v>422</v>
      </c>
      <c r="F740" s="412"/>
      <c r="G740" s="342"/>
      <c r="H740" s="344"/>
      <c r="I740" s="345">
        <v>283.33</v>
      </c>
      <c r="J740" s="345">
        <v>283.33</v>
      </c>
      <c r="K740" s="320">
        <v>339.99</v>
      </c>
      <c r="L740" s="320">
        <v>339.99</v>
      </c>
      <c r="M740" s="373">
        <v>45448</v>
      </c>
      <c r="N740" s="342">
        <f>+Table7[[#This Row],[стойност с ДДС]]-Table7[[#This Row],[направено плащане]]</f>
        <v>0</v>
      </c>
      <c r="O740" s="346"/>
    </row>
    <row r="741" spans="1:15" ht="20.100000000000001" customHeight="1" x14ac:dyDescent="0.3">
      <c r="A741" s="206" t="s">
        <v>341</v>
      </c>
      <c r="B741" s="381" t="s">
        <v>1154</v>
      </c>
      <c r="C741" s="373">
        <v>45446</v>
      </c>
      <c r="D741" s="343"/>
      <c r="E741" s="332" t="s">
        <v>343</v>
      </c>
      <c r="F741" s="412" t="s">
        <v>1155</v>
      </c>
      <c r="G741" s="342"/>
      <c r="H741" s="344">
        <v>1</v>
      </c>
      <c r="I741" s="345">
        <v>1700</v>
      </c>
      <c r="J741" s="345">
        <f>I741*H741</f>
        <v>1700</v>
      </c>
      <c r="K741" s="320">
        <f>J741*1.2</f>
        <v>2040</v>
      </c>
      <c r="L741" s="342">
        <v>2040</v>
      </c>
      <c r="M741" s="373">
        <v>45449</v>
      </c>
      <c r="N741" s="342">
        <f>+Table7[[#This Row],[стойност с ДДС]]-Table7[[#This Row],[направено плащане]]</f>
        <v>0</v>
      </c>
      <c r="O741" s="346"/>
    </row>
    <row r="742" spans="1:15" ht="20.100000000000001" customHeight="1" x14ac:dyDescent="0.3">
      <c r="A742" s="206" t="s">
        <v>341</v>
      </c>
      <c r="B742" s="381" t="s">
        <v>1154</v>
      </c>
      <c r="C742" s="373">
        <v>45446</v>
      </c>
      <c r="D742" s="337"/>
      <c r="E742" s="332" t="s">
        <v>343</v>
      </c>
      <c r="F742" s="409" t="s">
        <v>1156</v>
      </c>
      <c r="G742" s="322"/>
      <c r="H742" s="324">
        <v>2</v>
      </c>
      <c r="I742" s="325">
        <v>600</v>
      </c>
      <c r="J742" s="325">
        <f>I742*H742</f>
        <v>1200</v>
      </c>
      <c r="K742" s="318">
        <f>J742*1.2</f>
        <v>1440</v>
      </c>
      <c r="L742" s="322">
        <v>1440</v>
      </c>
      <c r="M742" s="371">
        <v>45449</v>
      </c>
      <c r="N742" s="322">
        <f>+Table7[[#This Row],[стойност с ДДС]]-Table7[[#This Row],[направено плащане]]</f>
        <v>0</v>
      </c>
      <c r="O742" s="327"/>
    </row>
    <row r="743" spans="1:15" ht="20.100000000000001" customHeight="1" x14ac:dyDescent="0.3">
      <c r="A743" s="206" t="s">
        <v>341</v>
      </c>
      <c r="B743" s="378" t="s">
        <v>1157</v>
      </c>
      <c r="C743" s="371">
        <v>45446</v>
      </c>
      <c r="D743" s="337"/>
      <c r="E743" s="332" t="s">
        <v>343</v>
      </c>
      <c r="F743" s="409" t="s">
        <v>1158</v>
      </c>
      <c r="G743" s="322"/>
      <c r="H743" s="324">
        <v>1</v>
      </c>
      <c r="I743" s="325">
        <v>200</v>
      </c>
      <c r="J743" s="325">
        <f>I743*H743</f>
        <v>200</v>
      </c>
      <c r="K743" s="318">
        <f>J743*1.2</f>
        <v>240</v>
      </c>
      <c r="L743" s="322">
        <v>240</v>
      </c>
      <c r="M743" s="371">
        <v>45449</v>
      </c>
      <c r="N743" s="322">
        <f>+Table7[[#This Row],[стойност с ДДС]]-Table7[[#This Row],[направено плащане]]</f>
        <v>0</v>
      </c>
      <c r="O743" s="327"/>
    </row>
    <row r="744" spans="1:15" ht="20.100000000000001" customHeight="1" x14ac:dyDescent="0.3">
      <c r="A744" s="206" t="s">
        <v>341</v>
      </c>
      <c r="B744" s="378" t="s">
        <v>1159</v>
      </c>
      <c r="C744" s="371">
        <v>45443</v>
      </c>
      <c r="D744" s="337"/>
      <c r="E744" s="332" t="s">
        <v>343</v>
      </c>
      <c r="F744" s="409" t="s">
        <v>1160</v>
      </c>
      <c r="G744" s="322"/>
      <c r="H744" s="324">
        <v>1</v>
      </c>
      <c r="I744" s="325">
        <v>100</v>
      </c>
      <c r="J744" s="325">
        <f>I744*H744</f>
        <v>100</v>
      </c>
      <c r="K744" s="318">
        <f>J744*1.2</f>
        <v>120</v>
      </c>
      <c r="L744" s="322">
        <v>120</v>
      </c>
      <c r="M744" s="371">
        <v>45449</v>
      </c>
      <c r="N744" s="322">
        <f>+Table7[[#This Row],[стойност с ДДС]]-Table7[[#This Row],[направено плащане]]</f>
        <v>0</v>
      </c>
      <c r="O744" s="327"/>
    </row>
    <row r="745" spans="1:15" ht="20.100000000000001" customHeight="1" x14ac:dyDescent="0.3">
      <c r="A745" s="206" t="s">
        <v>341</v>
      </c>
      <c r="B745" s="378" t="s">
        <v>1161</v>
      </c>
      <c r="C745" s="371">
        <v>45443</v>
      </c>
      <c r="D745" s="337"/>
      <c r="E745" s="332" t="s">
        <v>343</v>
      </c>
      <c r="F745" s="409" t="s">
        <v>1162</v>
      </c>
      <c r="G745" s="322"/>
      <c r="H745" s="324">
        <v>62232</v>
      </c>
      <c r="I745" s="325">
        <v>0.05</v>
      </c>
      <c r="J745" s="325">
        <f t="shared" ref="J745:J748" si="101">I745*H745</f>
        <v>3111.6000000000004</v>
      </c>
      <c r="K745" s="318">
        <f t="shared" ref="K745:K747" si="102">J745*1.2</f>
        <v>3733.92</v>
      </c>
      <c r="L745" s="322">
        <v>3733.92</v>
      </c>
      <c r="M745" s="371">
        <v>45449</v>
      </c>
      <c r="N745" s="322">
        <f>+Table7[[#This Row],[стойност с ДДС]]-Table7[[#This Row],[направено плащане]]</f>
        <v>0</v>
      </c>
      <c r="O745" s="327"/>
    </row>
    <row r="746" spans="1:15" ht="20.100000000000001" customHeight="1" x14ac:dyDescent="0.3">
      <c r="A746" s="206" t="s">
        <v>341</v>
      </c>
      <c r="B746" s="378" t="s">
        <v>1161</v>
      </c>
      <c r="C746" s="371">
        <v>45443</v>
      </c>
      <c r="D746" s="337"/>
      <c r="E746" s="332" t="s">
        <v>343</v>
      </c>
      <c r="F746" s="409" t="s">
        <v>1163</v>
      </c>
      <c r="G746" s="322"/>
      <c r="H746" s="324">
        <v>46593</v>
      </c>
      <c r="I746" s="325">
        <v>0.02</v>
      </c>
      <c r="J746" s="325">
        <f t="shared" si="101"/>
        <v>931.86</v>
      </c>
      <c r="K746" s="318">
        <f t="shared" si="102"/>
        <v>1118.232</v>
      </c>
      <c r="L746" s="322">
        <v>1118.232</v>
      </c>
      <c r="M746" s="371">
        <v>45449</v>
      </c>
      <c r="N746" s="322">
        <f>+Table7[[#This Row],[стойност с ДДС]]-Table7[[#This Row],[направено плащане]]</f>
        <v>0</v>
      </c>
      <c r="O746" s="327"/>
    </row>
    <row r="747" spans="1:15" ht="20.100000000000001" customHeight="1" x14ac:dyDescent="0.3">
      <c r="A747" s="206" t="s">
        <v>341</v>
      </c>
      <c r="B747" s="378" t="s">
        <v>1161</v>
      </c>
      <c r="C747" s="371">
        <v>45443</v>
      </c>
      <c r="D747" s="337"/>
      <c r="E747" s="332" t="s">
        <v>343</v>
      </c>
      <c r="F747" s="409" t="s">
        <v>1164</v>
      </c>
      <c r="G747" s="322"/>
      <c r="H747" s="324">
        <v>70365</v>
      </c>
      <c r="I747" s="325">
        <v>0.04</v>
      </c>
      <c r="J747" s="325">
        <f t="shared" si="101"/>
        <v>2814.6</v>
      </c>
      <c r="K747" s="318">
        <f t="shared" si="102"/>
        <v>3377.52</v>
      </c>
      <c r="L747" s="322">
        <v>3377.52</v>
      </c>
      <c r="M747" s="371">
        <v>45449</v>
      </c>
      <c r="N747" s="322">
        <f>+Table7[[#This Row],[стойност с ДДС]]-Table7[[#This Row],[направено плащане]]</f>
        <v>0</v>
      </c>
      <c r="O747" s="327"/>
    </row>
    <row r="748" spans="1:15" ht="20.100000000000001" customHeight="1" x14ac:dyDescent="0.25">
      <c r="A748" s="206" t="s">
        <v>1397</v>
      </c>
      <c r="B748" s="381" t="s">
        <v>1165</v>
      </c>
      <c r="C748" s="373">
        <v>45425</v>
      </c>
      <c r="D748" s="343"/>
      <c r="E748" s="347" t="s">
        <v>131</v>
      </c>
      <c r="F748" s="412" t="s">
        <v>1166</v>
      </c>
      <c r="G748" s="342"/>
      <c r="H748" s="344">
        <v>10</v>
      </c>
      <c r="I748" s="345">
        <v>49.08</v>
      </c>
      <c r="J748" s="325">
        <f t="shared" si="101"/>
        <v>490.79999999999995</v>
      </c>
      <c r="K748" s="320">
        <f>J748*1.2</f>
        <v>588.95999999999992</v>
      </c>
      <c r="L748" s="342">
        <v>588.95999999999992</v>
      </c>
      <c r="M748" s="371">
        <v>45449</v>
      </c>
      <c r="N748" s="342">
        <f>+Table7[[#This Row],[стойност с ДДС]]-Table7[[#This Row],[направено плащане]]</f>
        <v>0</v>
      </c>
      <c r="O748" s="346"/>
    </row>
    <row r="749" spans="1:15" ht="20.100000000000001" customHeight="1" x14ac:dyDescent="0.25">
      <c r="A749" s="206" t="s">
        <v>1397</v>
      </c>
      <c r="B749" s="381" t="s">
        <v>1167</v>
      </c>
      <c r="C749" s="373">
        <v>45425</v>
      </c>
      <c r="D749" s="343"/>
      <c r="E749" s="347" t="s">
        <v>131</v>
      </c>
      <c r="F749" s="412" t="s">
        <v>1168</v>
      </c>
      <c r="G749" s="342"/>
      <c r="H749" s="344">
        <v>15</v>
      </c>
      <c r="I749" s="345">
        <v>49.2</v>
      </c>
      <c r="J749" s="345">
        <f>I749*H749</f>
        <v>738</v>
      </c>
      <c r="K749" s="320">
        <f>J749*1.2</f>
        <v>885.6</v>
      </c>
      <c r="L749" s="342">
        <v>885.6</v>
      </c>
      <c r="M749" s="371">
        <v>45449</v>
      </c>
      <c r="N749" s="342">
        <f>+Table7[[#This Row],[стойност с ДДС]]-Table7[[#This Row],[направено плащане]]</f>
        <v>0</v>
      </c>
      <c r="O749" s="346"/>
    </row>
    <row r="750" spans="1:15" ht="20.100000000000001" customHeight="1" x14ac:dyDescent="0.25">
      <c r="A750" s="206" t="s">
        <v>1397</v>
      </c>
      <c r="B750" s="381" t="s">
        <v>1167</v>
      </c>
      <c r="C750" s="373">
        <v>45425</v>
      </c>
      <c r="D750" s="343"/>
      <c r="E750" s="347" t="s">
        <v>131</v>
      </c>
      <c r="F750" s="412" t="s">
        <v>1169</v>
      </c>
      <c r="G750" s="342"/>
      <c r="H750" s="344">
        <v>20</v>
      </c>
      <c r="I750" s="345">
        <v>49.2</v>
      </c>
      <c r="J750" s="345">
        <f>I750*H750</f>
        <v>984</v>
      </c>
      <c r="K750" s="320">
        <f>J750*1.2</f>
        <v>1180.8</v>
      </c>
      <c r="L750" s="342">
        <v>1180.8</v>
      </c>
      <c r="M750" s="371">
        <v>45449</v>
      </c>
      <c r="N750" s="342">
        <f>+Table7[[#This Row],[стойност с ДДС]]-Table7[[#This Row],[направено плащане]]</f>
        <v>0</v>
      </c>
      <c r="O750" s="346"/>
    </row>
    <row r="751" spans="1:15" ht="20.100000000000001" customHeight="1" x14ac:dyDescent="0.25">
      <c r="A751" s="206" t="s">
        <v>118</v>
      </c>
      <c r="B751" s="381" t="s">
        <v>1170</v>
      </c>
      <c r="C751" s="373">
        <v>45447</v>
      </c>
      <c r="D751" s="343"/>
      <c r="E751" s="347" t="s">
        <v>131</v>
      </c>
      <c r="F751" s="412" t="s">
        <v>1013</v>
      </c>
      <c r="G751" s="342"/>
      <c r="H751" s="344">
        <v>2500</v>
      </c>
      <c r="I751" s="345">
        <v>48.7</v>
      </c>
      <c r="J751" s="345">
        <f>I751*H751</f>
        <v>121750</v>
      </c>
      <c r="K751" s="320">
        <f>J751*1.2</f>
        <v>146100</v>
      </c>
      <c r="L751" s="320">
        <v>146100</v>
      </c>
      <c r="M751" s="373">
        <v>45453</v>
      </c>
      <c r="N751" s="342">
        <f>+Table7[[#This Row],[стойност с ДДС]]-Table7[[#This Row],[направено плащане]]</f>
        <v>0</v>
      </c>
      <c r="O751" s="346"/>
    </row>
    <row r="752" spans="1:15" ht="20.100000000000001" customHeight="1" x14ac:dyDescent="0.25">
      <c r="A752" s="206" t="s">
        <v>157</v>
      </c>
      <c r="B752" s="381" t="s">
        <v>1171</v>
      </c>
      <c r="C752" s="373">
        <v>45446</v>
      </c>
      <c r="D752" s="343"/>
      <c r="E752" s="347" t="s">
        <v>131</v>
      </c>
      <c r="F752" s="412" t="s">
        <v>1172</v>
      </c>
      <c r="G752" s="342"/>
      <c r="H752" s="344">
        <v>25</v>
      </c>
      <c r="I752" s="345">
        <v>53</v>
      </c>
      <c r="J752" s="345">
        <f>I752*H752</f>
        <v>1325</v>
      </c>
      <c r="K752" s="320">
        <f>J752*1.2</f>
        <v>1590</v>
      </c>
      <c r="L752" s="342">
        <v>1590</v>
      </c>
      <c r="M752" s="373">
        <v>45449</v>
      </c>
      <c r="N752" s="342">
        <f>+Table7[[#This Row],[стойност с ДДС]]-Table7[[#This Row],[направено плащане]]</f>
        <v>0</v>
      </c>
      <c r="O752" s="346"/>
    </row>
    <row r="753" spans="1:15" ht="20.100000000000001" customHeight="1" x14ac:dyDescent="0.3">
      <c r="A753" s="206" t="s">
        <v>448</v>
      </c>
      <c r="B753" s="381" t="s">
        <v>1177</v>
      </c>
      <c r="C753" s="373">
        <v>45443</v>
      </c>
      <c r="D753" s="343"/>
      <c r="E753" s="353" t="s">
        <v>450</v>
      </c>
      <c r="F753" s="412"/>
      <c r="G753" s="342"/>
      <c r="H753" s="344"/>
      <c r="I753" s="345"/>
      <c r="J753" s="345">
        <v>294.75</v>
      </c>
      <c r="K753" s="320">
        <v>294.75</v>
      </c>
      <c r="L753" s="342">
        <v>294.75</v>
      </c>
      <c r="M753" s="373">
        <v>45463</v>
      </c>
      <c r="N753" s="342">
        <f>+Table7[[#This Row],[стойност с ДДС]]-Table7[[#This Row],[направено плащане]]</f>
        <v>0</v>
      </c>
      <c r="O753" s="346"/>
    </row>
    <row r="754" spans="1:15" ht="20.100000000000001" customHeight="1" x14ac:dyDescent="0.25">
      <c r="A754" s="206" t="s">
        <v>159</v>
      </c>
      <c r="B754" s="381" t="s">
        <v>1178</v>
      </c>
      <c r="C754" s="373">
        <v>45452</v>
      </c>
      <c r="D754" s="343"/>
      <c r="E754" s="347" t="s">
        <v>131</v>
      </c>
      <c r="F754" s="412" t="s">
        <v>1179</v>
      </c>
      <c r="G754" s="342"/>
      <c r="H754" s="344">
        <v>700</v>
      </c>
      <c r="I754" s="345">
        <f>29.14364*1.9563</f>
        <v>57.013702932000001</v>
      </c>
      <c r="J754" s="345">
        <f>I754*H754</f>
        <v>39909.592052400003</v>
      </c>
      <c r="K754" s="320">
        <f>+Table7[[#This Row],[стойност]]</f>
        <v>39909.592052400003</v>
      </c>
      <c r="L754" s="342">
        <v>39909.592052400003</v>
      </c>
      <c r="M754" s="373">
        <v>45456</v>
      </c>
      <c r="N754" s="342">
        <f>+Table7[[#This Row],[стойност с ДДС]]-Table7[[#This Row],[направено плащане]]</f>
        <v>0</v>
      </c>
      <c r="O754" s="346"/>
    </row>
    <row r="755" spans="1:15" ht="20.100000000000001" customHeight="1" x14ac:dyDescent="0.25">
      <c r="A755" s="206" t="s">
        <v>159</v>
      </c>
      <c r="B755" s="381" t="s">
        <v>1178</v>
      </c>
      <c r="C755" s="373">
        <v>45452</v>
      </c>
      <c r="D755" s="343"/>
      <c r="E755" s="347" t="s">
        <v>131</v>
      </c>
      <c r="F755" s="412" t="s">
        <v>1180</v>
      </c>
      <c r="G755" s="342"/>
      <c r="H755" s="344">
        <v>590</v>
      </c>
      <c r="I755" s="345">
        <f>29.14364*1.9563</f>
        <v>57.013702932000001</v>
      </c>
      <c r="J755" s="345">
        <f>I755*H755</f>
        <v>33638.08472988</v>
      </c>
      <c r="K755" s="320">
        <f>+Table7[[#This Row],[стойност]]</f>
        <v>33638.08472988</v>
      </c>
      <c r="L755" s="342">
        <v>33638.08472988</v>
      </c>
      <c r="M755" s="373">
        <v>45456</v>
      </c>
      <c r="N755" s="342">
        <f>+Table7[[#This Row],[стойност с ДДС]]-Table7[[#This Row],[направено плащане]]</f>
        <v>0</v>
      </c>
      <c r="O755" s="346"/>
    </row>
    <row r="756" spans="1:15" ht="20.100000000000001" customHeight="1" x14ac:dyDescent="0.3">
      <c r="A756" s="206" t="s">
        <v>99</v>
      </c>
      <c r="B756" s="381" t="s">
        <v>1186</v>
      </c>
      <c r="C756" s="373">
        <v>45448</v>
      </c>
      <c r="D756" s="343"/>
      <c r="E756" s="323" t="s">
        <v>328</v>
      </c>
      <c r="F756" s="412"/>
      <c r="G756" s="342"/>
      <c r="H756" s="344">
        <v>624.07600000000002</v>
      </c>
      <c r="I756" s="345"/>
      <c r="J756" s="345">
        <v>32375.81</v>
      </c>
      <c r="K756" s="318">
        <f>J756*1.2</f>
        <v>38850.972000000002</v>
      </c>
      <c r="L756" s="322">
        <v>38850.972000000002</v>
      </c>
      <c r="M756" s="373">
        <v>45467</v>
      </c>
      <c r="N756" s="342">
        <f>+Table7[[#This Row],[стойност с ДДС]]-Table7[[#This Row],[направено плащане]]</f>
        <v>0</v>
      </c>
      <c r="O756" s="346"/>
    </row>
    <row r="757" spans="1:15" ht="20.100000000000001" customHeight="1" x14ac:dyDescent="0.3">
      <c r="A757" s="206" t="s">
        <v>99</v>
      </c>
      <c r="B757" s="378" t="s">
        <v>1187</v>
      </c>
      <c r="C757" s="373">
        <v>45448</v>
      </c>
      <c r="D757" s="337"/>
      <c r="E757" s="323" t="s">
        <v>458</v>
      </c>
      <c r="F757" s="409"/>
      <c r="G757" s="322"/>
      <c r="H757" s="324">
        <v>7152</v>
      </c>
      <c r="I757" s="325"/>
      <c r="J757" s="325">
        <v>175154.52</v>
      </c>
      <c r="K757" s="318">
        <f>J757*1.2</f>
        <v>210185.42399999997</v>
      </c>
      <c r="L757" s="322">
        <v>210185.42399999997</v>
      </c>
      <c r="M757" s="371">
        <v>45454</v>
      </c>
      <c r="N757" s="322">
        <f>+Table7[[#This Row],[стойност с ДДС]]-Table7[[#This Row],[направено плащане]]</f>
        <v>0</v>
      </c>
      <c r="O757" s="327"/>
    </row>
    <row r="758" spans="1:15" ht="20.100000000000001" customHeight="1" x14ac:dyDescent="0.3">
      <c r="A758" s="206" t="s">
        <v>99</v>
      </c>
      <c r="B758" s="378" t="s">
        <v>1187</v>
      </c>
      <c r="C758" s="373">
        <v>45448</v>
      </c>
      <c r="D758" s="337"/>
      <c r="E758" s="323" t="s">
        <v>460</v>
      </c>
      <c r="F758" s="409"/>
      <c r="G758" s="322"/>
      <c r="H758" s="324">
        <v>565.77</v>
      </c>
      <c r="I758" s="325"/>
      <c r="J758" s="325">
        <v>12160.61</v>
      </c>
      <c r="K758" s="318">
        <f>J758*1.2</f>
        <v>14592.732</v>
      </c>
      <c r="L758" s="322">
        <v>14592.732</v>
      </c>
      <c r="M758" s="371">
        <v>45454</v>
      </c>
      <c r="N758" s="322">
        <f>+Table7[[#This Row],[стойност с ДДС]]-Table7[[#This Row],[направено плащане]]</f>
        <v>0</v>
      </c>
      <c r="O758" s="327"/>
    </row>
    <row r="759" spans="1:15" ht="20.100000000000001" customHeight="1" x14ac:dyDescent="0.3">
      <c r="A759" s="206" t="s">
        <v>99</v>
      </c>
      <c r="B759" s="378" t="s">
        <v>1181</v>
      </c>
      <c r="C759" s="371">
        <v>45448</v>
      </c>
      <c r="D759" s="337"/>
      <c r="E759" s="323" t="s">
        <v>121</v>
      </c>
      <c r="F759" s="409"/>
      <c r="G759" s="322"/>
      <c r="H759" s="324">
        <v>26491</v>
      </c>
      <c r="I759" s="325"/>
      <c r="J759" s="325">
        <v>38046.42</v>
      </c>
      <c r="K759" s="318">
        <f>J759*1.2</f>
        <v>45655.703999999998</v>
      </c>
      <c r="L759" s="322">
        <v>45655.703999999998</v>
      </c>
      <c r="M759" s="371">
        <v>45454</v>
      </c>
      <c r="N759" s="322">
        <f>+Table7[[#This Row],[стойност с ДДС]]-Table7[[#This Row],[направено плащане]]</f>
        <v>0</v>
      </c>
      <c r="O759" s="327"/>
    </row>
    <row r="760" spans="1:15" ht="20.100000000000001" customHeight="1" x14ac:dyDescent="0.3">
      <c r="A760" s="151" t="s">
        <v>99</v>
      </c>
      <c r="B760" s="378" t="s">
        <v>1181</v>
      </c>
      <c r="C760" s="371">
        <v>45448</v>
      </c>
      <c r="D760" s="337"/>
      <c r="E760" s="323" t="s">
        <v>461</v>
      </c>
      <c r="F760" s="409"/>
      <c r="G760" s="322"/>
      <c r="H760" s="324">
        <v>962.00800000000004</v>
      </c>
      <c r="I760" s="325"/>
      <c r="J760" s="325">
        <v>1727.08</v>
      </c>
      <c r="K760" s="318">
        <f t="shared" ref="K760:K765" si="103">J760*1.2</f>
        <v>2072.4959999999996</v>
      </c>
      <c r="L760" s="322">
        <v>2072.4959999999996</v>
      </c>
      <c r="M760" s="371">
        <v>45454</v>
      </c>
      <c r="N760" s="322">
        <f>+Table7[[#This Row],[стойност с ДДС]]-Table7[[#This Row],[направено плащане]]</f>
        <v>0</v>
      </c>
      <c r="O760" s="327"/>
    </row>
    <row r="761" spans="1:15" ht="20.100000000000001" customHeight="1" x14ac:dyDescent="0.3">
      <c r="A761" s="151" t="s">
        <v>99</v>
      </c>
      <c r="B761" s="378" t="s">
        <v>1181</v>
      </c>
      <c r="C761" s="371">
        <v>45448</v>
      </c>
      <c r="D761" s="337"/>
      <c r="E761" s="323" t="s">
        <v>462</v>
      </c>
      <c r="F761" s="409"/>
      <c r="G761" s="322"/>
      <c r="H761" s="324">
        <v>147295.231</v>
      </c>
      <c r="I761" s="325"/>
      <c r="J761" s="325">
        <v>30298.62</v>
      </c>
      <c r="K761" s="318">
        <f t="shared" si="103"/>
        <v>36358.343999999997</v>
      </c>
      <c r="L761" s="322">
        <v>36358.343999999997</v>
      </c>
      <c r="M761" s="371">
        <v>45454</v>
      </c>
      <c r="N761" s="322">
        <f>+Table7[[#This Row],[стойност с ДДС]]-Table7[[#This Row],[направено плащане]]</f>
        <v>0</v>
      </c>
      <c r="O761" s="327"/>
    </row>
    <row r="762" spans="1:15" ht="20.100000000000001" customHeight="1" x14ac:dyDescent="0.3">
      <c r="A762" s="151" t="s">
        <v>99</v>
      </c>
      <c r="B762" s="378" t="s">
        <v>1181</v>
      </c>
      <c r="C762" s="371">
        <v>45448</v>
      </c>
      <c r="D762" s="337"/>
      <c r="E762" s="323" t="s">
        <v>463</v>
      </c>
      <c r="F762" s="409"/>
      <c r="G762" s="322"/>
      <c r="H762" s="324">
        <v>147295.231</v>
      </c>
      <c r="I762" s="325"/>
      <c r="J762" s="325">
        <v>42833.45</v>
      </c>
      <c r="K762" s="318">
        <f t="shared" si="103"/>
        <v>51400.139999999992</v>
      </c>
      <c r="L762" s="322">
        <v>51400.139999999992</v>
      </c>
      <c r="M762" s="371">
        <v>45454</v>
      </c>
      <c r="N762" s="322">
        <f>+Table7[[#This Row],[стойност с ДДС]]-Table7[[#This Row],[направено плащане]]</f>
        <v>0</v>
      </c>
      <c r="O762" s="327"/>
    </row>
    <row r="763" spans="1:15" ht="20.100000000000001" customHeight="1" x14ac:dyDescent="0.3">
      <c r="A763" s="151" t="s">
        <v>99</v>
      </c>
      <c r="B763" s="378" t="s">
        <v>1181</v>
      </c>
      <c r="C763" s="371">
        <v>45448</v>
      </c>
      <c r="D763" s="337"/>
      <c r="E763" s="323" t="s">
        <v>464</v>
      </c>
      <c r="F763" s="409"/>
      <c r="G763" s="322"/>
      <c r="H763" s="324">
        <v>62429.353999999999</v>
      </c>
      <c r="I763" s="325"/>
      <c r="J763" s="325">
        <v>1648.14</v>
      </c>
      <c r="K763" s="318">
        <f t="shared" si="103"/>
        <v>1977.768</v>
      </c>
      <c r="L763" s="322">
        <v>1977.768</v>
      </c>
      <c r="M763" s="371">
        <v>45454</v>
      </c>
      <c r="N763" s="322">
        <f>+Table7[[#This Row],[стойност с ДДС]]-Table7[[#This Row],[направено плащане]]</f>
        <v>0</v>
      </c>
      <c r="O763" s="327"/>
    </row>
    <row r="764" spans="1:15" ht="20.100000000000001" customHeight="1" x14ac:dyDescent="0.3">
      <c r="A764" s="151" t="s">
        <v>99</v>
      </c>
      <c r="B764" s="378" t="s">
        <v>1181</v>
      </c>
      <c r="C764" s="371">
        <v>45448</v>
      </c>
      <c r="D764" s="337"/>
      <c r="E764" s="323" t="s">
        <v>465</v>
      </c>
      <c r="F764" s="409"/>
      <c r="G764" s="322"/>
      <c r="H764" s="324">
        <v>147295.231</v>
      </c>
      <c r="I764" s="325"/>
      <c r="J764" s="325">
        <v>-5125.88</v>
      </c>
      <c r="K764" s="318">
        <f t="shared" si="103"/>
        <v>-6151.0559999999996</v>
      </c>
      <c r="L764" s="322">
        <v>-6151.0559999999996</v>
      </c>
      <c r="M764" s="371">
        <v>45454</v>
      </c>
      <c r="N764" s="322">
        <f>+Table7[[#This Row],[стойност с ДДС]]-Table7[[#This Row],[направено плащане]]</f>
        <v>0</v>
      </c>
      <c r="O764" s="327"/>
    </row>
    <row r="765" spans="1:15" ht="20.100000000000001" customHeight="1" x14ac:dyDescent="0.3">
      <c r="A765" s="206" t="s">
        <v>99</v>
      </c>
      <c r="B765" s="381" t="s">
        <v>1181</v>
      </c>
      <c r="C765" s="373">
        <v>45448</v>
      </c>
      <c r="D765" s="343"/>
      <c r="E765" s="323" t="s">
        <v>466</v>
      </c>
      <c r="F765" s="412"/>
      <c r="G765" s="342"/>
      <c r="H765" s="344">
        <v>80.006</v>
      </c>
      <c r="I765" s="345"/>
      <c r="J765" s="345">
        <v>264.14999999999998</v>
      </c>
      <c r="K765" s="320">
        <f t="shared" si="103"/>
        <v>316.97999999999996</v>
      </c>
      <c r="L765" s="342">
        <v>316.97999999999996</v>
      </c>
      <c r="M765" s="371">
        <v>45454</v>
      </c>
      <c r="N765" s="342">
        <f>+Table7[[#This Row],[стойност с ДДС]]-Table7[[#This Row],[направено плащане]]</f>
        <v>0</v>
      </c>
      <c r="O765" s="346"/>
    </row>
    <row r="766" spans="1:15" ht="20.100000000000001" customHeight="1" x14ac:dyDescent="0.3">
      <c r="A766" s="206" t="s">
        <v>527</v>
      </c>
      <c r="B766" s="381" t="s">
        <v>1663</v>
      </c>
      <c r="C766" s="373">
        <v>45448</v>
      </c>
      <c r="D766" s="343"/>
      <c r="E766" s="332" t="s">
        <v>786</v>
      </c>
      <c r="F766" s="412"/>
      <c r="G766" s="342"/>
      <c r="H766" s="344"/>
      <c r="I766" s="345"/>
      <c r="J766" s="345">
        <f>792*1.9563</f>
        <v>1549.3896</v>
      </c>
      <c r="K766" s="320">
        <f>+Table7[[#This Row],[стойност]]</f>
        <v>1549.3896</v>
      </c>
      <c r="L766" s="342"/>
      <c r="M766" s="373"/>
      <c r="N766" s="342">
        <f>+Table7[[#This Row],[стойност с ДДС]]-Table7[[#This Row],[направено плащане]]</f>
        <v>1549.3896</v>
      </c>
      <c r="O766" s="346"/>
    </row>
    <row r="767" spans="1:15" ht="20.100000000000001" customHeight="1" x14ac:dyDescent="0.25">
      <c r="A767" s="206" t="s">
        <v>157</v>
      </c>
      <c r="B767" s="381" t="s">
        <v>1188</v>
      </c>
      <c r="C767" s="373">
        <v>45453</v>
      </c>
      <c r="D767" s="343"/>
      <c r="E767" s="347" t="s">
        <v>131</v>
      </c>
      <c r="F767" s="412"/>
      <c r="G767" s="342"/>
      <c r="H767" s="344">
        <v>50</v>
      </c>
      <c r="I767" s="345">
        <v>55.5</v>
      </c>
      <c r="J767" s="345">
        <f>I767*H767</f>
        <v>2775</v>
      </c>
      <c r="K767" s="320">
        <f>J767*1.2</f>
        <v>3330</v>
      </c>
      <c r="L767" s="342">
        <v>3330</v>
      </c>
      <c r="M767" s="373">
        <v>45456</v>
      </c>
      <c r="N767" s="342">
        <f>+Table7[[#This Row],[стойност с ДДС]]-Table7[[#This Row],[направено плащане]]</f>
        <v>0</v>
      </c>
      <c r="O767" s="346"/>
    </row>
    <row r="768" spans="1:15" ht="20.100000000000001" customHeight="1" x14ac:dyDescent="0.25">
      <c r="A768" s="206" t="s">
        <v>1017</v>
      </c>
      <c r="B768" s="381" t="s">
        <v>1189</v>
      </c>
      <c r="C768" s="373">
        <v>45453</v>
      </c>
      <c r="D768" s="343"/>
      <c r="E768" s="347" t="s">
        <v>131</v>
      </c>
      <c r="F768" s="412" t="s">
        <v>1190</v>
      </c>
      <c r="G768" s="342"/>
      <c r="H768" s="344">
        <v>500</v>
      </c>
      <c r="I768" s="345">
        <v>57</v>
      </c>
      <c r="J768" s="345">
        <f>I768*H768</f>
        <v>28500</v>
      </c>
      <c r="K768" s="320">
        <f>J768*1.2</f>
        <v>34200</v>
      </c>
      <c r="L768" s="342">
        <v>34200</v>
      </c>
      <c r="M768" s="373">
        <v>45456</v>
      </c>
      <c r="N768" s="342">
        <f>+Table7[[#This Row],[стойност с ДДС]]-Table7[[#This Row],[направено плащане]]</f>
        <v>0</v>
      </c>
      <c r="O768" s="346"/>
    </row>
    <row r="769" spans="1:15" ht="20.100000000000001" customHeight="1" x14ac:dyDescent="0.25">
      <c r="A769" s="206" t="s">
        <v>118</v>
      </c>
      <c r="B769" s="381" t="s">
        <v>1207</v>
      </c>
      <c r="C769" s="373">
        <v>45453</v>
      </c>
      <c r="D769" s="343"/>
      <c r="E769" s="347" t="s">
        <v>131</v>
      </c>
      <c r="F769" s="412" t="s">
        <v>1208</v>
      </c>
      <c r="G769" s="342"/>
      <c r="H769" s="344">
        <v>280</v>
      </c>
      <c r="I769" s="345">
        <v>56.7</v>
      </c>
      <c r="J769" s="345">
        <f>I769*H769</f>
        <v>15876</v>
      </c>
      <c r="K769" s="320">
        <f>J769*1.2</f>
        <v>19051.2</v>
      </c>
      <c r="L769" s="342">
        <v>19051.2</v>
      </c>
      <c r="M769" s="373">
        <v>45457</v>
      </c>
      <c r="N769" s="342">
        <f>+Table7[[#This Row],[стойност с ДДС]]-Table7[[#This Row],[направено плащане]]</f>
        <v>0</v>
      </c>
      <c r="O769" s="346"/>
    </row>
    <row r="770" spans="1:15" ht="20.100000000000001" customHeight="1" x14ac:dyDescent="0.25">
      <c r="A770" s="206" t="s">
        <v>118</v>
      </c>
      <c r="B770" s="378" t="s">
        <v>1209</v>
      </c>
      <c r="C770" s="371">
        <v>45454</v>
      </c>
      <c r="D770" s="337"/>
      <c r="E770" s="347" t="s">
        <v>131</v>
      </c>
      <c r="F770" s="409" t="s">
        <v>1210</v>
      </c>
      <c r="G770" s="317"/>
      <c r="H770" s="324">
        <v>500</v>
      </c>
      <c r="I770" s="345">
        <v>56.5</v>
      </c>
      <c r="J770" s="345">
        <f t="shared" ref="J770:J771" si="104">I770*H770</f>
        <v>28250</v>
      </c>
      <c r="K770" s="320">
        <f t="shared" ref="K770:K771" si="105">J770*1.2</f>
        <v>33900</v>
      </c>
      <c r="L770" s="322">
        <v>33900</v>
      </c>
      <c r="M770" s="371">
        <v>45460</v>
      </c>
      <c r="N770" s="322">
        <f>+Table7[[#This Row],[стойност с ДДС]]-Table7[[#This Row],[направено плащане]]</f>
        <v>0</v>
      </c>
      <c r="O770" s="327"/>
    </row>
    <row r="771" spans="1:15" ht="20.100000000000001" customHeight="1" x14ac:dyDescent="0.25">
      <c r="A771" s="206" t="s">
        <v>118</v>
      </c>
      <c r="B771" s="381" t="s">
        <v>1209</v>
      </c>
      <c r="C771" s="373">
        <v>45454</v>
      </c>
      <c r="D771" s="343"/>
      <c r="E771" s="347" t="s">
        <v>131</v>
      </c>
      <c r="F771" s="412" t="s">
        <v>1211</v>
      </c>
      <c r="G771" s="319"/>
      <c r="H771" s="344">
        <v>200</v>
      </c>
      <c r="I771" s="345">
        <v>56.5</v>
      </c>
      <c r="J771" s="345">
        <f t="shared" si="104"/>
        <v>11300</v>
      </c>
      <c r="K771" s="320">
        <f t="shared" si="105"/>
        <v>13560</v>
      </c>
      <c r="L771" s="342">
        <v>13560</v>
      </c>
      <c r="M771" s="371">
        <v>45460</v>
      </c>
      <c r="N771" s="342">
        <f>+Table7[[#This Row],[стойност с ДДС]]-Table7[[#This Row],[направено плащане]]</f>
        <v>0</v>
      </c>
      <c r="O771" s="346"/>
    </row>
    <row r="772" spans="1:15" ht="20.100000000000001" customHeight="1" x14ac:dyDescent="0.25">
      <c r="A772" s="206" t="s">
        <v>118</v>
      </c>
      <c r="B772" s="381" t="s">
        <v>1212</v>
      </c>
      <c r="C772" s="373">
        <v>45455</v>
      </c>
      <c r="D772" s="343"/>
      <c r="E772" s="347" t="s">
        <v>131</v>
      </c>
      <c r="F772" s="412" t="s">
        <v>1213</v>
      </c>
      <c r="G772" s="342"/>
      <c r="H772" s="344">
        <v>300</v>
      </c>
      <c r="I772" s="345">
        <v>56</v>
      </c>
      <c r="J772" s="345">
        <f t="shared" ref="J772:J782" si="106">I772*H772</f>
        <v>16800</v>
      </c>
      <c r="K772" s="320">
        <f>J772*1.2</f>
        <v>20160</v>
      </c>
      <c r="L772" s="342">
        <v>20160</v>
      </c>
      <c r="M772" s="373">
        <v>45461</v>
      </c>
      <c r="N772" s="342">
        <f>+Table7[[#This Row],[стойност с ДДС]]-Table7[[#This Row],[направено плащане]]</f>
        <v>0</v>
      </c>
      <c r="O772" s="346"/>
    </row>
    <row r="773" spans="1:15" ht="20.100000000000001" customHeight="1" x14ac:dyDescent="0.25">
      <c r="A773" s="151" t="s">
        <v>118</v>
      </c>
      <c r="B773" s="378" t="s">
        <v>1212</v>
      </c>
      <c r="C773" s="371">
        <v>45455</v>
      </c>
      <c r="D773" s="337"/>
      <c r="E773" s="347" t="s">
        <v>131</v>
      </c>
      <c r="F773" s="409" t="s">
        <v>1214</v>
      </c>
      <c r="G773" s="322"/>
      <c r="H773" s="324">
        <v>300</v>
      </c>
      <c r="I773" s="325">
        <v>56</v>
      </c>
      <c r="J773" s="325">
        <f t="shared" si="106"/>
        <v>16800</v>
      </c>
      <c r="K773" s="318">
        <f>J773*1.2</f>
        <v>20160</v>
      </c>
      <c r="L773" s="322">
        <v>20160</v>
      </c>
      <c r="M773" s="371">
        <v>45461</v>
      </c>
      <c r="N773" s="322">
        <f>+Table7[[#This Row],[стойност с ДДС]]-Table7[[#This Row],[направено плащане]]</f>
        <v>0</v>
      </c>
      <c r="O773" s="327"/>
    </row>
    <row r="774" spans="1:15" ht="20.100000000000001" customHeight="1" x14ac:dyDescent="0.25">
      <c r="A774" s="206" t="s">
        <v>153</v>
      </c>
      <c r="B774" s="381" t="s">
        <v>1215</v>
      </c>
      <c r="C774" s="373">
        <v>45456</v>
      </c>
      <c r="D774" s="343"/>
      <c r="E774" s="347" t="s">
        <v>131</v>
      </c>
      <c r="F774" s="412" t="s">
        <v>1216</v>
      </c>
      <c r="G774" s="342"/>
      <c r="H774" s="344">
        <v>300</v>
      </c>
      <c r="I774" s="345">
        <v>55.7</v>
      </c>
      <c r="J774" s="345">
        <f t="shared" si="106"/>
        <v>16710</v>
      </c>
      <c r="K774" s="320">
        <f>J774*1.2</f>
        <v>20052</v>
      </c>
      <c r="L774" s="342"/>
      <c r="M774" s="373"/>
      <c r="N774" s="342">
        <f>+Table7[[#This Row],[стойност с ДДС]]-Table7[[#This Row],[направено плащане]]</f>
        <v>20052</v>
      </c>
      <c r="O774" s="346"/>
    </row>
    <row r="775" spans="1:15" ht="20.100000000000001" customHeight="1" x14ac:dyDescent="0.25">
      <c r="A775" s="206" t="s">
        <v>159</v>
      </c>
      <c r="B775" s="381" t="s">
        <v>1217</v>
      </c>
      <c r="C775" s="373">
        <v>45456</v>
      </c>
      <c r="D775" s="343"/>
      <c r="E775" s="347" t="s">
        <v>131</v>
      </c>
      <c r="F775" s="412" t="s">
        <v>1218</v>
      </c>
      <c r="G775" s="342"/>
      <c r="H775" s="344">
        <v>300</v>
      </c>
      <c r="I775" s="345">
        <f>28.63235*1.9563</f>
        <v>56.013466304999994</v>
      </c>
      <c r="J775" s="345">
        <f t="shared" si="106"/>
        <v>16804.039891499997</v>
      </c>
      <c r="K775" s="320">
        <f>+Table7[[#This Row],[стойност]]</f>
        <v>16804.039891499997</v>
      </c>
      <c r="L775" s="342"/>
      <c r="M775" s="373"/>
      <c r="N775" s="342">
        <f>+Table7[[#This Row],[стойност с ДДС]]-Table7[[#This Row],[направено плащане]]</f>
        <v>16804.039891499997</v>
      </c>
      <c r="O775" s="346"/>
    </row>
    <row r="776" spans="1:15" ht="20.100000000000001" customHeight="1" x14ac:dyDescent="0.3">
      <c r="A776" s="206" t="s">
        <v>838</v>
      </c>
      <c r="B776" s="381" t="s">
        <v>1219</v>
      </c>
      <c r="C776" s="373">
        <v>45458</v>
      </c>
      <c r="D776" s="343"/>
      <c r="E776" s="353" t="s">
        <v>422</v>
      </c>
      <c r="F776" s="412"/>
      <c r="G776" s="342"/>
      <c r="H776" s="344"/>
      <c r="I776" s="345"/>
      <c r="J776" s="345">
        <f t="shared" si="106"/>
        <v>0</v>
      </c>
      <c r="K776" s="320">
        <v>303.36</v>
      </c>
      <c r="L776" s="342">
        <v>303.36</v>
      </c>
      <c r="M776" s="373">
        <v>45460</v>
      </c>
      <c r="N776" s="342">
        <f>+Table7[[#This Row],[стойност с ДДС]]-Table7[[#This Row],[направено плащане]]</f>
        <v>0</v>
      </c>
      <c r="O776" s="346"/>
    </row>
    <row r="777" spans="1:15" ht="20.100000000000001" customHeight="1" x14ac:dyDescent="0.25">
      <c r="A777" s="206" t="s">
        <v>159</v>
      </c>
      <c r="B777" s="381" t="s">
        <v>1220</v>
      </c>
      <c r="C777" s="373">
        <v>45460</v>
      </c>
      <c r="D777" s="343"/>
      <c r="E777" s="347" t="s">
        <v>131</v>
      </c>
      <c r="F777" s="412" t="s">
        <v>1221</v>
      </c>
      <c r="G777" s="342"/>
      <c r="H777" s="344">
        <v>550</v>
      </c>
      <c r="I777" s="345">
        <f>28.12105*1.9563</f>
        <v>55.013210115</v>
      </c>
      <c r="J777" s="345">
        <f t="shared" si="106"/>
        <v>30257.265563249999</v>
      </c>
      <c r="K777" s="320">
        <f>+Table7[[#This Row],[стойност]]</f>
        <v>30257.265563249999</v>
      </c>
      <c r="L777" s="342">
        <v>30257.265563249999</v>
      </c>
      <c r="M777" s="373">
        <v>45463</v>
      </c>
      <c r="N777" s="342">
        <f>+Table7[[#This Row],[стойност с ДДС]]-Table7[[#This Row],[направено плащане]]</f>
        <v>0</v>
      </c>
      <c r="O777" s="346"/>
    </row>
    <row r="778" spans="1:15" ht="20.100000000000001" customHeight="1" x14ac:dyDescent="0.25">
      <c r="A778" s="206" t="s">
        <v>1017</v>
      </c>
      <c r="B778" s="381" t="s">
        <v>1236</v>
      </c>
      <c r="C778" s="373">
        <v>45457</v>
      </c>
      <c r="D778" s="343"/>
      <c r="E778" s="347" t="s">
        <v>131</v>
      </c>
      <c r="F778" s="412" t="s">
        <v>1222</v>
      </c>
      <c r="G778" s="342"/>
      <c r="H778" s="344">
        <v>400</v>
      </c>
      <c r="I778" s="345">
        <v>54.8</v>
      </c>
      <c r="J778" s="345">
        <f t="shared" si="106"/>
        <v>21920</v>
      </c>
      <c r="K778" s="320">
        <f>J778*1.2</f>
        <v>26304</v>
      </c>
      <c r="L778" s="342"/>
      <c r="M778" s="373"/>
      <c r="N778" s="342">
        <f>+Table7[[#This Row],[стойност с ДДС]]-Table7[[#This Row],[направено плащане]]</f>
        <v>26304</v>
      </c>
      <c r="O778" s="346"/>
    </row>
    <row r="779" spans="1:15" ht="20.100000000000001" customHeight="1" x14ac:dyDescent="0.25">
      <c r="A779" s="206" t="s">
        <v>814</v>
      </c>
      <c r="B779" s="381" t="s">
        <v>1223</v>
      </c>
      <c r="C779" s="373">
        <v>45457</v>
      </c>
      <c r="D779" s="343"/>
      <c r="E779" s="347" t="s">
        <v>131</v>
      </c>
      <c r="F779" s="412" t="s">
        <v>1226</v>
      </c>
      <c r="G779" s="342"/>
      <c r="H779" s="344">
        <v>600</v>
      </c>
      <c r="I779" s="345">
        <v>54.9</v>
      </c>
      <c r="J779" s="345">
        <f t="shared" si="106"/>
        <v>32940</v>
      </c>
      <c r="K779" s="320">
        <f>J779*1.2</f>
        <v>39528</v>
      </c>
      <c r="L779" s="342"/>
      <c r="M779" s="373"/>
      <c r="N779" s="342">
        <f>+Table7[[#This Row],[стойност с ДДС]]-Table7[[#This Row],[направено плащане]]</f>
        <v>39528</v>
      </c>
      <c r="O779" s="346">
        <v>45463</v>
      </c>
    </row>
    <row r="780" spans="1:15" ht="20.100000000000001" customHeight="1" x14ac:dyDescent="0.25">
      <c r="A780" s="206" t="s">
        <v>253</v>
      </c>
      <c r="B780" s="381" t="s">
        <v>1224</v>
      </c>
      <c r="C780" s="373">
        <v>45457</v>
      </c>
      <c r="D780" s="343"/>
      <c r="E780" s="347" t="s">
        <v>131</v>
      </c>
      <c r="F780" s="412" t="s">
        <v>1225</v>
      </c>
      <c r="G780" s="342"/>
      <c r="H780" s="344">
        <v>50</v>
      </c>
      <c r="I780" s="345">
        <v>55.5</v>
      </c>
      <c r="J780" s="345">
        <f t="shared" si="106"/>
        <v>2775</v>
      </c>
      <c r="K780" s="320">
        <f>J780*1.2</f>
        <v>3330</v>
      </c>
      <c r="L780" s="342">
        <v>3330</v>
      </c>
      <c r="M780" s="373">
        <v>45461</v>
      </c>
      <c r="N780" s="342">
        <f>+Table7[[#This Row],[стойност с ДДС]]-Table7[[#This Row],[направено плащане]]</f>
        <v>0</v>
      </c>
      <c r="O780" s="346"/>
    </row>
    <row r="781" spans="1:15" ht="20.100000000000001" customHeight="1" x14ac:dyDescent="0.25">
      <c r="A781" s="206" t="s">
        <v>253</v>
      </c>
      <c r="B781" s="381" t="s">
        <v>1227</v>
      </c>
      <c r="C781" s="371">
        <v>45460</v>
      </c>
      <c r="D781" s="337"/>
      <c r="E781" s="347" t="s">
        <v>131</v>
      </c>
      <c r="F781" s="409" t="s">
        <v>1228</v>
      </c>
      <c r="G781" s="322"/>
      <c r="H781" s="324">
        <v>10</v>
      </c>
      <c r="I781" s="325">
        <v>55.5</v>
      </c>
      <c r="J781" s="325">
        <f t="shared" si="106"/>
        <v>555</v>
      </c>
      <c r="K781" s="318">
        <f>J781*1.2</f>
        <v>666</v>
      </c>
      <c r="L781" s="322">
        <v>666</v>
      </c>
      <c r="M781" s="371">
        <v>45463</v>
      </c>
      <c r="N781" s="322">
        <f>+Table7[[#This Row],[стойност с ДДС]]-Table7[[#This Row],[направено плащане]]</f>
        <v>0</v>
      </c>
      <c r="O781" s="327"/>
    </row>
    <row r="782" spans="1:15" ht="20.100000000000001" customHeight="1" x14ac:dyDescent="0.25">
      <c r="A782" s="206" t="s">
        <v>118</v>
      </c>
      <c r="B782" s="381" t="s">
        <v>1229</v>
      </c>
      <c r="C782" s="373">
        <v>45457</v>
      </c>
      <c r="D782" s="343"/>
      <c r="E782" s="347" t="s">
        <v>131</v>
      </c>
      <c r="F782" s="412" t="s">
        <v>1230</v>
      </c>
      <c r="G782" s="342"/>
      <c r="H782" s="344">
        <v>100</v>
      </c>
      <c r="I782" s="345">
        <v>54.8</v>
      </c>
      <c r="J782" s="345">
        <f t="shared" si="106"/>
        <v>5480</v>
      </c>
      <c r="K782" s="320">
        <f>J782*1.2</f>
        <v>6576</v>
      </c>
      <c r="L782" s="342">
        <v>6576</v>
      </c>
      <c r="M782" s="373">
        <v>45463</v>
      </c>
      <c r="N782" s="342">
        <f>+Table7[[#This Row],[стойност с ДДС]]-Table7[[#This Row],[направено плащане]]</f>
        <v>0</v>
      </c>
      <c r="O782" s="346"/>
    </row>
    <row r="783" spans="1:15" ht="20.100000000000001" customHeight="1" x14ac:dyDescent="0.3">
      <c r="A783" s="206" t="s">
        <v>773</v>
      </c>
      <c r="B783" s="381"/>
      <c r="C783" s="373"/>
      <c r="D783" s="343"/>
      <c r="E783" s="353" t="s">
        <v>622</v>
      </c>
      <c r="F783" s="412"/>
      <c r="G783" s="342"/>
      <c r="H783" s="344"/>
      <c r="I783" s="345"/>
      <c r="J783" s="345">
        <f>204.09*1.9563</f>
        <v>399.26126699999998</v>
      </c>
      <c r="K783" s="320">
        <f>+Table7[[#This Row],[стойност]]</f>
        <v>399.26126699999998</v>
      </c>
      <c r="L783" s="320">
        <f>+Table7[[#This Row],[стойност]]</f>
        <v>399.26126699999998</v>
      </c>
      <c r="M783" s="371">
        <v>45461</v>
      </c>
      <c r="N783" s="342">
        <f>+Table7[[#This Row],[стойност с ДДС]]-Table7[[#This Row],[направено плащане]]</f>
        <v>0</v>
      </c>
      <c r="O783" s="346"/>
    </row>
    <row r="784" spans="1:15" ht="20.100000000000001" customHeight="1" x14ac:dyDescent="0.25">
      <c r="A784" s="206" t="s">
        <v>157</v>
      </c>
      <c r="B784" s="381" t="s">
        <v>1231</v>
      </c>
      <c r="C784" s="373">
        <v>45460</v>
      </c>
      <c r="D784" s="343"/>
      <c r="E784" s="347" t="s">
        <v>131</v>
      </c>
      <c r="F784" s="412"/>
      <c r="G784" s="342"/>
      <c r="H784" s="344">
        <v>30</v>
      </c>
      <c r="I784" s="345">
        <v>56</v>
      </c>
      <c r="J784" s="345">
        <f>I784*H784</f>
        <v>1680</v>
      </c>
      <c r="K784" s="320">
        <f>J784*1.2</f>
        <v>2016</v>
      </c>
      <c r="L784" s="342">
        <v>2016</v>
      </c>
      <c r="M784" s="373">
        <v>45463</v>
      </c>
      <c r="N784" s="342">
        <f>+Table7[[#This Row],[стойност с ДДС]]-Table7[[#This Row],[направено плащане]]</f>
        <v>0</v>
      </c>
      <c r="O784" s="346"/>
    </row>
    <row r="785" spans="1:15" ht="20.100000000000001" customHeight="1" x14ac:dyDescent="0.25">
      <c r="A785" s="206" t="s">
        <v>157</v>
      </c>
      <c r="B785" s="381" t="s">
        <v>1231</v>
      </c>
      <c r="C785" s="373">
        <v>45460</v>
      </c>
      <c r="D785" s="337"/>
      <c r="E785" s="347" t="s">
        <v>131</v>
      </c>
      <c r="F785" s="409"/>
      <c r="G785" s="322"/>
      <c r="H785" s="324">
        <v>10</v>
      </c>
      <c r="I785" s="325">
        <v>54.5</v>
      </c>
      <c r="J785" s="325">
        <f>I785*H785</f>
        <v>545</v>
      </c>
      <c r="K785" s="318">
        <f>J785*1.2</f>
        <v>654</v>
      </c>
      <c r="L785" s="322">
        <v>654</v>
      </c>
      <c r="M785" s="371">
        <v>45463</v>
      </c>
      <c r="N785" s="322">
        <f>+Table7[[#This Row],[стойност с ДДС]]-Table7[[#This Row],[направено плащане]]</f>
        <v>0</v>
      </c>
      <c r="O785" s="327"/>
    </row>
    <row r="786" spans="1:15" ht="20.100000000000001" customHeight="1" x14ac:dyDescent="0.3">
      <c r="A786" s="206" t="s">
        <v>579</v>
      </c>
      <c r="B786" s="381" t="s">
        <v>1232</v>
      </c>
      <c r="C786" s="373">
        <v>45460</v>
      </c>
      <c r="D786" s="343"/>
      <c r="E786" s="353" t="s">
        <v>450</v>
      </c>
      <c r="F786" s="412"/>
      <c r="G786" s="342"/>
      <c r="H786" s="344"/>
      <c r="I786" s="345"/>
      <c r="J786" s="345">
        <v>78</v>
      </c>
      <c r="K786" s="320">
        <f>+Table7[[#This Row],[стойност]]</f>
        <v>78</v>
      </c>
      <c r="L786" s="320">
        <f>+Table7[[#This Row],[стойност]]</f>
        <v>78</v>
      </c>
      <c r="M786" s="373">
        <v>45463</v>
      </c>
      <c r="N786" s="342">
        <f>+Table7[[#This Row],[стойност с ДДС]]-Table7[[#This Row],[направено плащане]]</f>
        <v>0</v>
      </c>
      <c r="O786" s="346"/>
    </row>
    <row r="787" spans="1:15" ht="20.100000000000001" customHeight="1" x14ac:dyDescent="0.25">
      <c r="A787" s="206" t="s">
        <v>99</v>
      </c>
      <c r="B787" s="381" t="s">
        <v>1233</v>
      </c>
      <c r="C787" s="373">
        <v>45460</v>
      </c>
      <c r="D787" s="343"/>
      <c r="E787" s="347" t="s">
        <v>131</v>
      </c>
      <c r="F787" s="412" t="s">
        <v>1234</v>
      </c>
      <c r="G787" s="342"/>
      <c r="H787" s="344">
        <v>55</v>
      </c>
      <c r="I787" s="345">
        <v>53.01</v>
      </c>
      <c r="J787" s="345">
        <f>I787*H787</f>
        <v>2915.5499999999997</v>
      </c>
      <c r="K787" s="320">
        <f>J787*1.2</f>
        <v>3498.6599999999994</v>
      </c>
      <c r="L787" s="342"/>
      <c r="M787" s="373"/>
      <c r="N787" s="342">
        <f>+Table7[[#This Row],[стойност с ДДС]]-Table7[[#This Row],[направено плащане]]</f>
        <v>3498.6599999999994</v>
      </c>
      <c r="O787" s="346"/>
    </row>
    <row r="788" spans="1:15" ht="20.100000000000001" customHeight="1" x14ac:dyDescent="0.25">
      <c r="A788" s="206" t="s">
        <v>1017</v>
      </c>
      <c r="B788" s="381" t="s">
        <v>1235</v>
      </c>
      <c r="C788" s="373">
        <v>45460</v>
      </c>
      <c r="D788" s="343"/>
      <c r="E788" s="347" t="s">
        <v>131</v>
      </c>
      <c r="F788" s="412" t="s">
        <v>1237</v>
      </c>
      <c r="G788" s="342"/>
      <c r="H788" s="344">
        <v>500</v>
      </c>
      <c r="I788" s="345">
        <v>54.01</v>
      </c>
      <c r="J788" s="345">
        <f>I788*H788</f>
        <v>27005</v>
      </c>
      <c r="K788" s="320">
        <f>J788*1.2</f>
        <v>32406</v>
      </c>
      <c r="L788" s="342">
        <v>32406</v>
      </c>
      <c r="M788" s="373">
        <v>45463</v>
      </c>
      <c r="N788" s="342">
        <f>+Table7[[#This Row],[стойност с ДДС]]-Table7[[#This Row],[направено плащане]]</f>
        <v>0</v>
      </c>
      <c r="O788" s="346"/>
    </row>
    <row r="789" spans="1:15" ht="20.100000000000001" customHeight="1" x14ac:dyDescent="0.25">
      <c r="A789" s="206" t="s">
        <v>1017</v>
      </c>
      <c r="B789" s="381" t="s">
        <v>1235</v>
      </c>
      <c r="C789" s="373">
        <v>45460</v>
      </c>
      <c r="D789" s="343"/>
      <c r="E789" s="347" t="s">
        <v>131</v>
      </c>
      <c r="F789" s="412" t="s">
        <v>1238</v>
      </c>
      <c r="G789" s="342"/>
      <c r="H789" s="344">
        <v>100</v>
      </c>
      <c r="I789" s="345">
        <v>54.01</v>
      </c>
      <c r="J789" s="345">
        <f>I789*H789</f>
        <v>5401</v>
      </c>
      <c r="K789" s="320">
        <f>J789*1.2</f>
        <v>6481.2</v>
      </c>
      <c r="L789" s="342">
        <v>6481.2</v>
      </c>
      <c r="M789" s="373">
        <v>45463</v>
      </c>
      <c r="N789" s="342">
        <f>+Table7[[#This Row],[стойност с ДДС]]-Table7[[#This Row],[направено плащане]]</f>
        <v>0</v>
      </c>
      <c r="O789" s="346"/>
    </row>
    <row r="790" spans="1:15" ht="20.100000000000001" customHeight="1" x14ac:dyDescent="0.25">
      <c r="A790" s="206" t="s">
        <v>268</v>
      </c>
      <c r="B790" s="381" t="s">
        <v>1239</v>
      </c>
      <c r="C790" s="373">
        <v>45461</v>
      </c>
      <c r="D790" s="343"/>
      <c r="E790" s="347" t="s">
        <v>131</v>
      </c>
      <c r="F790" s="412"/>
      <c r="G790" s="342"/>
      <c r="H790" s="344">
        <v>35</v>
      </c>
      <c r="I790" s="345">
        <v>52</v>
      </c>
      <c r="J790" s="345">
        <f>I790*H790</f>
        <v>1820</v>
      </c>
      <c r="K790" s="320">
        <f>J790*1.2</f>
        <v>2184</v>
      </c>
      <c r="L790" s="342">
        <v>2184</v>
      </c>
      <c r="M790" s="373">
        <v>45467</v>
      </c>
      <c r="N790" s="342">
        <f>+Table7[[#This Row],[стойност с ДДС]]-Table7[[#This Row],[направено плащане]]</f>
        <v>0</v>
      </c>
      <c r="O790" s="346"/>
    </row>
    <row r="791" spans="1:15" ht="20.100000000000001" customHeight="1" x14ac:dyDescent="0.3">
      <c r="A791" s="206" t="s">
        <v>268</v>
      </c>
      <c r="B791" s="378" t="s">
        <v>1240</v>
      </c>
      <c r="C791" s="371">
        <v>45462</v>
      </c>
      <c r="D791" s="337"/>
      <c r="E791" s="323" t="s">
        <v>263</v>
      </c>
      <c r="F791" s="409"/>
      <c r="G791" s="322"/>
      <c r="H791" s="324">
        <v>3100</v>
      </c>
      <c r="I791" s="325">
        <v>58.674900000000001</v>
      </c>
      <c r="J791" s="325">
        <f t="shared" ref="J791:J807" si="107">I791*H791</f>
        <v>181892.19</v>
      </c>
      <c r="K791" s="318">
        <f t="shared" ref="K791:K807" si="108">J791*1.2</f>
        <v>218270.628</v>
      </c>
      <c r="L791" s="322">
        <v>218270.628</v>
      </c>
      <c r="M791" s="371">
        <v>45485</v>
      </c>
      <c r="N791" s="322">
        <f>+Table7[[#This Row],[стойност с ДДС]]-Table7[[#This Row],[направено плащане]]</f>
        <v>0</v>
      </c>
      <c r="O791" s="327"/>
    </row>
    <row r="792" spans="1:15" ht="20.100000000000001" customHeight="1" x14ac:dyDescent="0.3">
      <c r="A792" s="206" t="s">
        <v>268</v>
      </c>
      <c r="B792" s="378" t="s">
        <v>1267</v>
      </c>
      <c r="C792" s="371">
        <v>45462</v>
      </c>
      <c r="D792" s="337"/>
      <c r="E792" s="323" t="s">
        <v>263</v>
      </c>
      <c r="F792" s="409"/>
      <c r="G792" s="322"/>
      <c r="H792" s="324">
        <v>3100</v>
      </c>
      <c r="I792" s="325">
        <v>58.67</v>
      </c>
      <c r="J792" s="325">
        <f>I792*H792</f>
        <v>181877</v>
      </c>
      <c r="K792" s="318">
        <v>218270.63</v>
      </c>
      <c r="L792" s="322">
        <v>218270.63</v>
      </c>
      <c r="M792" s="371">
        <v>45464</v>
      </c>
      <c r="N792" s="322">
        <f>+Table7[[#This Row],[стойност с ДДС]]-Table7[[#This Row],[направено плащане]]</f>
        <v>0</v>
      </c>
      <c r="O792" s="327"/>
    </row>
    <row r="793" spans="1:15" ht="20.100000000000001" customHeight="1" x14ac:dyDescent="0.3">
      <c r="A793" s="206" t="s">
        <v>268</v>
      </c>
      <c r="B793" s="378" t="s">
        <v>1241</v>
      </c>
      <c r="C793" s="371">
        <v>45462</v>
      </c>
      <c r="D793" s="337"/>
      <c r="E793" s="323" t="s">
        <v>263</v>
      </c>
      <c r="F793" s="409"/>
      <c r="G793" s="322"/>
      <c r="H793" s="324">
        <v>3100</v>
      </c>
      <c r="I793" s="325">
        <v>58.674900000000001</v>
      </c>
      <c r="J793" s="325">
        <f t="shared" si="107"/>
        <v>181892.19</v>
      </c>
      <c r="K793" s="318">
        <f t="shared" si="108"/>
        <v>218270.628</v>
      </c>
      <c r="L793" s="322">
        <v>218270.63</v>
      </c>
      <c r="M793" s="371">
        <v>45485</v>
      </c>
      <c r="N793" s="322">
        <f>+Table7[[#This Row],[стойност с ДДС]]-Table7[[#This Row],[направено плащане]]</f>
        <v>-2.0000000076834112E-3</v>
      </c>
      <c r="O793" s="327"/>
    </row>
    <row r="794" spans="1:15" ht="20.100000000000001" customHeight="1" x14ac:dyDescent="0.3">
      <c r="A794" s="206" t="s">
        <v>268</v>
      </c>
      <c r="B794" s="378" t="s">
        <v>1242</v>
      </c>
      <c r="C794" s="371">
        <v>45462</v>
      </c>
      <c r="D794" s="337"/>
      <c r="E794" s="323" t="s">
        <v>263</v>
      </c>
      <c r="F794" s="409"/>
      <c r="G794" s="322"/>
      <c r="H794" s="324">
        <v>1550</v>
      </c>
      <c r="I794" s="325">
        <v>55.741199999999999</v>
      </c>
      <c r="J794" s="325">
        <f t="shared" si="107"/>
        <v>86398.86</v>
      </c>
      <c r="K794" s="318">
        <v>103678.55</v>
      </c>
      <c r="L794" s="322">
        <v>103678.55</v>
      </c>
      <c r="M794" s="371">
        <v>45464</v>
      </c>
      <c r="N794" s="322">
        <f>+Table7[[#This Row],[стойност с ДДС]]-Table7[[#This Row],[направено плащане]]</f>
        <v>0</v>
      </c>
      <c r="O794" s="327"/>
    </row>
    <row r="795" spans="1:15" ht="20.100000000000001" customHeight="1" x14ac:dyDescent="0.3">
      <c r="A795" s="206" t="s">
        <v>268</v>
      </c>
      <c r="B795" s="378" t="s">
        <v>1243</v>
      </c>
      <c r="C795" s="371">
        <v>45462</v>
      </c>
      <c r="D795" s="337"/>
      <c r="E795" s="323" t="s">
        <v>263</v>
      </c>
      <c r="F795" s="409"/>
      <c r="G795" s="322"/>
      <c r="H795" s="324">
        <v>1550</v>
      </c>
      <c r="I795" s="325">
        <v>55.741199999999999</v>
      </c>
      <c r="J795" s="325">
        <f t="shared" si="107"/>
        <v>86398.86</v>
      </c>
      <c r="K795" s="318">
        <f t="shared" si="108"/>
        <v>103678.632</v>
      </c>
      <c r="L795" s="322">
        <v>103678.55</v>
      </c>
      <c r="M795" s="371">
        <v>45485</v>
      </c>
      <c r="N795" s="322">
        <f>+Table7[[#This Row],[стойност с ДДС]]-Table7[[#This Row],[направено плащане]]</f>
        <v>8.1999999994877726E-2</v>
      </c>
      <c r="O795" s="327"/>
    </row>
    <row r="796" spans="1:15" ht="20.100000000000001" customHeight="1" x14ac:dyDescent="0.3">
      <c r="A796" s="206" t="s">
        <v>268</v>
      </c>
      <c r="B796" s="378" t="s">
        <v>1244</v>
      </c>
      <c r="C796" s="371">
        <v>45462</v>
      </c>
      <c r="D796" s="337"/>
      <c r="E796" s="323" t="s">
        <v>263</v>
      </c>
      <c r="F796" s="409"/>
      <c r="G796" s="322"/>
      <c r="H796" s="324">
        <v>1550</v>
      </c>
      <c r="I796" s="325">
        <v>47.722299999999997</v>
      </c>
      <c r="J796" s="325">
        <f t="shared" si="107"/>
        <v>73969.565000000002</v>
      </c>
      <c r="K796" s="318">
        <v>88763.39</v>
      </c>
      <c r="L796" s="322">
        <v>88763.39</v>
      </c>
      <c r="M796" s="371">
        <v>45464</v>
      </c>
      <c r="N796" s="322">
        <f>+Table7[[#This Row],[стойност с ДДС]]-Table7[[#This Row],[направено плащане]]</f>
        <v>0</v>
      </c>
      <c r="O796" s="327"/>
    </row>
    <row r="797" spans="1:15" ht="20.100000000000001" customHeight="1" x14ac:dyDescent="0.3">
      <c r="A797" s="206" t="s">
        <v>268</v>
      </c>
      <c r="B797" s="378" t="s">
        <v>1245</v>
      </c>
      <c r="C797" s="371">
        <v>45462</v>
      </c>
      <c r="D797" s="337"/>
      <c r="E797" s="323" t="s">
        <v>263</v>
      </c>
      <c r="F797" s="409"/>
      <c r="G797" s="322"/>
      <c r="H797" s="324">
        <v>1550</v>
      </c>
      <c r="I797" s="325">
        <v>47.722299999999997</v>
      </c>
      <c r="J797" s="325">
        <f t="shared" si="107"/>
        <v>73969.565000000002</v>
      </c>
      <c r="K797" s="318">
        <f t="shared" si="108"/>
        <v>88763.478000000003</v>
      </c>
      <c r="L797" s="322">
        <v>88763.478000000003</v>
      </c>
      <c r="M797" s="371">
        <v>45485</v>
      </c>
      <c r="N797" s="322">
        <f>+Table7[[#This Row],[стойност с ДДС]]-Table7[[#This Row],[направено плащане]]</f>
        <v>0</v>
      </c>
      <c r="O797" s="327"/>
    </row>
    <row r="798" spans="1:15" ht="20.100000000000001" customHeight="1" x14ac:dyDescent="0.3">
      <c r="A798" s="206" t="s">
        <v>268</v>
      </c>
      <c r="B798" s="378" t="s">
        <v>1246</v>
      </c>
      <c r="C798" s="371">
        <v>45462</v>
      </c>
      <c r="D798" s="337"/>
      <c r="E798" s="323" t="s">
        <v>263</v>
      </c>
      <c r="F798" s="409"/>
      <c r="G798" s="322"/>
      <c r="H798" s="324">
        <v>1550</v>
      </c>
      <c r="I798" s="325">
        <v>48.993499999999997</v>
      </c>
      <c r="J798" s="325">
        <f t="shared" si="107"/>
        <v>75939.925000000003</v>
      </c>
      <c r="K798" s="318">
        <v>91127.99</v>
      </c>
      <c r="L798" s="322">
        <v>91127.99</v>
      </c>
      <c r="M798" s="371">
        <v>45464</v>
      </c>
      <c r="N798" s="322">
        <f>+Table7[[#This Row],[стойност с ДДС]]-Table7[[#This Row],[направено плащане]]</f>
        <v>0</v>
      </c>
      <c r="O798" s="327"/>
    </row>
    <row r="799" spans="1:15" ht="20.100000000000001" customHeight="1" x14ac:dyDescent="0.3">
      <c r="A799" s="206" t="s">
        <v>268</v>
      </c>
      <c r="B799" s="378" t="s">
        <v>1247</v>
      </c>
      <c r="C799" s="371">
        <v>45462</v>
      </c>
      <c r="D799" s="337"/>
      <c r="E799" s="323" t="s">
        <v>263</v>
      </c>
      <c r="F799" s="409"/>
      <c r="G799" s="322"/>
      <c r="H799" s="324">
        <v>1550</v>
      </c>
      <c r="I799" s="325">
        <v>48.993499999999997</v>
      </c>
      <c r="J799" s="325">
        <f t="shared" si="107"/>
        <v>75939.925000000003</v>
      </c>
      <c r="K799" s="318">
        <f t="shared" si="108"/>
        <v>91127.91</v>
      </c>
      <c r="L799" s="322">
        <v>91127.91</v>
      </c>
      <c r="M799" s="371">
        <v>45485</v>
      </c>
      <c r="N799" s="322">
        <f>+Table7[[#This Row],[стойност с ДДС]]-Table7[[#This Row],[направено плащане]]</f>
        <v>0</v>
      </c>
      <c r="O799" s="327"/>
    </row>
    <row r="800" spans="1:15" ht="20.100000000000001" customHeight="1" x14ac:dyDescent="0.3">
      <c r="A800" s="206" t="s">
        <v>268</v>
      </c>
      <c r="B800" s="378" t="s">
        <v>1248</v>
      </c>
      <c r="C800" s="371">
        <v>45462</v>
      </c>
      <c r="D800" s="337"/>
      <c r="E800" s="323" t="s">
        <v>263</v>
      </c>
      <c r="F800" s="409"/>
      <c r="G800" s="322"/>
      <c r="H800" s="324">
        <v>4650</v>
      </c>
      <c r="I800" s="325">
        <v>52.357599999999998</v>
      </c>
      <c r="J800" s="325">
        <f t="shared" si="107"/>
        <v>243462.84</v>
      </c>
      <c r="K800" s="318">
        <v>292155.24</v>
      </c>
      <c r="L800" s="322">
        <v>292155.24</v>
      </c>
      <c r="M800" s="371">
        <v>45464</v>
      </c>
      <c r="N800" s="322">
        <f>+Table7[[#This Row],[стойност с ДДС]]-Table7[[#This Row],[направено плащане]]</f>
        <v>0</v>
      </c>
      <c r="O800" s="327"/>
    </row>
    <row r="801" spans="1:15" ht="20.100000000000001" customHeight="1" x14ac:dyDescent="0.3">
      <c r="A801" s="206" t="s">
        <v>268</v>
      </c>
      <c r="B801" s="378" t="s">
        <v>1249</v>
      </c>
      <c r="C801" s="371">
        <v>45462</v>
      </c>
      <c r="D801" s="337"/>
      <c r="E801" s="323" t="s">
        <v>263</v>
      </c>
      <c r="F801" s="409"/>
      <c r="G801" s="322"/>
      <c r="H801" s="324">
        <v>4650</v>
      </c>
      <c r="I801" s="325">
        <v>52.357599999999998</v>
      </c>
      <c r="J801" s="325">
        <f t="shared" si="107"/>
        <v>243462.84</v>
      </c>
      <c r="K801" s="318">
        <f t="shared" si="108"/>
        <v>292155.408</v>
      </c>
      <c r="L801" s="322">
        <v>292155.408</v>
      </c>
      <c r="M801" s="371">
        <v>45485</v>
      </c>
      <c r="N801" s="322">
        <f>+Table7[[#This Row],[стойност с ДДС]]-Table7[[#This Row],[направено плащане]]</f>
        <v>0</v>
      </c>
      <c r="O801" s="327"/>
    </row>
    <row r="802" spans="1:15" ht="20.100000000000001" customHeight="1" x14ac:dyDescent="0.3">
      <c r="A802" s="206" t="s">
        <v>268</v>
      </c>
      <c r="B802" s="378" t="s">
        <v>1250</v>
      </c>
      <c r="C802" s="371">
        <v>45462</v>
      </c>
      <c r="D802" s="337"/>
      <c r="E802" s="323" t="s">
        <v>263</v>
      </c>
      <c r="F802" s="409"/>
      <c r="G802" s="322"/>
      <c r="H802" s="324">
        <v>1550</v>
      </c>
      <c r="I802" s="325">
        <v>54.078699999999998</v>
      </c>
      <c r="J802" s="325">
        <f t="shared" si="107"/>
        <v>83821.985000000001</v>
      </c>
      <c r="K802" s="318">
        <f t="shared" si="108"/>
        <v>100586.382</v>
      </c>
      <c r="L802" s="322">
        <v>100586.382</v>
      </c>
      <c r="M802" s="371">
        <v>45464</v>
      </c>
      <c r="N802" s="322">
        <f>+Table7[[#This Row],[стойност с ДДС]]-Table7[[#This Row],[направено плащане]]</f>
        <v>0</v>
      </c>
      <c r="O802" s="327"/>
    </row>
    <row r="803" spans="1:15" ht="20.100000000000001" customHeight="1" x14ac:dyDescent="0.3">
      <c r="A803" s="206" t="s">
        <v>268</v>
      </c>
      <c r="B803" s="378" t="s">
        <v>1251</v>
      </c>
      <c r="C803" s="371">
        <v>45462</v>
      </c>
      <c r="D803" s="337"/>
      <c r="E803" s="323" t="s">
        <v>263</v>
      </c>
      <c r="F803" s="409"/>
      <c r="G803" s="322"/>
      <c r="H803" s="324">
        <v>1550</v>
      </c>
      <c r="I803" s="325">
        <v>54.078699999999998</v>
      </c>
      <c r="J803" s="325">
        <f t="shared" si="107"/>
        <v>83821.985000000001</v>
      </c>
      <c r="K803" s="318">
        <f t="shared" si="108"/>
        <v>100586.382</v>
      </c>
      <c r="L803" s="322">
        <v>100586.382</v>
      </c>
      <c r="M803" s="371">
        <v>45485</v>
      </c>
      <c r="N803" s="322">
        <f>+Table7[[#This Row],[стойност с ДДС]]-Table7[[#This Row],[направено плащане]]</f>
        <v>0</v>
      </c>
      <c r="O803" s="327"/>
    </row>
    <row r="804" spans="1:15" ht="20.100000000000001" customHeight="1" x14ac:dyDescent="0.3">
      <c r="A804" s="206" t="s">
        <v>268</v>
      </c>
      <c r="B804" s="378" t="s">
        <v>1252</v>
      </c>
      <c r="C804" s="371">
        <v>45462</v>
      </c>
      <c r="D804" s="337"/>
      <c r="E804" s="323" t="s">
        <v>263</v>
      </c>
      <c r="F804" s="409"/>
      <c r="G804" s="322"/>
      <c r="H804" s="324">
        <v>1550</v>
      </c>
      <c r="I804" s="325">
        <v>50.655999999999999</v>
      </c>
      <c r="J804" s="325">
        <f t="shared" si="107"/>
        <v>78516.800000000003</v>
      </c>
      <c r="K804" s="318">
        <f t="shared" si="108"/>
        <v>94220.160000000003</v>
      </c>
      <c r="L804" s="322">
        <v>94220.160000000003</v>
      </c>
      <c r="M804" s="371">
        <v>45464</v>
      </c>
      <c r="N804" s="322">
        <f>+Table7[[#This Row],[стойност с ДДС]]-Table7[[#This Row],[направено плащане]]</f>
        <v>0</v>
      </c>
      <c r="O804" s="327"/>
    </row>
    <row r="805" spans="1:15" ht="20.100000000000001" customHeight="1" x14ac:dyDescent="0.3">
      <c r="A805" s="206" t="s">
        <v>268</v>
      </c>
      <c r="B805" s="378" t="s">
        <v>1253</v>
      </c>
      <c r="C805" s="371">
        <v>45462</v>
      </c>
      <c r="D805" s="337"/>
      <c r="E805" s="323" t="s">
        <v>263</v>
      </c>
      <c r="F805" s="409"/>
      <c r="G805" s="322"/>
      <c r="H805" s="324">
        <v>1550</v>
      </c>
      <c r="I805" s="325">
        <v>50.655999999999999</v>
      </c>
      <c r="J805" s="325">
        <f t="shared" si="107"/>
        <v>78516.800000000003</v>
      </c>
      <c r="K805" s="318">
        <f t="shared" si="108"/>
        <v>94220.160000000003</v>
      </c>
      <c r="L805" s="322">
        <v>94220.160000000003</v>
      </c>
      <c r="M805" s="371">
        <v>45485</v>
      </c>
      <c r="N805" s="322">
        <f>+Table7[[#This Row],[стойност с ДДС]]-Table7[[#This Row],[направено плащане]]</f>
        <v>0</v>
      </c>
      <c r="O805" s="327"/>
    </row>
    <row r="806" spans="1:15" ht="20.100000000000001" customHeight="1" x14ac:dyDescent="0.3">
      <c r="A806" s="206" t="s">
        <v>268</v>
      </c>
      <c r="B806" s="378" t="s">
        <v>1254</v>
      </c>
      <c r="C806" s="371">
        <v>45462</v>
      </c>
      <c r="D806" s="337"/>
      <c r="E806" s="323" t="s">
        <v>263</v>
      </c>
      <c r="F806" s="409"/>
      <c r="G806" s="322"/>
      <c r="H806" s="324">
        <v>1550</v>
      </c>
      <c r="I806" s="325">
        <v>51.438299999999998</v>
      </c>
      <c r="J806" s="325">
        <f t="shared" si="107"/>
        <v>79729.364999999991</v>
      </c>
      <c r="K806" s="318">
        <v>95675.29</v>
      </c>
      <c r="L806" s="322">
        <v>95675.29</v>
      </c>
      <c r="M806" s="371">
        <v>45464</v>
      </c>
      <c r="N806" s="322">
        <f>+Table7[[#This Row],[стойност с ДДС]]-Table7[[#This Row],[направено плащане]]</f>
        <v>0</v>
      </c>
      <c r="O806" s="327"/>
    </row>
    <row r="807" spans="1:15" ht="20.100000000000001" customHeight="1" x14ac:dyDescent="0.3">
      <c r="A807" s="206" t="s">
        <v>268</v>
      </c>
      <c r="B807" s="378" t="s">
        <v>1240</v>
      </c>
      <c r="C807" s="371">
        <v>45462</v>
      </c>
      <c r="D807" s="337"/>
      <c r="E807" s="323" t="s">
        <v>263</v>
      </c>
      <c r="F807" s="409"/>
      <c r="G807" s="322"/>
      <c r="H807" s="324">
        <v>1550</v>
      </c>
      <c r="I807" s="325">
        <v>51.438299999999998</v>
      </c>
      <c r="J807" s="325">
        <f t="shared" si="107"/>
        <v>79729.364999999991</v>
      </c>
      <c r="K807" s="318">
        <f t="shared" si="108"/>
        <v>95675.237999999983</v>
      </c>
      <c r="L807" s="322">
        <v>95675.237999999983</v>
      </c>
      <c r="M807" s="371">
        <v>45485</v>
      </c>
      <c r="N807" s="322">
        <f>+Table7[[#This Row],[стойност с ДДС]]-Table7[[#This Row],[направено плащане]]</f>
        <v>0</v>
      </c>
      <c r="O807" s="327"/>
    </row>
    <row r="808" spans="1:15" ht="20.100000000000001" customHeight="1" x14ac:dyDescent="0.25">
      <c r="A808" s="206" t="s">
        <v>159</v>
      </c>
      <c r="B808" s="381" t="s">
        <v>1277</v>
      </c>
      <c r="C808" s="373">
        <v>45462</v>
      </c>
      <c r="D808" s="343"/>
      <c r="E808" s="347" t="s">
        <v>131</v>
      </c>
      <c r="F808" s="412" t="s">
        <v>1264</v>
      </c>
      <c r="G808" s="342"/>
      <c r="H808" s="344">
        <v>300</v>
      </c>
      <c r="I808" s="345">
        <v>53.1</v>
      </c>
      <c r="J808" s="345">
        <v>15933.83</v>
      </c>
      <c r="K808" s="320">
        <f>+Table7[[#This Row],[стойност]]</f>
        <v>15933.83</v>
      </c>
      <c r="L808" s="342">
        <v>15933.83</v>
      </c>
      <c r="M808" s="373">
        <v>45468</v>
      </c>
      <c r="N808" s="342">
        <f>+Table7[[#This Row],[стойност с ДДС]]-Table7[[#This Row],[направено плащане]]</f>
        <v>0</v>
      </c>
      <c r="O808" s="346"/>
    </row>
    <row r="809" spans="1:15" ht="20.100000000000001" customHeight="1" x14ac:dyDescent="0.25">
      <c r="A809" s="206" t="s">
        <v>118</v>
      </c>
      <c r="B809" s="381" t="s">
        <v>1255</v>
      </c>
      <c r="C809" s="373">
        <v>45462</v>
      </c>
      <c r="D809" s="343"/>
      <c r="E809" s="347" t="s">
        <v>131</v>
      </c>
      <c r="F809" s="412" t="s">
        <v>1265</v>
      </c>
      <c r="G809" s="342"/>
      <c r="H809" s="344">
        <v>50</v>
      </c>
      <c r="I809" s="345">
        <v>54.01</v>
      </c>
      <c r="J809" s="345">
        <f>I809*H809</f>
        <v>2700.5</v>
      </c>
      <c r="K809" s="320">
        <f>J809*1.2</f>
        <v>3240.6</v>
      </c>
      <c r="L809" s="342">
        <v>3240.6</v>
      </c>
      <c r="M809" s="373">
        <v>45468</v>
      </c>
      <c r="N809" s="342">
        <f>+Table7[[#This Row],[стойност с ДДС]]-Table7[[#This Row],[направено плащане]]</f>
        <v>0</v>
      </c>
      <c r="O809" s="346"/>
    </row>
    <row r="810" spans="1:15" ht="20.100000000000001" customHeight="1" x14ac:dyDescent="0.25">
      <c r="A810" s="206" t="s">
        <v>118</v>
      </c>
      <c r="B810" s="381" t="s">
        <v>1255</v>
      </c>
      <c r="C810" s="373">
        <v>45462</v>
      </c>
      <c r="D810" s="343"/>
      <c r="E810" s="347" t="s">
        <v>131</v>
      </c>
      <c r="F810" s="412" t="s">
        <v>1266</v>
      </c>
      <c r="G810" s="342"/>
      <c r="H810" s="344">
        <v>50</v>
      </c>
      <c r="I810" s="345">
        <v>53.5</v>
      </c>
      <c r="J810" s="345">
        <f>I810*H810</f>
        <v>2675</v>
      </c>
      <c r="K810" s="320">
        <f>J810*1.2</f>
        <v>3210</v>
      </c>
      <c r="L810" s="342">
        <v>3210</v>
      </c>
      <c r="M810" s="373">
        <v>45468</v>
      </c>
      <c r="N810" s="342">
        <f>+Table7[[#This Row],[стойност с ДДС]]-Table7[[#This Row],[направено плащане]]</f>
        <v>0</v>
      </c>
      <c r="O810" s="346"/>
    </row>
    <row r="811" spans="1:15" ht="20.100000000000001" customHeight="1" x14ac:dyDescent="0.3">
      <c r="A811" s="206" t="s">
        <v>420</v>
      </c>
      <c r="B811" s="381" t="s">
        <v>1256</v>
      </c>
      <c r="C811" s="373">
        <v>45462</v>
      </c>
      <c r="D811" s="343"/>
      <c r="E811" s="353" t="s">
        <v>422</v>
      </c>
      <c r="F811" s="412"/>
      <c r="G811" s="342"/>
      <c r="H811" s="344"/>
      <c r="I811" s="345"/>
      <c r="J811" s="345" t="s">
        <v>1257</v>
      </c>
      <c r="K811" s="320">
        <v>552</v>
      </c>
      <c r="L811" s="342">
        <v>552</v>
      </c>
      <c r="M811" s="373">
        <v>45470</v>
      </c>
      <c r="N811" s="342">
        <f>+Table7[[#This Row],[стойност с ДДС]]-Table7[[#This Row],[направено плащане]]</f>
        <v>0</v>
      </c>
      <c r="O811" s="346"/>
    </row>
    <row r="812" spans="1:15" ht="20.100000000000001" customHeight="1" x14ac:dyDescent="0.25">
      <c r="A812" s="108" t="s">
        <v>118</v>
      </c>
      <c r="B812" s="381" t="s">
        <v>1268</v>
      </c>
      <c r="C812" s="371">
        <v>45462</v>
      </c>
      <c r="D812" s="343"/>
      <c r="E812" s="328" t="s">
        <v>131</v>
      </c>
      <c r="F812" s="412"/>
      <c r="G812" s="342"/>
      <c r="H812" s="344">
        <v>500</v>
      </c>
      <c r="I812" s="345">
        <v>53.01</v>
      </c>
      <c r="J812" s="345">
        <f t="shared" ref="J812" si="109">I812*H812</f>
        <v>26505</v>
      </c>
      <c r="K812" s="320">
        <f>J812*1.2</f>
        <v>31806</v>
      </c>
      <c r="L812" s="342">
        <v>31806</v>
      </c>
      <c r="M812" s="373">
        <v>45467</v>
      </c>
      <c r="N812" s="342">
        <f>+Table7[[#This Row],[стойност с ДДС]]-Table7[[#This Row],[направено плащане]]</f>
        <v>0</v>
      </c>
      <c r="O812" s="346"/>
    </row>
    <row r="813" spans="1:15" ht="20.100000000000001" customHeight="1" x14ac:dyDescent="0.25">
      <c r="A813" s="151"/>
      <c r="B813" s="378"/>
      <c r="C813" s="371"/>
      <c r="D813" s="337"/>
      <c r="E813" s="352" t="s">
        <v>623</v>
      </c>
      <c r="F813" s="409"/>
      <c r="G813" s="322"/>
      <c r="H813" s="324"/>
      <c r="I813" s="325"/>
      <c r="J813" s="325">
        <f>I813*H813</f>
        <v>0</v>
      </c>
      <c r="K813" s="318">
        <f>5868.9+3985.82+4599.04</f>
        <v>14453.759999999998</v>
      </c>
      <c r="L813" s="322">
        <v>14453.759999999998</v>
      </c>
      <c r="M813" s="371">
        <v>45464</v>
      </c>
      <c r="N813" s="322">
        <f>+Table7[[#This Row],[стойност с ДДС]]-Table7[[#This Row],[направено плащане]]</f>
        <v>0</v>
      </c>
      <c r="O813" s="327"/>
    </row>
    <row r="814" spans="1:15" ht="20.100000000000001" customHeight="1" x14ac:dyDescent="0.25">
      <c r="A814" s="151" t="s">
        <v>1258</v>
      </c>
      <c r="B814" s="378" t="s">
        <v>1259</v>
      </c>
      <c r="C814" s="371">
        <v>45462</v>
      </c>
      <c r="D814" s="337"/>
      <c r="E814" s="328" t="s">
        <v>263</v>
      </c>
      <c r="F814" s="409"/>
      <c r="G814" s="322"/>
      <c r="H814" s="324">
        <v>9300</v>
      </c>
      <c r="I814" s="325">
        <f>29.1*1.956</f>
        <v>56.919600000000003</v>
      </c>
      <c r="J814" s="325">
        <f t="shared" ref="J814:J818" si="110">I814*H814</f>
        <v>529352.28</v>
      </c>
      <c r="K814" s="318">
        <v>529433.47</v>
      </c>
      <c r="L814" s="322">
        <v>529433.47</v>
      </c>
      <c r="M814" s="371">
        <v>45467</v>
      </c>
      <c r="N814" s="322">
        <f>+Table7[[#This Row],[стойност с ДДС]]-Table7[[#This Row],[направено плащане]]</f>
        <v>0</v>
      </c>
      <c r="O814" s="327"/>
    </row>
    <row r="815" spans="1:15" ht="20.100000000000001" customHeight="1" x14ac:dyDescent="0.25">
      <c r="A815" s="151" t="s">
        <v>1258</v>
      </c>
      <c r="B815" s="378" t="s">
        <v>1260</v>
      </c>
      <c r="C815" s="371">
        <v>45462</v>
      </c>
      <c r="D815" s="337"/>
      <c r="E815" s="328" t="s">
        <v>263</v>
      </c>
      <c r="F815" s="409"/>
      <c r="G815" s="322"/>
      <c r="H815" s="324">
        <v>12400</v>
      </c>
      <c r="I815" s="325">
        <f>24.13*1.9563</f>
        <v>47.205518999999995</v>
      </c>
      <c r="J815" s="325">
        <f t="shared" si="110"/>
        <v>585348.43559999997</v>
      </c>
      <c r="K815" s="318">
        <v>585348.43999999994</v>
      </c>
      <c r="L815" s="322">
        <v>585348.43999999994</v>
      </c>
      <c r="M815" s="371">
        <v>45467</v>
      </c>
      <c r="N815" s="322">
        <f>+Table7[[#This Row],[стойност с ДДС]]-Table7[[#This Row],[направено плащане]]</f>
        <v>0</v>
      </c>
      <c r="O815" s="327"/>
    </row>
    <row r="816" spans="1:15" ht="20.100000000000001" customHeight="1" x14ac:dyDescent="0.25">
      <c r="A816" s="151" t="s">
        <v>1258</v>
      </c>
      <c r="B816" s="378" t="s">
        <v>1261</v>
      </c>
      <c r="C816" s="371">
        <v>45462</v>
      </c>
      <c r="D816" s="337"/>
      <c r="E816" s="328" t="s">
        <v>263</v>
      </c>
      <c r="F816" s="409"/>
      <c r="G816" s="322"/>
      <c r="H816" s="324">
        <v>9300</v>
      </c>
      <c r="I816" s="325">
        <f>30.3*1.9563</f>
        <v>59.275889999999997</v>
      </c>
      <c r="J816" s="325">
        <f t="shared" si="110"/>
        <v>551265.777</v>
      </c>
      <c r="K816" s="318">
        <v>551265.78</v>
      </c>
      <c r="L816" s="322">
        <v>551265.78</v>
      </c>
      <c r="M816" s="371">
        <v>45467</v>
      </c>
      <c r="N816" s="322">
        <f>+Table7[[#This Row],[стойност с ДДС]]-Table7[[#This Row],[направено плащане]]</f>
        <v>0</v>
      </c>
      <c r="O816" s="327"/>
    </row>
    <row r="817" spans="1:15" ht="20.100000000000001" customHeight="1" x14ac:dyDescent="0.25">
      <c r="A817" s="151" t="s">
        <v>1258</v>
      </c>
      <c r="B817" s="378" t="s">
        <v>1262</v>
      </c>
      <c r="C817" s="373">
        <v>45462</v>
      </c>
      <c r="D817" s="337"/>
      <c r="E817" s="328" t="s">
        <v>263</v>
      </c>
      <c r="F817" s="409"/>
      <c r="G817" s="322"/>
      <c r="H817" s="324">
        <v>6200</v>
      </c>
      <c r="I817" s="325">
        <f>23.7*1.9563</f>
        <v>46.364309999999996</v>
      </c>
      <c r="J817" s="325">
        <f t="shared" si="110"/>
        <v>287458.72199999995</v>
      </c>
      <c r="K817" s="318">
        <v>287458.71999999997</v>
      </c>
      <c r="L817" s="322">
        <v>287458.71999999997</v>
      </c>
      <c r="M817" s="371">
        <v>45467</v>
      </c>
      <c r="N817" s="322">
        <f>+Table7[[#This Row],[стойност с ДДС]]-Table7[[#This Row],[направено плащане]]</f>
        <v>0</v>
      </c>
      <c r="O817" s="327"/>
    </row>
    <row r="818" spans="1:15" ht="20.100000000000001" customHeight="1" x14ac:dyDescent="0.25">
      <c r="A818" s="206" t="s">
        <v>1258</v>
      </c>
      <c r="B818" s="381" t="s">
        <v>1263</v>
      </c>
      <c r="C818" s="373">
        <v>45462</v>
      </c>
      <c r="D818" s="343"/>
      <c r="E818" s="347" t="s">
        <v>263</v>
      </c>
      <c r="F818" s="412"/>
      <c r="G818" s="342"/>
      <c r="H818" s="344">
        <v>3100</v>
      </c>
      <c r="I818" s="345">
        <v>25.12</v>
      </c>
      <c r="J818" s="325">
        <f t="shared" si="110"/>
        <v>77872</v>
      </c>
      <c r="K818" s="320">
        <v>152340.99</v>
      </c>
      <c r="L818" s="342">
        <v>152340.99</v>
      </c>
      <c r="M818" s="373">
        <v>45467</v>
      </c>
      <c r="N818" s="342">
        <f>+Table7[[#This Row],[стойност с ДДС]]-Table7[[#This Row],[направено плащане]]</f>
        <v>0</v>
      </c>
      <c r="O818" s="346"/>
    </row>
    <row r="819" spans="1:15" ht="20.100000000000001" customHeight="1" x14ac:dyDescent="0.25">
      <c r="A819" s="151" t="s">
        <v>157</v>
      </c>
      <c r="B819" s="378" t="s">
        <v>1278</v>
      </c>
      <c r="C819" s="371">
        <v>45463</v>
      </c>
      <c r="D819" s="337"/>
      <c r="E819" s="328" t="s">
        <v>131</v>
      </c>
      <c r="F819" s="409"/>
      <c r="G819" s="322"/>
      <c r="H819" s="324">
        <v>50</v>
      </c>
      <c r="I819" s="325">
        <v>53</v>
      </c>
      <c r="J819" s="325">
        <f t="shared" ref="J819:J827" si="111">I819*H819</f>
        <v>2650</v>
      </c>
      <c r="K819" s="318">
        <f>J819*1.2</f>
        <v>3180</v>
      </c>
      <c r="L819" s="322">
        <v>3180</v>
      </c>
      <c r="M819" s="371">
        <v>45468</v>
      </c>
      <c r="N819" s="322">
        <f>+Table7[[#This Row],[стойност с ДДС]]-Table7[[#This Row],[направено плащане]]</f>
        <v>0</v>
      </c>
      <c r="O819" s="327"/>
    </row>
    <row r="820" spans="1:15" ht="20.100000000000001" customHeight="1" x14ac:dyDescent="0.25">
      <c r="A820" s="206" t="s">
        <v>157</v>
      </c>
      <c r="B820" s="381" t="s">
        <v>1279</v>
      </c>
      <c r="C820" s="373">
        <v>45467</v>
      </c>
      <c r="D820" s="343"/>
      <c r="E820" s="328" t="s">
        <v>131</v>
      </c>
      <c r="F820" s="412"/>
      <c r="G820" s="342"/>
      <c r="H820" s="344">
        <v>300</v>
      </c>
      <c r="I820" s="345">
        <v>52.5</v>
      </c>
      <c r="J820" s="345">
        <f t="shared" si="111"/>
        <v>15750</v>
      </c>
      <c r="K820" s="320">
        <f>J820*1.2</f>
        <v>18900</v>
      </c>
      <c r="L820" s="342">
        <v>18900</v>
      </c>
      <c r="M820" s="373">
        <v>45470</v>
      </c>
      <c r="N820" s="342">
        <f>+Table7[[#This Row],[стойност с ДДС]]-Table7[[#This Row],[направено плащане]]</f>
        <v>0</v>
      </c>
      <c r="O820" s="346"/>
    </row>
    <row r="821" spans="1:15" ht="20.100000000000001" customHeight="1" x14ac:dyDescent="0.25">
      <c r="A821" s="206" t="s">
        <v>159</v>
      </c>
      <c r="B821" s="381" t="s">
        <v>1270</v>
      </c>
      <c r="C821" s="373">
        <v>45464</v>
      </c>
      <c r="D821" s="343"/>
      <c r="E821" s="328" t="s">
        <v>131</v>
      </c>
      <c r="F821" s="412"/>
      <c r="G821" s="342"/>
      <c r="H821" s="344">
        <v>300</v>
      </c>
      <c r="I821" s="345">
        <f>27.10358*1.9563</f>
        <v>53.022733553999998</v>
      </c>
      <c r="J821" s="345">
        <f t="shared" si="111"/>
        <v>15906.8200662</v>
      </c>
      <c r="K821" s="320">
        <v>15906.81</v>
      </c>
      <c r="L821" s="342">
        <v>15906.81</v>
      </c>
      <c r="M821" s="373">
        <v>45469</v>
      </c>
      <c r="N821" s="342">
        <f>+Table7[[#This Row],[стойност с ДДС]]-Table7[[#This Row],[направено плащане]]</f>
        <v>0</v>
      </c>
      <c r="O821" s="346"/>
    </row>
    <row r="822" spans="1:15" ht="20.100000000000001" customHeight="1" x14ac:dyDescent="0.25">
      <c r="A822" s="206" t="s">
        <v>159</v>
      </c>
      <c r="B822" s="381" t="s">
        <v>1269</v>
      </c>
      <c r="C822" s="373">
        <v>45466</v>
      </c>
      <c r="D822" s="343"/>
      <c r="E822" s="328" t="s">
        <v>131</v>
      </c>
      <c r="F822" s="412"/>
      <c r="G822" s="342"/>
      <c r="H822" s="344">
        <v>50</v>
      </c>
      <c r="I822" s="345">
        <f>26.84282*1.9563</f>
        <v>52.512608766</v>
      </c>
      <c r="J822" s="345">
        <f t="shared" si="111"/>
        <v>2625.6304383000002</v>
      </c>
      <c r="K822" s="320">
        <f>+Table7[[#This Row],[стойност]]</f>
        <v>2625.6304383000002</v>
      </c>
      <c r="L822" s="342">
        <v>2625.6304383000002</v>
      </c>
      <c r="M822" s="373">
        <v>45470</v>
      </c>
      <c r="N822" s="342">
        <f>+Table7[[#This Row],[стойност с ДДС]]-Table7[[#This Row],[направено плащане]]</f>
        <v>0</v>
      </c>
      <c r="O822" s="346"/>
    </row>
    <row r="823" spans="1:15" ht="20.100000000000001" customHeight="1" x14ac:dyDescent="0.25">
      <c r="A823" s="206" t="s">
        <v>159</v>
      </c>
      <c r="B823" s="381" t="s">
        <v>1269</v>
      </c>
      <c r="C823" s="373">
        <v>45466</v>
      </c>
      <c r="D823" s="343"/>
      <c r="E823" s="328" t="s">
        <v>131</v>
      </c>
      <c r="F823" s="412"/>
      <c r="G823" s="342"/>
      <c r="H823" s="344">
        <v>300</v>
      </c>
      <c r="I823" s="345">
        <f>27.09847*1.9563</f>
        <v>53.012736860999993</v>
      </c>
      <c r="J823" s="345">
        <f t="shared" si="111"/>
        <v>15903.821058299998</v>
      </c>
      <c r="K823" s="320">
        <f>+Table7[[#This Row],[стойност]]</f>
        <v>15903.821058299998</v>
      </c>
      <c r="L823" s="342">
        <v>15903.821058299998</v>
      </c>
      <c r="M823" s="373">
        <v>45470</v>
      </c>
      <c r="N823" s="342">
        <f>+Table7[[#This Row],[стойност с ДДС]]-Table7[[#This Row],[направено плащане]]</f>
        <v>0</v>
      </c>
      <c r="O823" s="346"/>
    </row>
    <row r="824" spans="1:15" ht="20.100000000000001" customHeight="1" x14ac:dyDescent="0.25">
      <c r="A824" s="206" t="s">
        <v>101</v>
      </c>
      <c r="B824" s="388" t="s">
        <v>1271</v>
      </c>
      <c r="C824" s="373">
        <v>45466</v>
      </c>
      <c r="D824" s="343"/>
      <c r="E824" s="328" t="s">
        <v>131</v>
      </c>
      <c r="F824" s="412"/>
      <c r="G824" s="342"/>
      <c r="H824" s="344">
        <v>40</v>
      </c>
      <c r="I824" s="345">
        <v>51</v>
      </c>
      <c r="J824" s="345">
        <f t="shared" si="111"/>
        <v>2040</v>
      </c>
      <c r="K824" s="320">
        <f>J824*1.2</f>
        <v>2448</v>
      </c>
      <c r="L824" s="342">
        <v>2448</v>
      </c>
      <c r="M824" s="373">
        <v>45470</v>
      </c>
      <c r="N824" s="342">
        <f>+Table7[[#This Row],[стойност с ДДС]]-Table7[[#This Row],[направено плащане]]</f>
        <v>0</v>
      </c>
      <c r="O824" s="346"/>
    </row>
    <row r="825" spans="1:15" ht="20.100000000000001" customHeight="1" x14ac:dyDescent="0.25">
      <c r="A825" s="206" t="s">
        <v>1017</v>
      </c>
      <c r="B825" s="381" t="s">
        <v>1272</v>
      </c>
      <c r="C825" s="373">
        <v>45464</v>
      </c>
      <c r="D825" s="343"/>
      <c r="E825" s="328" t="s">
        <v>131</v>
      </c>
      <c r="F825" s="412"/>
      <c r="G825" s="342"/>
      <c r="H825" s="344">
        <v>600</v>
      </c>
      <c r="I825" s="345">
        <v>52.5</v>
      </c>
      <c r="J825" s="345">
        <f t="shared" si="111"/>
        <v>31500</v>
      </c>
      <c r="K825" s="320">
        <f>J825*1.2</f>
        <v>37800</v>
      </c>
      <c r="L825" s="342">
        <v>37800</v>
      </c>
      <c r="M825" s="373">
        <v>45469</v>
      </c>
      <c r="N825" s="342">
        <f>+Table7[[#This Row],[стойност с ДДС]]-Table7[[#This Row],[направено плащане]]</f>
        <v>0</v>
      </c>
      <c r="O825" s="346"/>
    </row>
    <row r="826" spans="1:15" ht="20.100000000000001" customHeight="1" x14ac:dyDescent="0.25">
      <c r="A826" s="206" t="s">
        <v>118</v>
      </c>
      <c r="B826" s="381" t="s">
        <v>1273</v>
      </c>
      <c r="C826" s="373">
        <v>45466</v>
      </c>
      <c r="D826" s="343"/>
      <c r="E826" s="328" t="s">
        <v>131</v>
      </c>
      <c r="F826" s="412"/>
      <c r="G826" s="342"/>
      <c r="H826" s="344">
        <v>300</v>
      </c>
      <c r="I826" s="345">
        <v>53</v>
      </c>
      <c r="J826" s="345">
        <f t="shared" si="111"/>
        <v>15900</v>
      </c>
      <c r="K826" s="320">
        <f>J826*1.2</f>
        <v>19080</v>
      </c>
      <c r="L826" s="342">
        <v>19080</v>
      </c>
      <c r="M826" s="373">
        <v>45470</v>
      </c>
      <c r="N826" s="342">
        <f>+Table7[[#This Row],[стойност с ДДС]]-Table7[[#This Row],[направено плащане]]</f>
        <v>0</v>
      </c>
      <c r="O826" s="346"/>
    </row>
    <row r="827" spans="1:15" ht="20.100000000000001" customHeight="1" x14ac:dyDescent="0.25">
      <c r="A827" s="206" t="s">
        <v>118</v>
      </c>
      <c r="B827" s="378" t="s">
        <v>1274</v>
      </c>
      <c r="C827" s="371">
        <v>45464</v>
      </c>
      <c r="D827" s="337"/>
      <c r="E827" s="328" t="s">
        <v>131</v>
      </c>
      <c r="F827" s="409"/>
      <c r="G827" s="322"/>
      <c r="H827" s="324">
        <v>600</v>
      </c>
      <c r="I827" s="325">
        <v>52.2</v>
      </c>
      <c r="J827" s="325">
        <f t="shared" si="111"/>
        <v>31320</v>
      </c>
      <c r="K827" s="318">
        <f>J827*1.2</f>
        <v>37584</v>
      </c>
      <c r="L827" s="322">
        <v>37584</v>
      </c>
      <c r="M827" s="371">
        <v>45470</v>
      </c>
      <c r="N827" s="322">
        <f>+Table7[[#This Row],[стойност с ДДС]]-Table7[[#This Row],[направено плащане]]</f>
        <v>0</v>
      </c>
      <c r="O827" s="327"/>
    </row>
    <row r="828" spans="1:15" ht="20.100000000000001" customHeight="1" x14ac:dyDescent="0.25">
      <c r="A828" s="206" t="s">
        <v>235</v>
      </c>
      <c r="B828" s="381" t="s">
        <v>1275</v>
      </c>
      <c r="C828" s="373">
        <v>45467</v>
      </c>
      <c r="D828" s="343"/>
      <c r="E828" s="328" t="s">
        <v>263</v>
      </c>
      <c r="F828" s="412"/>
      <c r="G828" s="342"/>
      <c r="H828" s="344"/>
      <c r="I828" s="345"/>
      <c r="J828" s="345">
        <f>270630*1.9563</f>
        <v>529433.46899999992</v>
      </c>
      <c r="K828" s="320">
        <f>+Table7[[#This Row],[стойност]]</f>
        <v>529433.46899999992</v>
      </c>
      <c r="L828" s="342">
        <v>529433.46899999992</v>
      </c>
      <c r="M828" s="373">
        <v>45468</v>
      </c>
      <c r="N828" s="342">
        <f>+Table7[[#This Row],[стойност с ДДС]]-Table7[[#This Row],[направено плащане]]</f>
        <v>0</v>
      </c>
      <c r="O828" s="346"/>
    </row>
    <row r="829" spans="1:15" ht="20.100000000000001" customHeight="1" x14ac:dyDescent="0.25">
      <c r="A829" s="206" t="s">
        <v>235</v>
      </c>
      <c r="B829" s="378" t="s">
        <v>1276</v>
      </c>
      <c r="C829" s="371">
        <v>45467</v>
      </c>
      <c r="D829" s="337"/>
      <c r="E829" s="328" t="s">
        <v>263</v>
      </c>
      <c r="F829" s="409"/>
      <c r="G829" s="322"/>
      <c r="H829" s="324"/>
      <c r="I829" s="325"/>
      <c r="J829" s="325">
        <v>529433.46899999992</v>
      </c>
      <c r="K829" s="318">
        <v>529433.46899999992</v>
      </c>
      <c r="L829" s="322">
        <v>529433.46899999992</v>
      </c>
      <c r="M829" s="371">
        <v>45484</v>
      </c>
      <c r="N829" s="322">
        <f>+Table7[[#This Row],[стойност с ДДС]]-Table7[[#This Row],[направено плащане]]</f>
        <v>0</v>
      </c>
      <c r="O829" s="327"/>
    </row>
    <row r="830" spans="1:15" ht="20.100000000000001" customHeight="1" x14ac:dyDescent="0.25">
      <c r="A830" s="206" t="s">
        <v>1017</v>
      </c>
      <c r="B830" s="381" t="s">
        <v>1280</v>
      </c>
      <c r="C830" s="373">
        <v>45468</v>
      </c>
      <c r="D830" s="343"/>
      <c r="E830" s="328" t="s">
        <v>131</v>
      </c>
      <c r="F830" s="412"/>
      <c r="G830" s="342"/>
      <c r="H830" s="344">
        <v>300</v>
      </c>
      <c r="I830" s="345">
        <v>52</v>
      </c>
      <c r="J830" s="345">
        <f>I830*H830</f>
        <v>15600</v>
      </c>
      <c r="K830" s="320">
        <f t="shared" ref="K830:K835" si="112">J830*1.2</f>
        <v>18720</v>
      </c>
      <c r="L830" s="342">
        <v>18720</v>
      </c>
      <c r="M830" s="373">
        <v>45471</v>
      </c>
      <c r="N830" s="342">
        <f>+Table7[[#This Row],[стойност с ДДС]]-Table7[[#This Row],[направено плащане]]</f>
        <v>0</v>
      </c>
      <c r="O830" s="346"/>
    </row>
    <row r="831" spans="1:15" ht="20.100000000000001" customHeight="1" x14ac:dyDescent="0.3">
      <c r="A831" s="206" t="s">
        <v>655</v>
      </c>
      <c r="B831" s="381" t="s">
        <v>1281</v>
      </c>
      <c r="C831" s="373">
        <v>45464</v>
      </c>
      <c r="D831" s="343"/>
      <c r="E831" s="353" t="s">
        <v>422</v>
      </c>
      <c r="F831" s="412"/>
      <c r="G831" s="342"/>
      <c r="H831" s="344"/>
      <c r="I831" s="345"/>
      <c r="J831" s="345">
        <v>6.89</v>
      </c>
      <c r="K831" s="320">
        <f t="shared" si="112"/>
        <v>8.2679999999999989</v>
      </c>
      <c r="L831" s="342">
        <v>8.2679999999999989</v>
      </c>
      <c r="M831" s="373">
        <v>45470</v>
      </c>
      <c r="N831" s="342">
        <f>+Table7[[#This Row],[стойност с ДДС]]-Table7[[#This Row],[направено плащане]]</f>
        <v>0</v>
      </c>
      <c r="O831" s="346"/>
    </row>
    <row r="832" spans="1:15" ht="20.100000000000001" customHeight="1" x14ac:dyDescent="0.25">
      <c r="A832" s="206" t="s">
        <v>159</v>
      </c>
      <c r="B832" s="381" t="s">
        <v>1282</v>
      </c>
      <c r="C832" s="373">
        <v>45468</v>
      </c>
      <c r="D832" s="343"/>
      <c r="E832" s="328" t="s">
        <v>131</v>
      </c>
      <c r="F832" s="412"/>
      <c r="G832" s="342"/>
      <c r="H832" s="344">
        <v>98</v>
      </c>
      <c r="I832" s="345">
        <f>26.86839*1.9563</f>
        <v>52.562631357000001</v>
      </c>
      <c r="J832" s="345">
        <f>I832*H832</f>
        <v>5151.1378729859998</v>
      </c>
      <c r="K832" s="320">
        <f>+Table7[[#This Row],[стойност]]</f>
        <v>5151.1378729859998</v>
      </c>
      <c r="L832" s="342">
        <v>5151.1378729859998</v>
      </c>
      <c r="M832" s="373">
        <v>45474</v>
      </c>
      <c r="N832" s="342">
        <f>+Table7[[#This Row],[стойност с ДДС]]-Table7[[#This Row],[направено плащане]]</f>
        <v>0</v>
      </c>
      <c r="O832" s="346"/>
    </row>
    <row r="833" spans="1:15" ht="20.100000000000001" customHeight="1" x14ac:dyDescent="0.25">
      <c r="A833" s="206" t="s">
        <v>159</v>
      </c>
      <c r="B833" s="381" t="s">
        <v>1282</v>
      </c>
      <c r="C833" s="373">
        <v>45468</v>
      </c>
      <c r="D833" s="343"/>
      <c r="E833" s="347" t="s">
        <v>131</v>
      </c>
      <c r="F833" s="412"/>
      <c r="G833" s="342"/>
      <c r="H833" s="344">
        <v>104</v>
      </c>
      <c r="I833" s="345">
        <f>26.91952*1.9563</f>
        <v>52.662656975999994</v>
      </c>
      <c r="J833" s="345">
        <f>I833*H833</f>
        <v>5476.9163255039994</v>
      </c>
      <c r="K833" s="320">
        <f>+Table7[[#This Row],[стойност]]</f>
        <v>5476.9163255039994</v>
      </c>
      <c r="L833" s="342">
        <v>5476.9163255039994</v>
      </c>
      <c r="M833" s="373">
        <v>45474</v>
      </c>
      <c r="N833" s="342">
        <f>+Table7[[#This Row],[стойност с ДДС]]-Table7[[#This Row],[направено плащане]]</f>
        <v>0</v>
      </c>
      <c r="O833" s="346"/>
    </row>
    <row r="834" spans="1:15" ht="20.100000000000001" customHeight="1" x14ac:dyDescent="0.3">
      <c r="A834" s="206" t="s">
        <v>780</v>
      </c>
      <c r="B834" s="381" t="s">
        <v>1283</v>
      </c>
      <c r="C834" s="373">
        <v>45470</v>
      </c>
      <c r="D834" s="343"/>
      <c r="E834" s="353" t="s">
        <v>422</v>
      </c>
      <c r="F834" s="412"/>
      <c r="G834" s="342"/>
      <c r="H834" s="344"/>
      <c r="I834" s="345"/>
      <c r="J834" s="345">
        <v>17.5</v>
      </c>
      <c r="K834" s="320">
        <f t="shared" si="112"/>
        <v>21</v>
      </c>
      <c r="L834" s="342">
        <v>21</v>
      </c>
      <c r="M834" s="373">
        <v>45471</v>
      </c>
      <c r="N834" s="342">
        <f>+Table7[[#This Row],[стойност с ДДС]]-Table7[[#This Row],[направено плащане]]</f>
        <v>0</v>
      </c>
      <c r="O834" s="346"/>
    </row>
    <row r="835" spans="1:15" ht="20.100000000000001" customHeight="1" x14ac:dyDescent="0.25">
      <c r="A835" s="206" t="s">
        <v>99</v>
      </c>
      <c r="B835" s="381" t="s">
        <v>1284</v>
      </c>
      <c r="C835" s="373">
        <v>45470</v>
      </c>
      <c r="D835" s="343"/>
      <c r="E835" s="347" t="s">
        <v>131</v>
      </c>
      <c r="F835" s="412" t="s">
        <v>1285</v>
      </c>
      <c r="G835" s="342"/>
      <c r="H835" s="344">
        <v>200</v>
      </c>
      <c r="I835" s="345">
        <v>52.7</v>
      </c>
      <c r="J835" s="345">
        <f>I835*H835</f>
        <v>10540</v>
      </c>
      <c r="K835" s="320">
        <f t="shared" si="112"/>
        <v>12648</v>
      </c>
      <c r="L835" s="342">
        <v>12648</v>
      </c>
      <c r="M835" s="373">
        <v>45474</v>
      </c>
      <c r="N835" s="342">
        <f>+Table7[[#This Row],[стойност с ДДС]]-Table7[[#This Row],[направено плащане]]</f>
        <v>0</v>
      </c>
      <c r="O835" s="346"/>
    </row>
    <row r="836" spans="1:15" ht="20.100000000000001" customHeight="1" x14ac:dyDescent="0.25">
      <c r="A836" s="151" t="s">
        <v>99</v>
      </c>
      <c r="B836" s="378" t="s">
        <v>1284</v>
      </c>
      <c r="C836" s="371">
        <v>45470</v>
      </c>
      <c r="D836" s="337"/>
      <c r="E836" s="328" t="s">
        <v>131</v>
      </c>
      <c r="F836" s="409" t="s">
        <v>1286</v>
      </c>
      <c r="G836" s="322"/>
      <c r="H836" s="324">
        <v>150</v>
      </c>
      <c r="I836" s="325">
        <v>53</v>
      </c>
      <c r="J836" s="325">
        <f t="shared" ref="J836:J837" si="113">I836*H836</f>
        <v>7950</v>
      </c>
      <c r="K836" s="318">
        <f t="shared" ref="K836:K837" si="114">J836*1.2</f>
        <v>9540</v>
      </c>
      <c r="L836" s="322">
        <v>9540</v>
      </c>
      <c r="M836" s="371">
        <v>45474</v>
      </c>
      <c r="N836" s="322">
        <f>+Table7[[#This Row],[стойност с ДДС]]-Table7[[#This Row],[направено плащане]]</f>
        <v>0</v>
      </c>
      <c r="O836" s="327"/>
    </row>
    <row r="837" spans="1:15" ht="20.100000000000001" customHeight="1" x14ac:dyDescent="0.25">
      <c r="A837" s="206" t="s">
        <v>99</v>
      </c>
      <c r="B837" s="381" t="s">
        <v>1284</v>
      </c>
      <c r="C837" s="373">
        <v>45470</v>
      </c>
      <c r="D837" s="343"/>
      <c r="E837" s="347" t="s">
        <v>131</v>
      </c>
      <c r="F837" s="412" t="s">
        <v>1287</v>
      </c>
      <c r="G837" s="342"/>
      <c r="H837" s="344">
        <v>300</v>
      </c>
      <c r="I837" s="345">
        <v>52.2</v>
      </c>
      <c r="J837" s="345">
        <f t="shared" si="113"/>
        <v>15660</v>
      </c>
      <c r="K837" s="320">
        <f t="shared" si="114"/>
        <v>18792</v>
      </c>
      <c r="L837" s="342">
        <v>18792</v>
      </c>
      <c r="M837" s="373">
        <v>45474</v>
      </c>
      <c r="N837" s="342">
        <f>+Table7[[#This Row],[стойност с ДДС]]-Table7[[#This Row],[направено плащане]]</f>
        <v>0</v>
      </c>
      <c r="O837" s="346"/>
    </row>
    <row r="838" spans="1:15" ht="20.100000000000001" customHeight="1" x14ac:dyDescent="0.25">
      <c r="A838" s="206" t="s">
        <v>1017</v>
      </c>
      <c r="B838" s="381" t="s">
        <v>1288</v>
      </c>
      <c r="C838" s="373">
        <v>45469</v>
      </c>
      <c r="D838" s="343"/>
      <c r="E838" s="347" t="s">
        <v>131</v>
      </c>
      <c r="F838" s="412" t="s">
        <v>1289</v>
      </c>
      <c r="G838" s="342"/>
      <c r="H838" s="344">
        <v>500</v>
      </c>
      <c r="I838" s="345">
        <v>52.7</v>
      </c>
      <c r="J838" s="345">
        <f t="shared" ref="J838:J843" si="115">I838*H838</f>
        <v>26350</v>
      </c>
      <c r="K838" s="320">
        <f>J838*1.2</f>
        <v>31620</v>
      </c>
      <c r="L838" s="342">
        <v>31620</v>
      </c>
      <c r="M838" s="373">
        <v>45474</v>
      </c>
      <c r="N838" s="342">
        <f>+Table7[[#This Row],[стойност с ДДС]]-Table7[[#This Row],[направено плащане]]</f>
        <v>0</v>
      </c>
      <c r="O838" s="346"/>
    </row>
    <row r="839" spans="1:15" ht="20.100000000000001" customHeight="1" x14ac:dyDescent="0.25">
      <c r="A839" s="206" t="s">
        <v>1017</v>
      </c>
      <c r="B839" s="381" t="s">
        <v>1288</v>
      </c>
      <c r="C839" s="373">
        <v>45469</v>
      </c>
      <c r="D839" s="343"/>
      <c r="E839" s="347" t="s">
        <v>131</v>
      </c>
      <c r="F839" s="412" t="s">
        <v>1290</v>
      </c>
      <c r="G839" s="342"/>
      <c r="H839" s="344">
        <v>100</v>
      </c>
      <c r="I839" s="345">
        <v>52.7</v>
      </c>
      <c r="J839" s="345">
        <f t="shared" si="115"/>
        <v>5270</v>
      </c>
      <c r="K839" s="320">
        <f>J839*1.2</f>
        <v>6324</v>
      </c>
      <c r="L839" s="342">
        <v>6324</v>
      </c>
      <c r="M839" s="373">
        <v>45474</v>
      </c>
      <c r="N839" s="342">
        <f>+Table7[[#This Row],[стойност с ДДС]]-Table7[[#This Row],[направено плащане]]</f>
        <v>0</v>
      </c>
      <c r="O839" s="346"/>
    </row>
    <row r="840" spans="1:15" ht="20.100000000000001" customHeight="1" x14ac:dyDescent="0.25">
      <c r="A840" s="206" t="s">
        <v>1017</v>
      </c>
      <c r="B840" s="381" t="s">
        <v>1291</v>
      </c>
      <c r="C840" s="373">
        <v>45470</v>
      </c>
      <c r="D840" s="343"/>
      <c r="E840" s="347" t="s">
        <v>131</v>
      </c>
      <c r="F840" s="409" t="s">
        <v>1292</v>
      </c>
      <c r="G840" s="322"/>
      <c r="H840" s="324">
        <v>130</v>
      </c>
      <c r="I840" s="325">
        <v>52.3</v>
      </c>
      <c r="J840" s="325">
        <f t="shared" si="115"/>
        <v>6799</v>
      </c>
      <c r="K840" s="318">
        <f>J840*1.2</f>
        <v>8158.7999999999993</v>
      </c>
      <c r="L840" s="322"/>
      <c r="M840" s="371"/>
      <c r="N840" s="322">
        <f>+Table7[[#This Row],[стойност с ДДС]]-Table7[[#This Row],[направено плащане]]</f>
        <v>8158.7999999999993</v>
      </c>
      <c r="O840" s="327"/>
    </row>
    <row r="841" spans="1:15" ht="20.100000000000001" customHeight="1" x14ac:dyDescent="0.25">
      <c r="A841" s="206" t="s">
        <v>159</v>
      </c>
      <c r="B841" s="381" t="s">
        <v>1293</v>
      </c>
      <c r="C841" s="373">
        <v>45470</v>
      </c>
      <c r="D841" s="343"/>
      <c r="E841" s="347" t="s">
        <v>131</v>
      </c>
      <c r="F841" s="412" t="s">
        <v>1294</v>
      </c>
      <c r="G841" s="342"/>
      <c r="H841" s="344">
        <v>100</v>
      </c>
      <c r="I841" s="345">
        <f>26.68944*1.9563</f>
        <v>52.212551472000001</v>
      </c>
      <c r="J841" s="345">
        <f t="shared" si="115"/>
        <v>5221.2551472000005</v>
      </c>
      <c r="K841" s="320">
        <f>+Table7[[#This Row],[стойност]]</f>
        <v>5221.2551472000005</v>
      </c>
      <c r="L841" s="342"/>
      <c r="M841" s="373"/>
      <c r="N841" s="342">
        <f>+Table7[[#This Row],[стойност с ДДС]]-Table7[[#This Row],[направено плащане]]</f>
        <v>5221.2551472000005</v>
      </c>
      <c r="O841" s="346"/>
    </row>
    <row r="842" spans="1:15" ht="20.100000000000001" customHeight="1" x14ac:dyDescent="0.25">
      <c r="A842" s="206" t="s">
        <v>157</v>
      </c>
      <c r="B842" s="381" t="s">
        <v>1295</v>
      </c>
      <c r="C842" s="373">
        <v>45470</v>
      </c>
      <c r="D842" s="343"/>
      <c r="E842" s="347" t="s">
        <v>131</v>
      </c>
      <c r="F842" s="412" t="s">
        <v>1296</v>
      </c>
      <c r="G842" s="342"/>
      <c r="H842" s="344">
        <v>50</v>
      </c>
      <c r="I842" s="345">
        <v>52</v>
      </c>
      <c r="J842" s="345">
        <f t="shared" si="115"/>
        <v>2600</v>
      </c>
      <c r="K842" s="320">
        <f>J842*1.2</f>
        <v>3120</v>
      </c>
      <c r="L842" s="342">
        <v>3120</v>
      </c>
      <c r="M842" s="373">
        <v>45474</v>
      </c>
      <c r="N842" s="342">
        <f>+Table7[[#This Row],[стойност с ДДС]]-Table7[[#This Row],[направено плащане]]</f>
        <v>0</v>
      </c>
      <c r="O842" s="346"/>
    </row>
    <row r="843" spans="1:15" ht="20.100000000000001" customHeight="1" x14ac:dyDescent="0.25">
      <c r="A843" s="206" t="s">
        <v>159</v>
      </c>
      <c r="B843" s="381" t="s">
        <v>1297</v>
      </c>
      <c r="C843" s="373">
        <v>45473</v>
      </c>
      <c r="D843" s="343"/>
      <c r="E843" s="347" t="s">
        <v>131</v>
      </c>
      <c r="F843" s="412" t="s">
        <v>1298</v>
      </c>
      <c r="G843" s="342"/>
      <c r="H843" s="344">
        <v>50</v>
      </c>
      <c r="I843" s="345">
        <f>26.58718*1.9563</f>
        <v>52.012500234000001</v>
      </c>
      <c r="J843" s="345">
        <f t="shared" si="115"/>
        <v>2600.6250117</v>
      </c>
      <c r="K843" s="320"/>
      <c r="L843" s="342"/>
      <c r="M843" s="373"/>
      <c r="N843" s="342">
        <f>+Table7[[#This Row],[стойност с ДДС]]-Table7[[#This Row],[направено плащане]]</f>
        <v>0</v>
      </c>
      <c r="O843" s="346"/>
    </row>
    <row r="844" spans="1:15" ht="20.100000000000001" customHeight="1" x14ac:dyDescent="0.25">
      <c r="A844" s="151" t="s">
        <v>159</v>
      </c>
      <c r="B844" s="378" t="s">
        <v>1297</v>
      </c>
      <c r="C844" s="371">
        <v>45473</v>
      </c>
      <c r="D844" s="337"/>
      <c r="E844" s="328" t="s">
        <v>131</v>
      </c>
      <c r="F844" s="409" t="s">
        <v>1299</v>
      </c>
      <c r="G844" s="322"/>
      <c r="H844" s="324">
        <v>600</v>
      </c>
      <c r="I844" s="325">
        <f>26.48492*1.9563</f>
        <v>51.812448995999993</v>
      </c>
      <c r="J844" s="325">
        <f t="shared" ref="J844:J848" si="116">I844*H844</f>
        <v>31087.469397599994</v>
      </c>
      <c r="K844" s="318"/>
      <c r="L844" s="322"/>
      <c r="M844" s="371"/>
      <c r="N844" s="322">
        <f>+Table7[[#This Row],[стойност с ДДС]]-Table7[[#This Row],[направено плащане]]</f>
        <v>0</v>
      </c>
      <c r="O844" s="327"/>
    </row>
    <row r="845" spans="1:15" ht="20.100000000000001" customHeight="1" x14ac:dyDescent="0.25">
      <c r="A845" s="151" t="s">
        <v>159</v>
      </c>
      <c r="B845" s="378" t="s">
        <v>1297</v>
      </c>
      <c r="C845" s="371">
        <v>45473</v>
      </c>
      <c r="D845" s="337"/>
      <c r="E845" s="328" t="s">
        <v>131</v>
      </c>
      <c r="F845" s="409" t="s">
        <v>1300</v>
      </c>
      <c r="G845" s="322"/>
      <c r="H845" s="324">
        <v>600</v>
      </c>
      <c r="I845" s="325">
        <v>26.331530000000001</v>
      </c>
      <c r="J845" s="325">
        <f t="shared" si="116"/>
        <v>15798.918</v>
      </c>
      <c r="K845" s="318"/>
      <c r="L845" s="322"/>
      <c r="M845" s="371"/>
      <c r="N845" s="322">
        <f>+Table7[[#This Row],[стойност с ДДС]]-Table7[[#This Row],[направено плащане]]</f>
        <v>0</v>
      </c>
      <c r="O845" s="327"/>
    </row>
    <row r="846" spans="1:15" ht="20.100000000000001" customHeight="1" x14ac:dyDescent="0.25">
      <c r="A846" s="151" t="s">
        <v>159</v>
      </c>
      <c r="B846" s="378" t="s">
        <v>1297</v>
      </c>
      <c r="C846" s="371">
        <v>45473</v>
      </c>
      <c r="D846" s="337"/>
      <c r="E846" s="328" t="s">
        <v>131</v>
      </c>
      <c r="F846" s="409" t="s">
        <v>1301</v>
      </c>
      <c r="G846" s="322"/>
      <c r="H846" s="324">
        <v>190</v>
      </c>
      <c r="I846" s="325">
        <f>26.58718*1.9563</f>
        <v>52.012500234000001</v>
      </c>
      <c r="J846" s="325">
        <f t="shared" si="116"/>
        <v>9882.3750444600009</v>
      </c>
      <c r="K846" s="318"/>
      <c r="L846" s="322"/>
      <c r="M846" s="371"/>
      <c r="N846" s="322">
        <f>+Table7[[#This Row],[стойност с ДДС]]-Table7[[#This Row],[направено плащане]]</f>
        <v>0</v>
      </c>
      <c r="O846" s="327"/>
    </row>
    <row r="847" spans="1:15" ht="20.100000000000001" customHeight="1" x14ac:dyDescent="0.25">
      <c r="A847" s="151" t="s">
        <v>159</v>
      </c>
      <c r="B847" s="378" t="s">
        <v>1297</v>
      </c>
      <c r="C847" s="371">
        <v>45473</v>
      </c>
      <c r="D847" s="337"/>
      <c r="E847" s="328" t="s">
        <v>131</v>
      </c>
      <c r="F847" s="409" t="s">
        <v>1302</v>
      </c>
      <c r="G847" s="322"/>
      <c r="H847" s="324">
        <v>1000</v>
      </c>
      <c r="I847" s="325">
        <f>28.63235*1.9563</f>
        <v>56.013466304999994</v>
      </c>
      <c r="J847" s="325">
        <f t="shared" si="116"/>
        <v>56013.466304999994</v>
      </c>
      <c r="K847" s="318"/>
      <c r="L847" s="322"/>
      <c r="M847" s="371"/>
      <c r="N847" s="322">
        <f>+Table7[[#This Row],[стойност с ДДС]]-Table7[[#This Row],[направено плащане]]</f>
        <v>0</v>
      </c>
      <c r="O847" s="327"/>
    </row>
    <row r="848" spans="1:15" ht="20.100000000000001" customHeight="1" x14ac:dyDescent="0.25">
      <c r="A848" s="206" t="s">
        <v>159</v>
      </c>
      <c r="B848" s="381" t="s">
        <v>1297</v>
      </c>
      <c r="C848" s="373">
        <v>45473</v>
      </c>
      <c r="D848" s="343"/>
      <c r="E848" s="347" t="s">
        <v>131</v>
      </c>
      <c r="F848" s="412" t="s">
        <v>1303</v>
      </c>
      <c r="G848" s="342"/>
      <c r="H848" s="344">
        <v>500</v>
      </c>
      <c r="I848" s="345">
        <f>28.3767*1.9563</f>
        <v>55.513338210000001</v>
      </c>
      <c r="J848" s="345">
        <f t="shared" si="116"/>
        <v>27756.669105000001</v>
      </c>
      <c r="K848" s="320"/>
      <c r="L848" s="342"/>
      <c r="M848" s="373"/>
      <c r="N848" s="342">
        <f>+Table7[[#This Row],[стойност с ДДС]]-Table7[[#This Row],[направено плащане]]</f>
        <v>0</v>
      </c>
      <c r="O848" s="346"/>
    </row>
    <row r="849" spans="1:15" ht="20.100000000000001" customHeight="1" x14ac:dyDescent="0.25">
      <c r="A849" s="206" t="s">
        <v>1304</v>
      </c>
      <c r="B849" s="381" t="s">
        <v>1305</v>
      </c>
      <c r="C849" s="373">
        <v>45474</v>
      </c>
      <c r="D849" s="343"/>
      <c r="E849" s="328" t="s">
        <v>263</v>
      </c>
      <c r="F849" s="412"/>
      <c r="G849" s="342"/>
      <c r="H849" s="344">
        <v>12400</v>
      </c>
      <c r="I849" s="345">
        <f>29*1.9563</f>
        <v>56.732700000000001</v>
      </c>
      <c r="J849" s="345">
        <f t="shared" ref="J849:J858" si="117">I849*H849</f>
        <v>703485.48</v>
      </c>
      <c r="K849" s="320">
        <v>703485.48</v>
      </c>
      <c r="L849" s="342">
        <v>703485.48</v>
      </c>
      <c r="M849" s="373">
        <v>45503</v>
      </c>
      <c r="N849" s="342">
        <f>+Table7[[#This Row],[стойност с ДДС]]-Table7[[#This Row],[направено плащане]]</f>
        <v>0</v>
      </c>
      <c r="O849" s="346"/>
    </row>
    <row r="850" spans="1:15" ht="20.100000000000001" customHeight="1" x14ac:dyDescent="0.25">
      <c r="A850" s="206" t="s">
        <v>1306</v>
      </c>
      <c r="B850" s="381" t="s">
        <v>1307</v>
      </c>
      <c r="C850" s="373">
        <v>45473</v>
      </c>
      <c r="D850" s="343"/>
      <c r="E850" s="328" t="s">
        <v>131</v>
      </c>
      <c r="F850" s="412" t="s">
        <v>1308</v>
      </c>
      <c r="G850" s="342"/>
      <c r="H850" s="344">
        <v>100</v>
      </c>
      <c r="I850" s="345">
        <v>27.097999999999999</v>
      </c>
      <c r="J850" s="345">
        <f t="shared" si="117"/>
        <v>2709.7999999999997</v>
      </c>
      <c r="K850" s="320"/>
      <c r="L850" s="342"/>
      <c r="M850" s="373"/>
      <c r="N850" s="342">
        <f>+Table7[[#This Row],[стойност с ДДС]]-Table7[[#This Row],[направено плащане]]</f>
        <v>0</v>
      </c>
      <c r="O850" s="346"/>
    </row>
    <row r="851" spans="1:15" ht="20.100000000000001" customHeight="1" x14ac:dyDescent="0.25">
      <c r="A851" s="206" t="s">
        <v>1306</v>
      </c>
      <c r="B851" s="381" t="s">
        <v>1307</v>
      </c>
      <c r="C851" s="373">
        <v>45473</v>
      </c>
      <c r="D851" s="337"/>
      <c r="E851" s="328" t="s">
        <v>131</v>
      </c>
      <c r="F851" s="409" t="s">
        <v>1309</v>
      </c>
      <c r="G851" s="322"/>
      <c r="H851" s="324">
        <v>100</v>
      </c>
      <c r="I851" s="325">
        <v>26.843</v>
      </c>
      <c r="J851" s="325">
        <f t="shared" si="117"/>
        <v>2684.3</v>
      </c>
      <c r="K851" s="318"/>
      <c r="L851" s="322"/>
      <c r="M851" s="371"/>
      <c r="N851" s="322">
        <f>+Table7[[#This Row],[стойност с ДДС]]-Table7[[#This Row],[направено плащане]]</f>
        <v>0</v>
      </c>
      <c r="O851" s="327"/>
    </row>
    <row r="852" spans="1:15" ht="20.100000000000001" customHeight="1" x14ac:dyDescent="0.25">
      <c r="A852" s="206" t="s">
        <v>268</v>
      </c>
      <c r="B852" s="381" t="s">
        <v>1310</v>
      </c>
      <c r="C852" s="373">
        <v>45473</v>
      </c>
      <c r="D852" s="343"/>
      <c r="E852" s="328" t="s">
        <v>263</v>
      </c>
      <c r="F852" s="412"/>
      <c r="G852" s="342"/>
      <c r="H852" s="344">
        <v>100</v>
      </c>
      <c r="I852" s="345">
        <v>52</v>
      </c>
      <c r="J852" s="345">
        <f t="shared" si="117"/>
        <v>5200</v>
      </c>
      <c r="K852" s="320">
        <f>J852*1.2</f>
        <v>6240</v>
      </c>
      <c r="L852" s="342"/>
      <c r="M852" s="373"/>
      <c r="N852" s="342">
        <f>+Table7[[#This Row],[стойност с ДДС]]-Table7[[#This Row],[направено плащане]]</f>
        <v>6240</v>
      </c>
      <c r="O852" s="346"/>
    </row>
    <row r="853" spans="1:15" ht="20.100000000000001" customHeight="1" x14ac:dyDescent="0.25">
      <c r="A853" s="206" t="s">
        <v>118</v>
      </c>
      <c r="B853" s="381" t="s">
        <v>1311</v>
      </c>
      <c r="C853" s="373">
        <v>45472</v>
      </c>
      <c r="D853" s="343"/>
      <c r="E853" s="328" t="s">
        <v>131</v>
      </c>
      <c r="F853" s="412" t="s">
        <v>1312</v>
      </c>
      <c r="G853" s="342"/>
      <c r="H853" s="344">
        <v>100</v>
      </c>
      <c r="I853" s="345">
        <v>53</v>
      </c>
      <c r="J853" s="345">
        <f t="shared" si="117"/>
        <v>5300</v>
      </c>
      <c r="K853" s="320">
        <f>J853*1.2</f>
        <v>6360</v>
      </c>
      <c r="L853" s="342"/>
      <c r="M853" s="373"/>
      <c r="N853" s="342">
        <f>+Table7[[#This Row],[стойност с ДДС]]-Table7[[#This Row],[направено плащане]]</f>
        <v>6360</v>
      </c>
      <c r="O853" s="346"/>
    </row>
    <row r="854" spans="1:15" ht="20.100000000000001" customHeight="1" x14ac:dyDescent="0.25">
      <c r="A854" s="206" t="s">
        <v>118</v>
      </c>
      <c r="B854" s="378" t="s">
        <v>1313</v>
      </c>
      <c r="C854" s="371">
        <v>45474</v>
      </c>
      <c r="D854" s="337"/>
      <c r="E854" s="328" t="s">
        <v>131</v>
      </c>
      <c r="F854" s="409" t="s">
        <v>1314</v>
      </c>
      <c r="G854" s="322"/>
      <c r="H854" s="324">
        <v>300</v>
      </c>
      <c r="I854" s="325">
        <v>55.5</v>
      </c>
      <c r="J854" s="325">
        <f t="shared" si="117"/>
        <v>16650</v>
      </c>
      <c r="K854" s="318">
        <f>J854*1.2</f>
        <v>19980</v>
      </c>
      <c r="L854" s="322"/>
      <c r="M854" s="371"/>
      <c r="N854" s="322">
        <f>+Table7[[#This Row],[стойност с ДДС]]-Table7[[#This Row],[направено плащане]]</f>
        <v>19980</v>
      </c>
      <c r="O854" s="327"/>
    </row>
    <row r="855" spans="1:15" ht="20.100000000000001" customHeight="1" x14ac:dyDescent="0.3">
      <c r="A855" s="206" t="s">
        <v>678</v>
      </c>
      <c r="B855" s="381" t="s">
        <v>1343</v>
      </c>
      <c r="C855" s="373">
        <v>45473</v>
      </c>
      <c r="D855" s="343"/>
      <c r="E855" s="353" t="s">
        <v>1315</v>
      </c>
      <c r="F855" s="412" t="s">
        <v>1155</v>
      </c>
      <c r="G855" s="342"/>
      <c r="H855" s="344">
        <v>1</v>
      </c>
      <c r="I855" s="345">
        <f>305.04*1.9563</f>
        <v>596.74975200000006</v>
      </c>
      <c r="J855" s="345">
        <f t="shared" si="117"/>
        <v>596.74975200000006</v>
      </c>
      <c r="K855" s="320"/>
      <c r="L855" s="342"/>
      <c r="M855" s="373"/>
      <c r="N855" s="342">
        <f>+Table7[[#This Row],[стойност с ДДС]]-Table7[[#This Row],[направено плащане]]</f>
        <v>0</v>
      </c>
      <c r="O855" s="346"/>
    </row>
    <row r="856" spans="1:15" ht="20.100000000000001" customHeight="1" x14ac:dyDescent="0.25">
      <c r="A856" s="206" t="s">
        <v>235</v>
      </c>
      <c r="B856" s="381" t="s">
        <v>1316</v>
      </c>
      <c r="C856" s="373">
        <v>45474</v>
      </c>
      <c r="D856" s="343"/>
      <c r="E856" s="328" t="s">
        <v>263</v>
      </c>
      <c r="F856" s="412"/>
      <c r="G856" s="342"/>
      <c r="H856" s="344">
        <v>15000</v>
      </c>
      <c r="I856" s="345">
        <f>25.2*1.9563</f>
        <v>49.298759999999994</v>
      </c>
      <c r="J856" s="345">
        <f t="shared" si="117"/>
        <v>739481.39999999991</v>
      </c>
      <c r="K856" s="320"/>
      <c r="L856" s="342"/>
      <c r="M856" s="373"/>
      <c r="N856" s="342">
        <f>+Table7[[#This Row],[стойност с ДДС]]-Table7[[#This Row],[направено плащане]]</f>
        <v>0</v>
      </c>
      <c r="O856" s="346"/>
    </row>
    <row r="857" spans="1:15" ht="20.100000000000001" customHeight="1" x14ac:dyDescent="0.25">
      <c r="A857" s="206" t="s">
        <v>159</v>
      </c>
      <c r="B857" s="381" t="s">
        <v>1317</v>
      </c>
      <c r="C857" s="373">
        <v>45474</v>
      </c>
      <c r="D857" s="343"/>
      <c r="E857" s="328" t="s">
        <v>131</v>
      </c>
      <c r="F857" s="412"/>
      <c r="G857" s="342"/>
      <c r="H857" s="344">
        <v>500</v>
      </c>
      <c r="I857" s="345">
        <f>28.12105*1.9563</f>
        <v>55.013210115</v>
      </c>
      <c r="J857" s="345">
        <f t="shared" si="117"/>
        <v>27506.605057500001</v>
      </c>
      <c r="K857" s="320"/>
      <c r="L857" s="342"/>
      <c r="M857" s="373"/>
      <c r="N857" s="342">
        <f>+Table7[[#This Row],[стойност с ДДС]]-Table7[[#This Row],[направено плащане]]</f>
        <v>0</v>
      </c>
      <c r="O857" s="346"/>
    </row>
    <row r="858" spans="1:15" ht="20.100000000000001" customHeight="1" x14ac:dyDescent="0.25">
      <c r="A858" s="206" t="s">
        <v>157</v>
      </c>
      <c r="B858" s="381" t="s">
        <v>1318</v>
      </c>
      <c r="C858" s="373">
        <v>45473</v>
      </c>
      <c r="D858" s="343"/>
      <c r="E858" s="328" t="s">
        <v>131</v>
      </c>
      <c r="F858" s="412" t="s">
        <v>1319</v>
      </c>
      <c r="G858" s="342"/>
      <c r="H858" s="344">
        <v>80</v>
      </c>
      <c r="I858" s="345">
        <v>52</v>
      </c>
      <c r="J858" s="345">
        <f t="shared" si="117"/>
        <v>4160</v>
      </c>
      <c r="K858" s="320">
        <f>J858*1.2</f>
        <v>4992</v>
      </c>
      <c r="L858" s="342"/>
      <c r="M858" s="373"/>
      <c r="N858" s="342">
        <f>+Table7[[#This Row],[стойност с ДДС]]-Table7[[#This Row],[направено плащане]]</f>
        <v>4992</v>
      </c>
      <c r="O858" s="346"/>
    </row>
    <row r="859" spans="1:15" ht="20.100000000000001" customHeight="1" x14ac:dyDescent="0.25">
      <c r="A859" s="151" t="s">
        <v>157</v>
      </c>
      <c r="B859" s="378" t="s">
        <v>1318</v>
      </c>
      <c r="C859" s="371">
        <v>45473</v>
      </c>
      <c r="D859" s="337"/>
      <c r="E859" s="328" t="s">
        <v>131</v>
      </c>
      <c r="F859" s="409" t="s">
        <v>1320</v>
      </c>
      <c r="G859" s="322"/>
      <c r="H859" s="324">
        <v>100</v>
      </c>
      <c r="I859" s="325">
        <v>53</v>
      </c>
      <c r="J859" s="325">
        <f t="shared" ref="J859:J862" si="118">I859*H859</f>
        <v>5300</v>
      </c>
      <c r="K859" s="318">
        <f t="shared" ref="K859:K862" si="119">J859*1.2</f>
        <v>6360</v>
      </c>
      <c r="L859" s="322"/>
      <c r="M859" s="371"/>
      <c r="N859" s="322">
        <f>+Table7[[#This Row],[стойност с ДДС]]-Table7[[#This Row],[направено плащане]]</f>
        <v>6360</v>
      </c>
      <c r="O859" s="327"/>
    </row>
    <row r="860" spans="1:15" ht="20.100000000000001" customHeight="1" x14ac:dyDescent="0.25">
      <c r="A860" s="151" t="s">
        <v>157</v>
      </c>
      <c r="B860" s="378" t="s">
        <v>1318</v>
      </c>
      <c r="C860" s="371">
        <v>45473</v>
      </c>
      <c r="D860" s="337"/>
      <c r="E860" s="328" t="s">
        <v>131</v>
      </c>
      <c r="F860" s="409" t="s">
        <v>1321</v>
      </c>
      <c r="G860" s="322"/>
      <c r="H860" s="324">
        <v>100</v>
      </c>
      <c r="I860" s="325">
        <v>53</v>
      </c>
      <c r="J860" s="325">
        <f t="shared" si="118"/>
        <v>5300</v>
      </c>
      <c r="K860" s="318">
        <f t="shared" si="119"/>
        <v>6360</v>
      </c>
      <c r="L860" s="322"/>
      <c r="M860" s="371"/>
      <c r="N860" s="322">
        <f>+Table7[[#This Row],[стойност с ДДС]]-Table7[[#This Row],[направено плащане]]</f>
        <v>6360</v>
      </c>
      <c r="O860" s="327"/>
    </row>
    <row r="861" spans="1:15" ht="20.100000000000001" customHeight="1" x14ac:dyDescent="0.25">
      <c r="A861" s="151" t="s">
        <v>157</v>
      </c>
      <c r="B861" s="378" t="s">
        <v>1318</v>
      </c>
      <c r="C861" s="371">
        <v>45473</v>
      </c>
      <c r="D861" s="337"/>
      <c r="E861" s="328" t="s">
        <v>131</v>
      </c>
      <c r="F861" s="409" t="s">
        <v>1322</v>
      </c>
      <c r="G861" s="322"/>
      <c r="H861" s="324">
        <v>100</v>
      </c>
      <c r="I861" s="325">
        <v>52</v>
      </c>
      <c r="J861" s="325">
        <f t="shared" si="118"/>
        <v>5200</v>
      </c>
      <c r="K861" s="318">
        <f t="shared" si="119"/>
        <v>6240</v>
      </c>
      <c r="L861" s="322"/>
      <c r="M861" s="371"/>
      <c r="N861" s="322">
        <f>+Table7[[#This Row],[стойност с ДДС]]-Table7[[#This Row],[направено плащане]]</f>
        <v>6240</v>
      </c>
      <c r="O861" s="327"/>
    </row>
    <row r="862" spans="1:15" ht="20.100000000000001" customHeight="1" x14ac:dyDescent="0.25">
      <c r="A862" s="206" t="s">
        <v>157</v>
      </c>
      <c r="B862" s="381" t="s">
        <v>1318</v>
      </c>
      <c r="C862" s="373">
        <v>45473</v>
      </c>
      <c r="D862" s="343"/>
      <c r="E862" s="347" t="s">
        <v>131</v>
      </c>
      <c r="F862" s="412" t="s">
        <v>1323</v>
      </c>
      <c r="G862" s="342"/>
      <c r="H862" s="344">
        <v>100</v>
      </c>
      <c r="I862" s="345">
        <v>52</v>
      </c>
      <c r="J862" s="345">
        <f t="shared" si="118"/>
        <v>5200</v>
      </c>
      <c r="K862" s="320">
        <f t="shared" si="119"/>
        <v>6240</v>
      </c>
      <c r="L862" s="342"/>
      <c r="M862" s="373"/>
      <c r="N862" s="342">
        <f>+Table7[[#This Row],[стойност с ДДС]]-Table7[[#This Row],[направено плащане]]</f>
        <v>6240</v>
      </c>
      <c r="O862" s="346"/>
    </row>
    <row r="863" spans="1:15" ht="20.100000000000001" customHeight="1" x14ac:dyDescent="0.25">
      <c r="A863" s="206" t="s">
        <v>157</v>
      </c>
      <c r="B863" s="381" t="s">
        <v>1318</v>
      </c>
      <c r="C863" s="373">
        <v>45473</v>
      </c>
      <c r="D863" s="343"/>
      <c r="E863" s="347" t="s">
        <v>131</v>
      </c>
      <c r="F863" s="412">
        <v>155704</v>
      </c>
      <c r="G863" s="342"/>
      <c r="H863" s="344">
        <v>100</v>
      </c>
      <c r="I863" s="345">
        <v>53</v>
      </c>
      <c r="J863" s="345">
        <f t="shared" ref="J863:J870" si="120">I863*H863</f>
        <v>5300</v>
      </c>
      <c r="K863" s="320">
        <f t="shared" ref="K863:K870" si="121">J863*1.2</f>
        <v>6360</v>
      </c>
      <c r="L863" s="342"/>
      <c r="M863" s="373"/>
      <c r="N863" s="342">
        <f>+Table7[[#This Row],[стойност с ДДС]]-Table7[[#This Row],[направено плащане]]</f>
        <v>6360</v>
      </c>
      <c r="O863" s="346"/>
    </row>
    <row r="864" spans="1:15" ht="20.100000000000001" customHeight="1" x14ac:dyDescent="0.25">
      <c r="A864" s="206" t="s">
        <v>101</v>
      </c>
      <c r="B864" s="388" t="s">
        <v>1324</v>
      </c>
      <c r="C864" s="373">
        <v>45474</v>
      </c>
      <c r="D864" s="343"/>
      <c r="E864" s="347" t="s">
        <v>131</v>
      </c>
      <c r="F864" s="412" t="s">
        <v>1325</v>
      </c>
      <c r="G864" s="342"/>
      <c r="H864" s="344">
        <v>200</v>
      </c>
      <c r="I864" s="345">
        <v>53</v>
      </c>
      <c r="J864" s="345">
        <f t="shared" si="120"/>
        <v>10600</v>
      </c>
      <c r="K864" s="320">
        <f t="shared" si="121"/>
        <v>12720</v>
      </c>
      <c r="L864" s="342"/>
      <c r="M864" s="373"/>
      <c r="N864" s="342">
        <f>+Table7[[#This Row],[стойност с ДДС]]-Table7[[#This Row],[направено плащане]]</f>
        <v>12720</v>
      </c>
      <c r="O864" s="346"/>
    </row>
    <row r="865" spans="1:15" ht="20.100000000000001" customHeight="1" x14ac:dyDescent="0.25">
      <c r="A865" s="206" t="s">
        <v>118</v>
      </c>
      <c r="B865" s="381" t="s">
        <v>1326</v>
      </c>
      <c r="C865" s="373">
        <v>45474</v>
      </c>
      <c r="D865" s="343"/>
      <c r="E865" s="347" t="s">
        <v>131</v>
      </c>
      <c r="F865" s="412" t="s">
        <v>1327</v>
      </c>
      <c r="G865" s="342"/>
      <c r="H865" s="344">
        <v>50</v>
      </c>
      <c r="I865" s="345">
        <v>54.5</v>
      </c>
      <c r="J865" s="345">
        <f t="shared" si="120"/>
        <v>2725</v>
      </c>
      <c r="K865" s="320">
        <f t="shared" si="121"/>
        <v>3270</v>
      </c>
      <c r="L865" s="342"/>
      <c r="M865" s="373"/>
      <c r="N865" s="342">
        <f>+Table7[[#This Row],[стойност с ДДС]]-Table7[[#This Row],[направено плащане]]</f>
        <v>3270</v>
      </c>
      <c r="O865" s="346"/>
    </row>
    <row r="866" spans="1:15" ht="20.100000000000001" customHeight="1" x14ac:dyDescent="0.25">
      <c r="A866" s="206" t="s">
        <v>914</v>
      </c>
      <c r="B866" s="381" t="s">
        <v>1328</v>
      </c>
      <c r="C866" s="373">
        <v>45475</v>
      </c>
      <c r="D866" s="343"/>
      <c r="E866" s="328" t="s">
        <v>263</v>
      </c>
      <c r="F866" s="412"/>
      <c r="G866" s="342">
        <v>45474</v>
      </c>
      <c r="H866" s="344">
        <v>225</v>
      </c>
      <c r="I866" s="345">
        <v>63.34</v>
      </c>
      <c r="J866" s="345">
        <f t="shared" si="120"/>
        <v>14251.5</v>
      </c>
      <c r="K866" s="320">
        <f t="shared" si="121"/>
        <v>17101.8</v>
      </c>
      <c r="L866" s="342">
        <v>17101.8</v>
      </c>
      <c r="M866" s="373">
        <v>45485</v>
      </c>
      <c r="N866" s="342">
        <f>+Table7[[#This Row],[стойност с ДДС]]-Table7[[#This Row],[направено плащане]]</f>
        <v>0</v>
      </c>
      <c r="O866" s="346"/>
    </row>
    <row r="867" spans="1:15" ht="20.100000000000001" customHeight="1" x14ac:dyDescent="0.25">
      <c r="A867" s="206" t="s">
        <v>914</v>
      </c>
      <c r="B867" s="378" t="s">
        <v>1329</v>
      </c>
      <c r="C867" s="371">
        <v>45475</v>
      </c>
      <c r="D867" s="337"/>
      <c r="E867" s="328" t="s">
        <v>263</v>
      </c>
      <c r="F867" s="409"/>
      <c r="G867" s="342">
        <v>45474</v>
      </c>
      <c r="H867" s="324">
        <v>225</v>
      </c>
      <c r="I867" s="325">
        <v>65.34</v>
      </c>
      <c r="J867" s="325">
        <f t="shared" si="120"/>
        <v>14701.5</v>
      </c>
      <c r="K867" s="318">
        <f t="shared" si="121"/>
        <v>17641.8</v>
      </c>
      <c r="L867" s="322"/>
      <c r="M867" s="371"/>
      <c r="N867" s="322">
        <f>+Table7[[#This Row],[стойност с ДДС]]-Table7[[#This Row],[направено плащане]]</f>
        <v>17641.8</v>
      </c>
      <c r="O867" s="327"/>
    </row>
    <row r="868" spans="1:15" ht="20.100000000000001" customHeight="1" x14ac:dyDescent="0.25">
      <c r="A868" s="206" t="s">
        <v>118</v>
      </c>
      <c r="B868" s="381" t="s">
        <v>1330</v>
      </c>
      <c r="C868" s="373">
        <v>45475</v>
      </c>
      <c r="D868" s="343"/>
      <c r="E868" s="347" t="s">
        <v>131</v>
      </c>
      <c r="F868" s="412" t="s">
        <v>1331</v>
      </c>
      <c r="G868" s="342"/>
      <c r="H868" s="344">
        <v>500</v>
      </c>
      <c r="I868" s="345">
        <v>54.5</v>
      </c>
      <c r="J868" s="345">
        <f t="shared" si="120"/>
        <v>27250</v>
      </c>
      <c r="K868" s="320">
        <f t="shared" si="121"/>
        <v>32700</v>
      </c>
      <c r="L868" s="342">
        <v>32700</v>
      </c>
      <c r="M868" s="373">
        <v>45481</v>
      </c>
      <c r="N868" s="342">
        <f>+Table7[[#This Row],[стойност с ДДС]]-Table7[[#This Row],[направено плащане]]</f>
        <v>0</v>
      </c>
      <c r="O868" s="346"/>
    </row>
    <row r="869" spans="1:15" ht="20.100000000000001" customHeight="1" x14ac:dyDescent="0.25">
      <c r="A869" s="206" t="s">
        <v>118</v>
      </c>
      <c r="B869" s="381" t="s">
        <v>1330</v>
      </c>
      <c r="C869" s="373">
        <v>45475</v>
      </c>
      <c r="D869" s="343"/>
      <c r="E869" s="347" t="s">
        <v>131</v>
      </c>
      <c r="F869" s="412" t="s">
        <v>1333</v>
      </c>
      <c r="G869" s="342"/>
      <c r="H869" s="344">
        <v>500</v>
      </c>
      <c r="I869" s="345">
        <v>54.05</v>
      </c>
      <c r="J869" s="345">
        <f t="shared" si="120"/>
        <v>27025</v>
      </c>
      <c r="K869" s="320">
        <f t="shared" si="121"/>
        <v>32430</v>
      </c>
      <c r="L869" s="342">
        <v>32430</v>
      </c>
      <c r="M869" s="373">
        <v>45481</v>
      </c>
      <c r="N869" s="342">
        <f>+Table7[[#This Row],[стойност с ДДС]]-Table7[[#This Row],[направено плащане]]</f>
        <v>0</v>
      </c>
      <c r="O869" s="346"/>
    </row>
    <row r="870" spans="1:15" ht="20.100000000000001" customHeight="1" x14ac:dyDescent="0.25">
      <c r="A870" s="206" t="s">
        <v>118</v>
      </c>
      <c r="B870" s="378" t="s">
        <v>1332</v>
      </c>
      <c r="C870" s="371">
        <v>45477</v>
      </c>
      <c r="D870" s="337"/>
      <c r="E870" s="347" t="s">
        <v>131</v>
      </c>
      <c r="F870" s="409" t="s">
        <v>1334</v>
      </c>
      <c r="G870" s="322"/>
      <c r="H870" s="324">
        <v>50</v>
      </c>
      <c r="I870" s="325">
        <v>52.4</v>
      </c>
      <c r="J870" s="325">
        <f t="shared" si="120"/>
        <v>2620</v>
      </c>
      <c r="K870" s="318">
        <f t="shared" si="121"/>
        <v>3144</v>
      </c>
      <c r="L870" s="322"/>
      <c r="M870" s="371"/>
      <c r="N870" s="322">
        <f>+Table7[[#This Row],[стойност с ДДС]]-Table7[[#This Row],[направено плащане]]</f>
        <v>3144</v>
      </c>
      <c r="O870" s="327"/>
    </row>
    <row r="871" spans="1:15" ht="20.100000000000001" customHeight="1" x14ac:dyDescent="0.25">
      <c r="A871" s="151" t="s">
        <v>118</v>
      </c>
      <c r="B871" s="378" t="s">
        <v>1332</v>
      </c>
      <c r="C871" s="371">
        <v>45477</v>
      </c>
      <c r="D871" s="337"/>
      <c r="E871" s="347" t="s">
        <v>131</v>
      </c>
      <c r="F871" s="409" t="s">
        <v>1335</v>
      </c>
      <c r="G871" s="322"/>
      <c r="H871" s="324">
        <v>170</v>
      </c>
      <c r="I871" s="325">
        <v>52.3</v>
      </c>
      <c r="J871" s="325">
        <f t="shared" ref="J871:J873" si="122">I871*H871</f>
        <v>8891</v>
      </c>
      <c r="K871" s="318">
        <f t="shared" ref="K871:K873" si="123">J871*1.2</f>
        <v>10669.199999999999</v>
      </c>
      <c r="L871" s="322"/>
      <c r="M871" s="371"/>
      <c r="N871" s="322">
        <f>+Table7[[#This Row],[стойност с ДДС]]-Table7[[#This Row],[направено плащане]]</f>
        <v>10669.199999999999</v>
      </c>
      <c r="O871" s="327"/>
    </row>
    <row r="872" spans="1:15" ht="20.100000000000001" customHeight="1" x14ac:dyDescent="0.25">
      <c r="A872" s="151" t="s">
        <v>118</v>
      </c>
      <c r="B872" s="378" t="s">
        <v>1332</v>
      </c>
      <c r="C872" s="371">
        <v>45477</v>
      </c>
      <c r="D872" s="337"/>
      <c r="E872" s="347" t="s">
        <v>131</v>
      </c>
      <c r="F872" s="409" t="s">
        <v>1336</v>
      </c>
      <c r="G872" s="322"/>
      <c r="H872" s="324">
        <v>300</v>
      </c>
      <c r="I872" s="325">
        <v>52.3</v>
      </c>
      <c r="J872" s="325">
        <f t="shared" si="122"/>
        <v>15690</v>
      </c>
      <c r="K872" s="318">
        <f t="shared" si="123"/>
        <v>18828</v>
      </c>
      <c r="L872" s="322"/>
      <c r="M872" s="371"/>
      <c r="N872" s="322">
        <f>+Table7[[#This Row],[стойност с ДДС]]-Table7[[#This Row],[направено плащане]]</f>
        <v>18828</v>
      </c>
      <c r="O872" s="327"/>
    </row>
    <row r="873" spans="1:15" ht="20.100000000000001" customHeight="1" x14ac:dyDescent="0.25">
      <c r="A873" s="206" t="s">
        <v>118</v>
      </c>
      <c r="B873" s="378" t="s">
        <v>1332</v>
      </c>
      <c r="C873" s="371">
        <v>45477</v>
      </c>
      <c r="D873" s="343"/>
      <c r="E873" s="347" t="s">
        <v>131</v>
      </c>
      <c r="F873" s="412" t="s">
        <v>1337</v>
      </c>
      <c r="G873" s="342"/>
      <c r="H873" s="344">
        <v>50</v>
      </c>
      <c r="I873" s="345">
        <v>52.7</v>
      </c>
      <c r="J873" s="345">
        <f t="shared" si="122"/>
        <v>2635</v>
      </c>
      <c r="K873" s="320">
        <f t="shared" si="123"/>
        <v>3162</v>
      </c>
      <c r="L873" s="342"/>
      <c r="M873" s="373"/>
      <c r="N873" s="342">
        <f>+Table7[[#This Row],[стойност с ДДС]]-Table7[[#This Row],[направено плащане]]</f>
        <v>3162</v>
      </c>
      <c r="O873" s="346"/>
    </row>
    <row r="874" spans="1:15" ht="20.100000000000001" customHeight="1" x14ac:dyDescent="0.3">
      <c r="A874" s="206" t="s">
        <v>99</v>
      </c>
      <c r="B874" s="381" t="s">
        <v>1339</v>
      </c>
      <c r="C874" s="373">
        <v>45476</v>
      </c>
      <c r="D874" s="343"/>
      <c r="E874" s="323" t="s">
        <v>458</v>
      </c>
      <c r="F874" s="412"/>
      <c r="G874" s="342"/>
      <c r="H874" s="344">
        <v>94</v>
      </c>
      <c r="I874" s="345">
        <v>1441.991</v>
      </c>
      <c r="J874" s="345">
        <f>I874*H874</f>
        <v>135547.15400000001</v>
      </c>
      <c r="K874" s="320">
        <v>162656.54</v>
      </c>
      <c r="L874" s="342">
        <v>162656.54</v>
      </c>
      <c r="M874" s="373">
        <v>45482</v>
      </c>
      <c r="N874" s="342">
        <f>+Table7[[#This Row],[стойност с ДДС]]-Table7[[#This Row],[направено плащане]]</f>
        <v>0</v>
      </c>
      <c r="O874" s="346"/>
    </row>
    <row r="875" spans="1:15" ht="20.100000000000001" customHeight="1" x14ac:dyDescent="0.25">
      <c r="A875" s="206" t="s">
        <v>99</v>
      </c>
      <c r="B875" s="381" t="s">
        <v>1339</v>
      </c>
      <c r="C875" s="373">
        <v>45476</v>
      </c>
      <c r="D875" s="343"/>
      <c r="E875" s="347" t="s">
        <v>54</v>
      </c>
      <c r="F875" s="412"/>
      <c r="G875" s="342"/>
      <c r="H875" s="344">
        <v>300</v>
      </c>
      <c r="I875" s="345">
        <v>19.86</v>
      </c>
      <c r="J875" s="345">
        <f>I875*H875</f>
        <v>5958</v>
      </c>
      <c r="K875" s="320">
        <f>J875*1.2</f>
        <v>7149.5999999999995</v>
      </c>
      <c r="L875" s="342">
        <v>7149.5999999999995</v>
      </c>
      <c r="M875" s="373">
        <v>45482</v>
      </c>
      <c r="N875" s="342">
        <f>+Table7[[#This Row],[стойност с ДДС]]-Table7[[#This Row],[направено плащане]]</f>
        <v>0</v>
      </c>
      <c r="O875" s="346"/>
    </row>
    <row r="876" spans="1:15" ht="20.100000000000001" customHeight="1" x14ac:dyDescent="0.3">
      <c r="A876" s="206" t="s">
        <v>99</v>
      </c>
      <c r="B876" s="381" t="s">
        <v>1338</v>
      </c>
      <c r="C876" s="371">
        <v>45476</v>
      </c>
      <c r="D876" s="337"/>
      <c r="E876" s="323" t="s">
        <v>461</v>
      </c>
      <c r="F876" s="409"/>
      <c r="G876" s="322"/>
      <c r="H876" s="324">
        <v>212.727</v>
      </c>
      <c r="I876" s="325">
        <v>1.0900000000000001</v>
      </c>
      <c r="J876" s="325">
        <f t="shared" ref="J876:J877" si="124">I876*H876</f>
        <v>231.87243000000001</v>
      </c>
      <c r="K876" s="318">
        <f t="shared" ref="K876:K877" si="125">J876*1.2</f>
        <v>278.246916</v>
      </c>
      <c r="L876" s="322">
        <v>278.246916</v>
      </c>
      <c r="M876" s="373">
        <v>45482</v>
      </c>
      <c r="N876" s="322">
        <f>+Table7[[#This Row],[стойност с ДДС]]-Table7[[#This Row],[направено плащане]]</f>
        <v>0</v>
      </c>
      <c r="O876" s="327"/>
    </row>
    <row r="877" spans="1:15" ht="20.100000000000001" customHeight="1" x14ac:dyDescent="0.3">
      <c r="A877" s="206" t="s">
        <v>99</v>
      </c>
      <c r="B877" s="381" t="s">
        <v>1338</v>
      </c>
      <c r="C877" s="371">
        <v>45476</v>
      </c>
      <c r="D877" s="337"/>
      <c r="E877" s="323" t="s">
        <v>54</v>
      </c>
      <c r="F877" s="409"/>
      <c r="G877" s="322"/>
      <c r="H877" s="324">
        <v>24762.726999999999</v>
      </c>
      <c r="I877" s="325">
        <v>0.6</v>
      </c>
      <c r="J877" s="325">
        <f t="shared" si="124"/>
        <v>14857.636199999999</v>
      </c>
      <c r="K877" s="318">
        <f t="shared" si="125"/>
        <v>17829.163439999997</v>
      </c>
      <c r="L877" s="322">
        <v>17829.163439999997</v>
      </c>
      <c r="M877" s="373">
        <v>45482</v>
      </c>
      <c r="N877" s="322">
        <f>+Table7[[#This Row],[стойност с ДДС]]-Table7[[#This Row],[направено плащане]]</f>
        <v>0</v>
      </c>
      <c r="O877" s="327"/>
    </row>
    <row r="878" spans="1:15" ht="20.100000000000001" customHeight="1" x14ac:dyDescent="0.3">
      <c r="A878" s="206" t="s">
        <v>99</v>
      </c>
      <c r="B878" s="378" t="s">
        <v>1340</v>
      </c>
      <c r="C878" s="371">
        <v>45476</v>
      </c>
      <c r="D878" s="337"/>
      <c r="E878" s="323" t="s">
        <v>54</v>
      </c>
      <c r="F878" s="409"/>
      <c r="G878" s="322"/>
      <c r="H878" s="324">
        <v>1</v>
      </c>
      <c r="I878" s="325">
        <v>3550.12</v>
      </c>
      <c r="J878" s="325">
        <f t="shared" ref="J878:J886" si="126">I878*H878</f>
        <v>3550.12</v>
      </c>
      <c r="K878" s="318">
        <f>J878*1.2</f>
        <v>4260.1439999999993</v>
      </c>
      <c r="L878" s="322">
        <v>4260.1439999999993</v>
      </c>
      <c r="M878" s="373">
        <v>45482</v>
      </c>
      <c r="N878" s="322">
        <f>+Table7[[#This Row],[стойност с ДДС]]-Table7[[#This Row],[направено плащане]]</f>
        <v>0</v>
      </c>
      <c r="O878" s="327"/>
    </row>
    <row r="879" spans="1:15" ht="20.100000000000001" customHeight="1" x14ac:dyDescent="0.25">
      <c r="A879" s="206" t="s">
        <v>157</v>
      </c>
      <c r="B879" s="381" t="s">
        <v>1344</v>
      </c>
      <c r="C879" s="373">
        <v>45474</v>
      </c>
      <c r="D879" s="343"/>
      <c r="E879" s="347" t="s">
        <v>131</v>
      </c>
      <c r="F879" s="412" t="s">
        <v>1345</v>
      </c>
      <c r="G879" s="342"/>
      <c r="H879" s="344">
        <v>50</v>
      </c>
      <c r="I879" s="345">
        <v>54.5</v>
      </c>
      <c r="J879" s="345">
        <f t="shared" si="126"/>
        <v>2725</v>
      </c>
      <c r="K879" s="320">
        <f>J879*1.2</f>
        <v>3270</v>
      </c>
      <c r="L879" s="342"/>
      <c r="M879" s="373"/>
      <c r="N879" s="342">
        <f>+Table7[[#This Row],[стойност с ДДС]]-Table7[[#This Row],[направено плащане]]</f>
        <v>3270</v>
      </c>
      <c r="O879" s="346"/>
    </row>
    <row r="880" spans="1:15" ht="20.100000000000001" customHeight="1" x14ac:dyDescent="0.25">
      <c r="A880" s="206" t="s">
        <v>157</v>
      </c>
      <c r="B880" s="381" t="s">
        <v>1344</v>
      </c>
      <c r="C880" s="373">
        <v>45474</v>
      </c>
      <c r="D880" s="343"/>
      <c r="E880" s="347" t="s">
        <v>131</v>
      </c>
      <c r="F880" s="412" t="s">
        <v>1346</v>
      </c>
      <c r="G880" s="342"/>
      <c r="H880" s="344">
        <v>50</v>
      </c>
      <c r="I880" s="345">
        <v>54.8</v>
      </c>
      <c r="J880" s="345">
        <f t="shared" si="126"/>
        <v>2740</v>
      </c>
      <c r="K880" s="320">
        <f>J880*1.2</f>
        <v>3288</v>
      </c>
      <c r="L880" s="342"/>
      <c r="M880" s="373"/>
      <c r="N880" s="342">
        <f>+Table7[[#This Row],[стойност с ДДС]]-Table7[[#This Row],[направено плащане]]</f>
        <v>3288</v>
      </c>
      <c r="O880" s="346"/>
    </row>
    <row r="881" spans="1:15" ht="20.100000000000001" customHeight="1" x14ac:dyDescent="0.25">
      <c r="A881" s="206" t="s">
        <v>159</v>
      </c>
      <c r="B881" s="381" t="s">
        <v>1347</v>
      </c>
      <c r="C881" s="373">
        <v>45476</v>
      </c>
      <c r="D881" s="343"/>
      <c r="E881" s="347" t="s">
        <v>131</v>
      </c>
      <c r="F881" s="412" t="s">
        <v>1348</v>
      </c>
      <c r="G881" s="342"/>
      <c r="H881" s="344">
        <v>500</v>
      </c>
      <c r="I881" s="345">
        <f>27.71202*1.9563</f>
        <v>54.213024725999993</v>
      </c>
      <c r="J881" s="345">
        <f t="shared" si="126"/>
        <v>27106.512362999998</v>
      </c>
      <c r="K881" s="320">
        <f>+Table7[[#This Row],[стойност]]</f>
        <v>27106.512362999998</v>
      </c>
      <c r="L881" s="342">
        <v>27106.512362999998</v>
      </c>
      <c r="M881" s="373">
        <v>45482</v>
      </c>
      <c r="N881" s="342">
        <f>+Table7[[#This Row],[стойност с ДДС]]-Table7[[#This Row],[направено плащане]]</f>
        <v>0</v>
      </c>
      <c r="O881" s="346"/>
    </row>
    <row r="882" spans="1:15" ht="20.100000000000001" customHeight="1" x14ac:dyDescent="0.25">
      <c r="A882" s="206" t="s">
        <v>159</v>
      </c>
      <c r="B882" s="381" t="s">
        <v>1347</v>
      </c>
      <c r="C882" s="373">
        <v>45476</v>
      </c>
      <c r="D882" s="343"/>
      <c r="E882" s="347" t="s">
        <v>131</v>
      </c>
      <c r="F882" s="412" t="s">
        <v>1349</v>
      </c>
      <c r="G882" s="342"/>
      <c r="H882" s="344">
        <v>100</v>
      </c>
      <c r="I882" s="345">
        <f>27.76315*1.9563</f>
        <v>54.313050345000001</v>
      </c>
      <c r="J882" s="345">
        <f>I882*H882</f>
        <v>5431.3050345000001</v>
      </c>
      <c r="K882" s="320">
        <v>5431.32</v>
      </c>
      <c r="L882" s="342">
        <v>5431.32</v>
      </c>
      <c r="M882" s="373">
        <v>45482</v>
      </c>
      <c r="N882" s="342">
        <f>+Table7[[#This Row],[стойност с ДДС]]-Table7[[#This Row],[направено плащане]]</f>
        <v>0</v>
      </c>
      <c r="O882" s="346"/>
    </row>
    <row r="883" spans="1:15" ht="20.100000000000001" customHeight="1" x14ac:dyDescent="0.25">
      <c r="A883" s="206" t="s">
        <v>157</v>
      </c>
      <c r="B883" s="381" t="s">
        <v>1350</v>
      </c>
      <c r="C883" s="373">
        <v>45476</v>
      </c>
      <c r="D883" s="343"/>
      <c r="E883" s="347" t="s">
        <v>131</v>
      </c>
      <c r="F883" s="412" t="s">
        <v>1351</v>
      </c>
      <c r="G883" s="342"/>
      <c r="H883" s="344">
        <v>500</v>
      </c>
      <c r="I883" s="345">
        <v>54.39</v>
      </c>
      <c r="J883" s="345">
        <f t="shared" si="126"/>
        <v>27195</v>
      </c>
      <c r="K883" s="320">
        <f>J883*1.2</f>
        <v>32634</v>
      </c>
      <c r="L883" s="342">
        <v>32634</v>
      </c>
      <c r="M883" s="373">
        <v>45481</v>
      </c>
      <c r="N883" s="342">
        <f>+Table7[[#This Row],[стойност с ДДС]]-Table7[[#This Row],[направено плащане]]</f>
        <v>0</v>
      </c>
      <c r="O883" s="346"/>
    </row>
    <row r="884" spans="1:15" ht="20.100000000000001" customHeight="1" x14ac:dyDescent="0.25">
      <c r="A884" s="206" t="s">
        <v>118</v>
      </c>
      <c r="B884" s="381" t="s">
        <v>1352</v>
      </c>
      <c r="C884" s="373">
        <v>45476</v>
      </c>
      <c r="D884" s="343"/>
      <c r="E884" s="347" t="s">
        <v>131</v>
      </c>
      <c r="F884" s="412" t="s">
        <v>1353</v>
      </c>
      <c r="G884" s="342"/>
      <c r="H884" s="344">
        <v>500</v>
      </c>
      <c r="I884" s="345">
        <v>54.2</v>
      </c>
      <c r="J884" s="345">
        <f t="shared" si="126"/>
        <v>27100</v>
      </c>
      <c r="K884" s="320">
        <f>J884*1.2</f>
        <v>32520</v>
      </c>
      <c r="L884" s="342">
        <v>32520</v>
      </c>
      <c r="M884" s="373">
        <v>45482</v>
      </c>
      <c r="N884" s="342">
        <f>+Table7[[#This Row],[стойност с ДДС]]-Table7[[#This Row],[направено плащане]]</f>
        <v>0</v>
      </c>
      <c r="O884" s="346"/>
    </row>
    <row r="885" spans="1:15" ht="20.100000000000001" customHeight="1" x14ac:dyDescent="0.25">
      <c r="A885" s="206" t="s">
        <v>118</v>
      </c>
      <c r="B885" s="381" t="s">
        <v>1352</v>
      </c>
      <c r="C885" s="373">
        <v>45476</v>
      </c>
      <c r="D885" s="343"/>
      <c r="E885" s="347" t="s">
        <v>131</v>
      </c>
      <c r="F885" s="412" t="s">
        <v>1354</v>
      </c>
      <c r="G885" s="342"/>
      <c r="H885" s="344">
        <v>200</v>
      </c>
      <c r="I885" s="345">
        <v>54.2</v>
      </c>
      <c r="J885" s="345">
        <f t="shared" si="126"/>
        <v>10840</v>
      </c>
      <c r="K885" s="320">
        <f>J885*1.2</f>
        <v>13008</v>
      </c>
      <c r="L885" s="342">
        <v>13008</v>
      </c>
      <c r="M885" s="373">
        <v>45482</v>
      </c>
      <c r="N885" s="342">
        <f>+Table7[[#This Row],[стойност с ДДС]]-Table7[[#This Row],[направено плащане]]</f>
        <v>0</v>
      </c>
      <c r="O885" s="346"/>
    </row>
    <row r="886" spans="1:15" ht="20.100000000000001" customHeight="1" x14ac:dyDescent="0.25">
      <c r="A886" s="206" t="s">
        <v>99</v>
      </c>
      <c r="B886" s="381" t="s">
        <v>1355</v>
      </c>
      <c r="C886" s="373">
        <v>45477</v>
      </c>
      <c r="D886" s="343"/>
      <c r="E886" s="347" t="s">
        <v>131</v>
      </c>
      <c r="F886" s="412" t="s">
        <v>1356</v>
      </c>
      <c r="G886" s="342"/>
      <c r="H886" s="344">
        <v>500</v>
      </c>
      <c r="I886" s="345">
        <v>55.25</v>
      </c>
      <c r="J886" s="345">
        <f t="shared" si="126"/>
        <v>27625</v>
      </c>
      <c r="K886" s="320">
        <f>J886*1.2</f>
        <v>33150</v>
      </c>
      <c r="L886" s="342">
        <v>33150</v>
      </c>
      <c r="M886" s="373">
        <v>45481</v>
      </c>
      <c r="N886" s="342">
        <f>+Table7[[#This Row],[стойност с ДДС]]-Table7[[#This Row],[направено плащане]]</f>
        <v>0</v>
      </c>
      <c r="O886" s="346"/>
    </row>
    <row r="887" spans="1:15" ht="20.100000000000001" customHeight="1" x14ac:dyDescent="0.25">
      <c r="A887" s="151" t="s">
        <v>99</v>
      </c>
      <c r="B887" s="378" t="s">
        <v>1355</v>
      </c>
      <c r="C887" s="371">
        <v>45477</v>
      </c>
      <c r="D887" s="337"/>
      <c r="E887" s="328" t="s">
        <v>131</v>
      </c>
      <c r="F887" s="409" t="s">
        <v>1357</v>
      </c>
      <c r="G887" s="322"/>
      <c r="H887" s="324">
        <v>500</v>
      </c>
      <c r="I887" s="325">
        <v>55</v>
      </c>
      <c r="J887" s="325">
        <f t="shared" ref="J887:J892" si="127">I887*H887</f>
        <v>27500</v>
      </c>
      <c r="K887" s="318">
        <f t="shared" ref="K887:K892" si="128">J887*1.2</f>
        <v>33000</v>
      </c>
      <c r="L887" s="322">
        <v>33000</v>
      </c>
      <c r="M887" s="371">
        <v>45481</v>
      </c>
      <c r="N887" s="322">
        <f>+Table7[[#This Row],[стойност с ДДС]]-Table7[[#This Row],[направено плащане]]</f>
        <v>0</v>
      </c>
      <c r="O887" s="327"/>
    </row>
    <row r="888" spans="1:15" ht="20.100000000000001" customHeight="1" x14ac:dyDescent="0.25">
      <c r="A888" s="151" t="s">
        <v>99</v>
      </c>
      <c r="B888" s="378" t="s">
        <v>1355</v>
      </c>
      <c r="C888" s="371">
        <v>45477</v>
      </c>
      <c r="D888" s="337"/>
      <c r="E888" s="328" t="s">
        <v>131</v>
      </c>
      <c r="F888" s="409" t="s">
        <v>1358</v>
      </c>
      <c r="G888" s="322"/>
      <c r="H888" s="324">
        <v>500</v>
      </c>
      <c r="I888" s="325">
        <v>55</v>
      </c>
      <c r="J888" s="325">
        <f t="shared" si="127"/>
        <v>27500</v>
      </c>
      <c r="K888" s="318">
        <f t="shared" si="128"/>
        <v>33000</v>
      </c>
      <c r="L888" s="322">
        <v>33000</v>
      </c>
      <c r="M888" s="371">
        <v>45481</v>
      </c>
      <c r="N888" s="322">
        <f>+Table7[[#This Row],[стойност с ДДС]]-Table7[[#This Row],[направено плащане]]</f>
        <v>0</v>
      </c>
      <c r="O888" s="327"/>
    </row>
    <row r="889" spans="1:15" ht="20.100000000000001" customHeight="1" x14ac:dyDescent="0.25">
      <c r="A889" s="151" t="s">
        <v>99</v>
      </c>
      <c r="B889" s="378" t="s">
        <v>1355</v>
      </c>
      <c r="C889" s="371">
        <v>45477</v>
      </c>
      <c r="D889" s="337"/>
      <c r="E889" s="328" t="s">
        <v>131</v>
      </c>
      <c r="F889" s="409" t="s">
        <v>1359</v>
      </c>
      <c r="G889" s="322"/>
      <c r="H889" s="324">
        <v>500</v>
      </c>
      <c r="I889" s="325">
        <v>54.8</v>
      </c>
      <c r="J889" s="325">
        <f t="shared" si="127"/>
        <v>27400</v>
      </c>
      <c r="K889" s="318">
        <f t="shared" si="128"/>
        <v>32880</v>
      </c>
      <c r="L889" s="322">
        <v>32880</v>
      </c>
      <c r="M889" s="371">
        <v>45481</v>
      </c>
      <c r="N889" s="322">
        <f>+Table7[[#This Row],[стойност с ДДС]]-Table7[[#This Row],[направено плащане]]</f>
        <v>0</v>
      </c>
      <c r="O889" s="327"/>
    </row>
    <row r="890" spans="1:15" ht="20.100000000000001" customHeight="1" x14ac:dyDescent="0.25">
      <c r="A890" s="151" t="s">
        <v>99</v>
      </c>
      <c r="B890" s="378" t="s">
        <v>1355</v>
      </c>
      <c r="C890" s="371">
        <v>45477</v>
      </c>
      <c r="D890" s="337"/>
      <c r="E890" s="328" t="s">
        <v>131</v>
      </c>
      <c r="F890" s="409" t="s">
        <v>1360</v>
      </c>
      <c r="G890" s="322"/>
      <c r="H890" s="324">
        <v>500</v>
      </c>
      <c r="I890" s="325">
        <v>54.2</v>
      </c>
      <c r="J890" s="325">
        <f t="shared" si="127"/>
        <v>27100</v>
      </c>
      <c r="K890" s="318">
        <f t="shared" si="128"/>
        <v>32520</v>
      </c>
      <c r="L890" s="322">
        <v>32520</v>
      </c>
      <c r="M890" s="371">
        <v>45481</v>
      </c>
      <c r="N890" s="322">
        <f>+Table7[[#This Row],[стойност с ДДС]]-Table7[[#This Row],[направено плащане]]</f>
        <v>0</v>
      </c>
      <c r="O890" s="327"/>
    </row>
    <row r="891" spans="1:15" ht="20.100000000000001" customHeight="1" x14ac:dyDescent="0.25">
      <c r="A891" s="151" t="s">
        <v>99</v>
      </c>
      <c r="B891" s="378" t="s">
        <v>1355</v>
      </c>
      <c r="C891" s="371">
        <v>45477</v>
      </c>
      <c r="D891" s="337"/>
      <c r="E891" s="328" t="s">
        <v>131</v>
      </c>
      <c r="F891" s="409" t="s">
        <v>1361</v>
      </c>
      <c r="G891" s="322"/>
      <c r="H891" s="324">
        <v>100</v>
      </c>
      <c r="I891" s="325">
        <v>54</v>
      </c>
      <c r="J891" s="325">
        <f t="shared" si="127"/>
        <v>5400</v>
      </c>
      <c r="K891" s="318">
        <f t="shared" si="128"/>
        <v>6480</v>
      </c>
      <c r="L891" s="322">
        <v>6480</v>
      </c>
      <c r="M891" s="371">
        <v>45481</v>
      </c>
      <c r="N891" s="322">
        <f>+Table7[[#This Row],[стойност с ДДС]]-Table7[[#This Row],[направено плащане]]</f>
        <v>0</v>
      </c>
      <c r="O891" s="327"/>
    </row>
    <row r="892" spans="1:15" ht="20.100000000000001" customHeight="1" x14ac:dyDescent="0.25">
      <c r="A892" s="206" t="s">
        <v>99</v>
      </c>
      <c r="B892" s="381" t="s">
        <v>1355</v>
      </c>
      <c r="C892" s="373">
        <v>45477</v>
      </c>
      <c r="D892" s="343"/>
      <c r="E892" s="347" t="s">
        <v>131</v>
      </c>
      <c r="F892" s="412" t="s">
        <v>1362</v>
      </c>
      <c r="G892" s="342"/>
      <c r="H892" s="344">
        <v>500</v>
      </c>
      <c r="I892" s="345">
        <v>54</v>
      </c>
      <c r="J892" s="345">
        <f t="shared" si="127"/>
        <v>27000</v>
      </c>
      <c r="K892" s="320">
        <f t="shared" si="128"/>
        <v>32400</v>
      </c>
      <c r="L892" s="342">
        <v>32400</v>
      </c>
      <c r="M892" s="373">
        <v>45481</v>
      </c>
      <c r="N892" s="342">
        <f>+Table7[[#This Row],[стойност с ДДС]]-Table7[[#This Row],[направено плащане]]</f>
        <v>0</v>
      </c>
      <c r="O892" s="346"/>
    </row>
    <row r="893" spans="1:15" ht="20.100000000000001" customHeight="1" x14ac:dyDescent="0.25">
      <c r="A893" s="206" t="s">
        <v>159</v>
      </c>
      <c r="B893" s="381" t="s">
        <v>1363</v>
      </c>
      <c r="C893" s="373">
        <v>45478</v>
      </c>
      <c r="D893" s="343"/>
      <c r="E893" s="347" t="s">
        <v>131</v>
      </c>
      <c r="F893" s="412" t="s">
        <v>1364</v>
      </c>
      <c r="G893" s="342"/>
      <c r="H893" s="344">
        <v>3500</v>
      </c>
      <c r="I893" s="345">
        <v>28.63</v>
      </c>
      <c r="J893" s="345">
        <f>I893*H893</f>
        <v>100205</v>
      </c>
      <c r="K893" s="320">
        <v>196047.14</v>
      </c>
      <c r="L893" s="342">
        <v>196047.14</v>
      </c>
      <c r="M893" s="373">
        <v>45484</v>
      </c>
      <c r="N893" s="342">
        <f>+Table7[[#This Row],[стойност с ДДС]]-Table7[[#This Row],[направено плащане]]</f>
        <v>0</v>
      </c>
      <c r="O893" s="346"/>
    </row>
    <row r="894" spans="1:15" ht="20.100000000000001" customHeight="1" x14ac:dyDescent="0.25">
      <c r="A894" s="206" t="s">
        <v>1017</v>
      </c>
      <c r="B894" s="381" t="s">
        <v>1373</v>
      </c>
      <c r="C894" s="373">
        <v>45477</v>
      </c>
      <c r="D894" s="343"/>
      <c r="E894" s="347" t="s">
        <v>131</v>
      </c>
      <c r="F894" s="412" t="s">
        <v>1365</v>
      </c>
      <c r="G894" s="342"/>
      <c r="H894" s="344">
        <v>190</v>
      </c>
      <c r="I894" s="345">
        <v>54.1</v>
      </c>
      <c r="J894" s="345">
        <f>I894*H894</f>
        <v>10279</v>
      </c>
      <c r="K894" s="320">
        <f>J894*1.2</f>
        <v>12334.8</v>
      </c>
      <c r="L894" s="342">
        <v>12334.8</v>
      </c>
      <c r="M894" s="373">
        <v>45482</v>
      </c>
      <c r="N894" s="342">
        <f>+Table7[[#This Row],[стойност с ДДС]]-Table7[[#This Row],[направено плащане]]</f>
        <v>0</v>
      </c>
      <c r="O894" s="346"/>
    </row>
    <row r="895" spans="1:15" ht="20.100000000000001" customHeight="1" x14ac:dyDescent="0.25">
      <c r="A895" s="151" t="s">
        <v>159</v>
      </c>
      <c r="B895" s="378" t="s">
        <v>1366</v>
      </c>
      <c r="C895" s="371">
        <v>45477</v>
      </c>
      <c r="D895" s="337"/>
      <c r="E895" s="347" t="s">
        <v>131</v>
      </c>
      <c r="F895" s="409" t="s">
        <v>1367</v>
      </c>
      <c r="G895" s="322"/>
      <c r="H895" s="324">
        <v>2</v>
      </c>
      <c r="I895" s="325">
        <f>27.68649*1.9563</f>
        <v>54.163080386999994</v>
      </c>
      <c r="J895" s="325">
        <f t="shared" ref="J895:J896" si="129">I895*H895</f>
        <v>108.32616077399999</v>
      </c>
      <c r="K895" s="318">
        <v>108.326160774</v>
      </c>
      <c r="L895" s="322">
        <v>108.326160774</v>
      </c>
      <c r="M895" s="371">
        <v>45483</v>
      </c>
      <c r="N895" s="322">
        <f>+Table7[[#This Row],[стойност с ДДС]]-Table7[[#This Row],[направено плащане]]</f>
        <v>0</v>
      </c>
      <c r="O895" s="327"/>
    </row>
    <row r="896" spans="1:15" ht="20.100000000000001" customHeight="1" x14ac:dyDescent="0.25">
      <c r="A896" s="206" t="s">
        <v>159</v>
      </c>
      <c r="B896" s="381" t="s">
        <v>1366</v>
      </c>
      <c r="C896" s="373">
        <v>45477</v>
      </c>
      <c r="D896" s="343"/>
      <c r="E896" s="347" t="s">
        <v>131</v>
      </c>
      <c r="F896" s="412" t="s">
        <v>1368</v>
      </c>
      <c r="G896" s="342"/>
      <c r="H896" s="344">
        <v>500</v>
      </c>
      <c r="I896" s="345">
        <f>27.73758*1.9563</f>
        <v>54.263027753999999</v>
      </c>
      <c r="J896" s="345">
        <f t="shared" si="129"/>
        <v>27131.513877000001</v>
      </c>
      <c r="K896" s="320">
        <v>27131.513877000001</v>
      </c>
      <c r="L896" s="342">
        <v>27131.513877000001</v>
      </c>
      <c r="M896" s="373">
        <v>45483</v>
      </c>
      <c r="N896" s="342">
        <f>+Table7[[#This Row],[стойност с ДДС]]-Table7[[#This Row],[направено плащане]]</f>
        <v>0</v>
      </c>
      <c r="O896" s="346"/>
    </row>
    <row r="897" spans="1:15" ht="20.100000000000001" customHeight="1" x14ac:dyDescent="0.25">
      <c r="A897" s="206" t="s">
        <v>118</v>
      </c>
      <c r="B897" s="381" t="s">
        <v>1369</v>
      </c>
      <c r="C897" s="373">
        <v>45477</v>
      </c>
      <c r="D897" s="343"/>
      <c r="E897" s="347" t="s">
        <v>131</v>
      </c>
      <c r="F897" s="412" t="s">
        <v>1370</v>
      </c>
      <c r="G897" s="342"/>
      <c r="H897" s="344">
        <v>500</v>
      </c>
      <c r="I897" s="345">
        <v>54</v>
      </c>
      <c r="J897" s="345">
        <f>I897*H897</f>
        <v>27000</v>
      </c>
      <c r="K897" s="320">
        <f>J897*1.2</f>
        <v>32400</v>
      </c>
      <c r="L897" s="342">
        <v>32400</v>
      </c>
      <c r="M897" s="373">
        <v>45483</v>
      </c>
      <c r="N897" s="342">
        <f>+Table7[[#This Row],[стойност с ДДС]]-Table7[[#This Row],[направено плащане]]</f>
        <v>0</v>
      </c>
      <c r="O897" s="346"/>
    </row>
    <row r="898" spans="1:15" ht="20.100000000000001" customHeight="1" x14ac:dyDescent="0.25">
      <c r="A898" s="206" t="s">
        <v>118</v>
      </c>
      <c r="B898" s="381" t="s">
        <v>1369</v>
      </c>
      <c r="C898" s="373">
        <v>45477</v>
      </c>
      <c r="D898" s="337"/>
      <c r="E898" s="347" t="s">
        <v>131</v>
      </c>
      <c r="F898" s="409" t="s">
        <v>1371</v>
      </c>
      <c r="G898" s="322"/>
      <c r="H898" s="324">
        <v>500</v>
      </c>
      <c r="I898" s="325">
        <v>54.1</v>
      </c>
      <c r="J898" s="325">
        <f>I898*H898</f>
        <v>27050</v>
      </c>
      <c r="K898" s="318">
        <f>J898*1.2</f>
        <v>32460</v>
      </c>
      <c r="L898" s="322">
        <v>32460</v>
      </c>
      <c r="M898" s="373">
        <v>45483</v>
      </c>
      <c r="N898" s="322">
        <f>+Table7[[#This Row],[стойност с ДДС]]-Table7[[#This Row],[направено плащане]]</f>
        <v>0</v>
      </c>
      <c r="O898" s="327"/>
    </row>
    <row r="899" spans="1:15" ht="20.100000000000001" customHeight="1" x14ac:dyDescent="0.25">
      <c r="A899" s="206" t="s">
        <v>268</v>
      </c>
      <c r="B899" s="381" t="s">
        <v>1372</v>
      </c>
      <c r="C899" s="373">
        <v>45477</v>
      </c>
      <c r="D899" s="343"/>
      <c r="E899" s="347" t="s">
        <v>131</v>
      </c>
      <c r="F899" s="412"/>
      <c r="G899" s="342"/>
      <c r="H899" s="344">
        <v>100</v>
      </c>
      <c r="I899" s="345">
        <v>54.3</v>
      </c>
      <c r="J899" s="345">
        <f>I899*H899</f>
        <v>5430</v>
      </c>
      <c r="K899" s="320">
        <f>J899*1.2</f>
        <v>6516</v>
      </c>
      <c r="L899" s="342">
        <v>6516</v>
      </c>
      <c r="M899" s="373">
        <v>45484</v>
      </c>
      <c r="N899" s="342">
        <f>+Table7[[#This Row],[стойност с ДДС]]-Table7[[#This Row],[направено плащане]]</f>
        <v>0</v>
      </c>
      <c r="O899" s="346"/>
    </row>
    <row r="900" spans="1:15" ht="20.100000000000001" customHeight="1" x14ac:dyDescent="0.3">
      <c r="A900" s="206" t="s">
        <v>1374</v>
      </c>
      <c r="B900" s="381" t="s">
        <v>1375</v>
      </c>
      <c r="C900" s="373">
        <v>45322</v>
      </c>
      <c r="D900" s="343"/>
      <c r="E900" s="353" t="s">
        <v>422</v>
      </c>
      <c r="F900" s="412"/>
      <c r="G900" s="342"/>
      <c r="H900" s="344">
        <v>1</v>
      </c>
      <c r="I900" s="345">
        <v>12489.02</v>
      </c>
      <c r="J900" s="320">
        <v>12489.02</v>
      </c>
      <c r="K900" s="320">
        <v>12489.02</v>
      </c>
      <c r="L900" s="320">
        <v>12489.02</v>
      </c>
      <c r="M900" s="373">
        <v>45482</v>
      </c>
      <c r="N900" s="342">
        <f>+Table7[[#This Row],[стойност с ДДС]]-Table7[[#This Row],[направено плащане]]</f>
        <v>0</v>
      </c>
      <c r="O900" s="346"/>
    </row>
    <row r="901" spans="1:15" ht="20.100000000000001" customHeight="1" x14ac:dyDescent="0.3">
      <c r="A901" s="206" t="s">
        <v>413</v>
      </c>
      <c r="B901" s="381" t="s">
        <v>1376</v>
      </c>
      <c r="C901" s="373"/>
      <c r="D901" s="343"/>
      <c r="E901" s="353" t="s">
        <v>415</v>
      </c>
      <c r="F901" s="412"/>
      <c r="G901" s="342"/>
      <c r="H901" s="344"/>
      <c r="I901" s="345"/>
      <c r="J901" s="345">
        <v>3000.73</v>
      </c>
      <c r="K901" s="320">
        <v>3000.73</v>
      </c>
      <c r="L901" s="342">
        <v>3000.73</v>
      </c>
      <c r="M901" s="373">
        <v>45482</v>
      </c>
      <c r="N901" s="342">
        <f>+Table7[[#This Row],[стойност с ДДС]]-Table7[[#This Row],[направено плащане]]</f>
        <v>0</v>
      </c>
      <c r="O901" s="346"/>
    </row>
    <row r="902" spans="1:15" ht="20.100000000000001" customHeight="1" x14ac:dyDescent="0.25">
      <c r="A902" s="206" t="s">
        <v>99</v>
      </c>
      <c r="B902" s="381" t="s">
        <v>1463</v>
      </c>
      <c r="C902" s="373">
        <v>45478</v>
      </c>
      <c r="D902" s="343"/>
      <c r="E902" s="347" t="s">
        <v>328</v>
      </c>
      <c r="F902" s="412"/>
      <c r="G902" s="342"/>
      <c r="H902" s="344">
        <v>1994.3219999999999</v>
      </c>
      <c r="I902" s="345">
        <v>1</v>
      </c>
      <c r="J902" s="345">
        <v>112813.37</v>
      </c>
      <c r="K902" s="320">
        <f>J902*1.2</f>
        <v>135376.04399999999</v>
      </c>
      <c r="L902" s="342">
        <v>135376.04399999999</v>
      </c>
      <c r="M902" s="373">
        <v>45497</v>
      </c>
      <c r="N902" s="342">
        <f>+Table7[[#This Row],[стойност с ДДС]]-Table7[[#This Row],[направено плащане]]</f>
        <v>0</v>
      </c>
      <c r="O902" s="346"/>
    </row>
    <row r="903" spans="1:15" ht="20.100000000000001" customHeight="1" x14ac:dyDescent="0.25">
      <c r="A903" s="206" t="s">
        <v>1017</v>
      </c>
      <c r="B903" s="381" t="s">
        <v>1377</v>
      </c>
      <c r="C903" s="373">
        <v>45478</v>
      </c>
      <c r="D903" s="343"/>
      <c r="E903" s="347" t="s">
        <v>131</v>
      </c>
      <c r="F903" s="412" t="s">
        <v>1378</v>
      </c>
      <c r="G903" s="342"/>
      <c r="H903" s="344">
        <v>1000</v>
      </c>
      <c r="I903" s="345">
        <v>54.1</v>
      </c>
      <c r="J903" s="345">
        <f>I903*H903</f>
        <v>54100</v>
      </c>
      <c r="K903" s="320">
        <f>J903*1.2</f>
        <v>64920</v>
      </c>
      <c r="L903" s="342">
        <v>64920</v>
      </c>
      <c r="M903" s="373">
        <v>45483</v>
      </c>
      <c r="N903" s="342">
        <f>+Table7[[#This Row],[стойност с ДДС]]-Table7[[#This Row],[направено плащане]]</f>
        <v>0</v>
      </c>
      <c r="O903" s="346"/>
    </row>
    <row r="904" spans="1:15" ht="20.100000000000001" customHeight="1" x14ac:dyDescent="0.25">
      <c r="A904" s="206" t="s">
        <v>118</v>
      </c>
      <c r="B904" s="381" t="s">
        <v>1379</v>
      </c>
      <c r="C904" s="373">
        <v>45479</v>
      </c>
      <c r="D904" s="343"/>
      <c r="E904" s="347" t="s">
        <v>131</v>
      </c>
      <c r="F904" s="412" t="s">
        <v>1380</v>
      </c>
      <c r="G904" s="342"/>
      <c r="H904" s="344">
        <v>50</v>
      </c>
      <c r="I904" s="345">
        <v>54.2</v>
      </c>
      <c r="J904" s="345">
        <f>I904*H904</f>
        <v>2710</v>
      </c>
      <c r="K904" s="320">
        <f>J904*1.2</f>
        <v>3252</v>
      </c>
      <c r="L904" s="342">
        <v>3252</v>
      </c>
      <c r="M904" s="373">
        <v>45484</v>
      </c>
      <c r="N904" s="342">
        <f>+Table7[[#This Row],[стойност с ДДС]]-Table7[[#This Row],[направено плащане]]</f>
        <v>0</v>
      </c>
      <c r="O904" s="346"/>
    </row>
    <row r="905" spans="1:15" ht="20.100000000000001" customHeight="1" x14ac:dyDescent="0.25">
      <c r="A905" s="206" t="s">
        <v>118</v>
      </c>
      <c r="B905" s="378" t="s">
        <v>1381</v>
      </c>
      <c r="C905" s="371">
        <v>45478</v>
      </c>
      <c r="D905" s="337"/>
      <c r="E905" s="347" t="s">
        <v>131</v>
      </c>
      <c r="F905" s="409" t="s">
        <v>1382</v>
      </c>
      <c r="G905" s="322"/>
      <c r="H905" s="324">
        <v>800</v>
      </c>
      <c r="I905" s="325">
        <v>54</v>
      </c>
      <c r="J905" s="325">
        <f>I905*H905</f>
        <v>43200</v>
      </c>
      <c r="K905" s="318">
        <f>J905*1.2</f>
        <v>51840</v>
      </c>
      <c r="L905" s="322">
        <v>51840</v>
      </c>
      <c r="M905" s="371">
        <v>45484</v>
      </c>
      <c r="N905" s="322">
        <f>+Table7[[#This Row],[стойност с ДДС]]-Table7[[#This Row],[направено плащане]]</f>
        <v>0</v>
      </c>
      <c r="O905" s="327"/>
    </row>
    <row r="906" spans="1:15" ht="20.100000000000001" customHeight="1" x14ac:dyDescent="0.25">
      <c r="A906" s="206" t="s">
        <v>118</v>
      </c>
      <c r="B906" s="378" t="s">
        <v>1383</v>
      </c>
      <c r="C906" s="371">
        <v>45480</v>
      </c>
      <c r="D906" s="337"/>
      <c r="E906" s="347" t="s">
        <v>131</v>
      </c>
      <c r="F906" s="409" t="s">
        <v>1384</v>
      </c>
      <c r="G906" s="322"/>
      <c r="H906" s="324">
        <v>500</v>
      </c>
      <c r="I906" s="325">
        <v>54.2</v>
      </c>
      <c r="J906" s="325">
        <f>I906*H906</f>
        <v>27100</v>
      </c>
      <c r="K906" s="318">
        <f>J906*1.2</f>
        <v>32520</v>
      </c>
      <c r="L906" s="322">
        <v>32520</v>
      </c>
      <c r="M906" s="371">
        <v>45484</v>
      </c>
      <c r="N906" s="322">
        <f>+Table7[[#This Row],[стойност с ДДС]]-Table7[[#This Row],[направено плащане]]</f>
        <v>0</v>
      </c>
      <c r="O906" s="327"/>
    </row>
    <row r="907" spans="1:15" ht="20.100000000000001" customHeight="1" x14ac:dyDescent="0.25">
      <c r="A907" s="151" t="s">
        <v>118</v>
      </c>
      <c r="B907" s="378" t="s">
        <v>1383</v>
      </c>
      <c r="C907" s="371">
        <v>45480</v>
      </c>
      <c r="D907" s="337"/>
      <c r="E907" s="328" t="s">
        <v>131</v>
      </c>
      <c r="F907" s="409" t="s">
        <v>1385</v>
      </c>
      <c r="G907" s="322"/>
      <c r="H907" s="324">
        <v>50</v>
      </c>
      <c r="I907" s="325">
        <v>53.5</v>
      </c>
      <c r="J907" s="325">
        <f t="shared" ref="J907:J908" si="130">I907*H907</f>
        <v>2675</v>
      </c>
      <c r="K907" s="318">
        <f t="shared" ref="K907:K908" si="131">J907*1.2</f>
        <v>3210</v>
      </c>
      <c r="L907" s="322">
        <v>3210</v>
      </c>
      <c r="M907" s="371">
        <v>45484</v>
      </c>
      <c r="N907" s="322">
        <f>+Table7[[#This Row],[стойност с ДДС]]-Table7[[#This Row],[направено плащане]]</f>
        <v>0</v>
      </c>
      <c r="O907" s="327"/>
    </row>
    <row r="908" spans="1:15" ht="20.100000000000001" customHeight="1" x14ac:dyDescent="0.25">
      <c r="A908" s="206" t="s">
        <v>118</v>
      </c>
      <c r="B908" s="381" t="s">
        <v>1383</v>
      </c>
      <c r="C908" s="373">
        <v>45480</v>
      </c>
      <c r="D908" s="343"/>
      <c r="E908" s="347" t="s">
        <v>131</v>
      </c>
      <c r="F908" s="412" t="s">
        <v>1386</v>
      </c>
      <c r="G908" s="342"/>
      <c r="H908" s="344">
        <v>500</v>
      </c>
      <c r="I908" s="345">
        <v>54.1</v>
      </c>
      <c r="J908" s="345">
        <f t="shared" si="130"/>
        <v>27050</v>
      </c>
      <c r="K908" s="320">
        <f t="shared" si="131"/>
        <v>32460</v>
      </c>
      <c r="L908" s="342">
        <v>32460</v>
      </c>
      <c r="M908" s="373">
        <v>45484</v>
      </c>
      <c r="N908" s="342">
        <f>+Table7[[#This Row],[стойност с ДДС]]-Table7[[#This Row],[направено плащане]]</f>
        <v>0</v>
      </c>
      <c r="O908" s="346"/>
    </row>
    <row r="909" spans="1:15" ht="20.100000000000001" customHeight="1" x14ac:dyDescent="0.25">
      <c r="A909" s="206" t="s">
        <v>159</v>
      </c>
      <c r="B909" s="381" t="s">
        <v>1387</v>
      </c>
      <c r="C909" s="373">
        <v>45480</v>
      </c>
      <c r="D909" s="343"/>
      <c r="E909" s="347" t="s">
        <v>131</v>
      </c>
      <c r="F909" s="412" t="s">
        <v>1388</v>
      </c>
      <c r="G909" s="342"/>
      <c r="H909" s="344">
        <v>1000</v>
      </c>
      <c r="I909" s="345">
        <f>27.71202*1.9563</f>
        <v>54.213024725999993</v>
      </c>
      <c r="J909" s="345">
        <f>I909*H909</f>
        <v>54213.024725999996</v>
      </c>
      <c r="K909" s="320">
        <v>54213.024725999996</v>
      </c>
      <c r="L909" s="342">
        <v>54213.024725999996</v>
      </c>
      <c r="M909" s="373">
        <v>45484</v>
      </c>
      <c r="N909" s="342">
        <f>+Table7[[#This Row],[стойност с ДДС]]-Table7[[#This Row],[направено плащане]]</f>
        <v>0</v>
      </c>
      <c r="O909" s="346"/>
    </row>
    <row r="910" spans="1:15" ht="20.100000000000001" customHeight="1" x14ac:dyDescent="0.25">
      <c r="A910" s="206" t="s">
        <v>159</v>
      </c>
      <c r="B910" s="381" t="s">
        <v>1387</v>
      </c>
      <c r="C910" s="373">
        <v>45480</v>
      </c>
      <c r="D910" s="343"/>
      <c r="E910" s="347" t="s">
        <v>131</v>
      </c>
      <c r="F910" s="412" t="s">
        <v>1389</v>
      </c>
      <c r="G910" s="342"/>
      <c r="H910" s="344">
        <v>500</v>
      </c>
      <c r="I910" s="345">
        <f>27.66089*1.9563</f>
        <v>54.112999106999993</v>
      </c>
      <c r="J910" s="345">
        <f>I910*H910</f>
        <v>27056.499553499998</v>
      </c>
      <c r="K910" s="320">
        <v>27056.499553499998</v>
      </c>
      <c r="L910" s="342">
        <v>27056.499553499998</v>
      </c>
      <c r="M910" s="373">
        <v>45484</v>
      </c>
      <c r="N910" s="342">
        <f>+Table7[[#This Row],[стойност с ДДС]]-Table7[[#This Row],[направено плащане]]</f>
        <v>0</v>
      </c>
      <c r="O910" s="346"/>
    </row>
    <row r="911" spans="1:15" ht="20.100000000000001" customHeight="1" x14ac:dyDescent="0.25">
      <c r="A911" s="206" t="s">
        <v>99</v>
      </c>
      <c r="B911" s="381" t="s">
        <v>1390</v>
      </c>
      <c r="C911" s="373">
        <v>45478</v>
      </c>
      <c r="D911" s="343"/>
      <c r="E911" s="347" t="s">
        <v>458</v>
      </c>
      <c r="F911" s="412"/>
      <c r="G911" s="342"/>
      <c r="H911" s="344">
        <v>6620</v>
      </c>
      <c r="I911" s="345"/>
      <c r="J911" s="345">
        <v>161761.26999999999</v>
      </c>
      <c r="K911" s="320">
        <f>J911*1.2</f>
        <v>194113.52399999998</v>
      </c>
      <c r="L911" s="342">
        <v>194113.52399999998</v>
      </c>
      <c r="M911" s="371">
        <v>45484</v>
      </c>
      <c r="N911" s="342">
        <f>+Table7[[#This Row],[стойност с ДДС]]-Table7[[#This Row],[направено плащане]]</f>
        <v>0</v>
      </c>
      <c r="O911" s="346"/>
    </row>
    <row r="912" spans="1:15" ht="20.100000000000001" customHeight="1" x14ac:dyDescent="0.25">
      <c r="A912" s="206" t="s">
        <v>99</v>
      </c>
      <c r="B912" s="378" t="s">
        <v>1391</v>
      </c>
      <c r="C912" s="371">
        <v>45478</v>
      </c>
      <c r="D912" s="337"/>
      <c r="E912" s="328" t="s">
        <v>121</v>
      </c>
      <c r="F912" s="409"/>
      <c r="G912" s="322"/>
      <c r="H912" s="324">
        <v>969</v>
      </c>
      <c r="I912" s="325"/>
      <c r="J912" s="325">
        <v>991.87</v>
      </c>
      <c r="K912" s="320">
        <f t="shared" ref="K912:K918" si="132">J912*1.2</f>
        <v>1190.2439999999999</v>
      </c>
      <c r="L912" s="322">
        <v>1190.2439999999999</v>
      </c>
      <c r="M912" s="373">
        <v>45484</v>
      </c>
      <c r="N912" s="322">
        <f>+Table7[[#This Row],[стойност с ДДС]]-Table7[[#This Row],[направено плащане]]</f>
        <v>0</v>
      </c>
      <c r="O912" s="327"/>
    </row>
    <row r="913" spans="1:15" ht="20.100000000000001" customHeight="1" x14ac:dyDescent="0.25">
      <c r="A913" s="151" t="s">
        <v>99</v>
      </c>
      <c r="B913" s="378" t="s">
        <v>1391</v>
      </c>
      <c r="C913" s="371">
        <v>45478</v>
      </c>
      <c r="D913" s="337"/>
      <c r="E913" s="328" t="s">
        <v>461</v>
      </c>
      <c r="F913" s="409"/>
      <c r="G913" s="322"/>
      <c r="H913" s="324">
        <v>702</v>
      </c>
      <c r="I913" s="325"/>
      <c r="J913" s="325">
        <v>903.21</v>
      </c>
      <c r="K913" s="320">
        <f t="shared" si="132"/>
        <v>1083.8520000000001</v>
      </c>
      <c r="L913" s="322">
        <v>1083.8520000000001</v>
      </c>
      <c r="M913" s="373">
        <v>45484</v>
      </c>
      <c r="N913" s="322">
        <f>+Table7[[#This Row],[стойност с ДДС]]-Table7[[#This Row],[направено плащане]]</f>
        <v>0</v>
      </c>
      <c r="O913" s="327"/>
    </row>
    <row r="914" spans="1:15" ht="20.100000000000001" customHeight="1" x14ac:dyDescent="0.25">
      <c r="A914" s="151" t="s">
        <v>99</v>
      </c>
      <c r="B914" s="378" t="s">
        <v>1391</v>
      </c>
      <c r="C914" s="371">
        <v>45478</v>
      </c>
      <c r="D914" s="337"/>
      <c r="E914" s="328" t="s">
        <v>462</v>
      </c>
      <c r="F914" s="409"/>
      <c r="G914" s="322"/>
      <c r="H914" s="324">
        <v>50591.705999999998</v>
      </c>
      <c r="I914" s="325"/>
      <c r="J914" s="325">
        <v>10406.709999999999</v>
      </c>
      <c r="K914" s="320">
        <f t="shared" si="132"/>
        <v>12488.051999999998</v>
      </c>
      <c r="L914" s="322">
        <v>12488.051999999998</v>
      </c>
      <c r="M914" s="373">
        <v>45484</v>
      </c>
      <c r="N914" s="322">
        <f>+Table7[[#This Row],[стойност с ДДС]]-Table7[[#This Row],[направено плащане]]</f>
        <v>0</v>
      </c>
      <c r="O914" s="327"/>
    </row>
    <row r="915" spans="1:15" ht="20.100000000000001" customHeight="1" x14ac:dyDescent="0.25">
      <c r="A915" s="151" t="s">
        <v>99</v>
      </c>
      <c r="B915" s="378" t="s">
        <v>1391</v>
      </c>
      <c r="C915" s="371">
        <v>45478</v>
      </c>
      <c r="D915" s="337"/>
      <c r="E915" s="328" t="s">
        <v>463</v>
      </c>
      <c r="F915" s="409"/>
      <c r="G915" s="322"/>
      <c r="H915" s="324">
        <v>50591.705999999998</v>
      </c>
      <c r="I915" s="325"/>
      <c r="J915" s="325">
        <v>14712.06</v>
      </c>
      <c r="K915" s="320">
        <f t="shared" si="132"/>
        <v>17654.471999999998</v>
      </c>
      <c r="L915" s="322">
        <v>17654.471999999998</v>
      </c>
      <c r="M915" s="371">
        <v>45484</v>
      </c>
      <c r="N915" s="322">
        <f>+Table7[[#This Row],[стойност с ДДС]]-Table7[[#This Row],[направено плащане]]</f>
        <v>0</v>
      </c>
      <c r="O915" s="327"/>
    </row>
    <row r="916" spans="1:15" ht="20.100000000000001" customHeight="1" x14ac:dyDescent="0.25">
      <c r="A916" s="151" t="s">
        <v>99</v>
      </c>
      <c r="B916" s="378" t="s">
        <v>1391</v>
      </c>
      <c r="C916" s="371">
        <v>45478</v>
      </c>
      <c r="D916" s="337"/>
      <c r="E916" s="328" t="s">
        <v>464</v>
      </c>
      <c r="F916" s="409"/>
      <c r="G916" s="322"/>
      <c r="H916" s="324">
        <v>25793.978999999999</v>
      </c>
      <c r="I916" s="325"/>
      <c r="J916" s="325">
        <v>680.97</v>
      </c>
      <c r="K916" s="320">
        <f t="shared" si="132"/>
        <v>817.16399999999999</v>
      </c>
      <c r="L916" s="322">
        <v>817.16399999999999</v>
      </c>
      <c r="M916" s="373">
        <v>45484</v>
      </c>
      <c r="N916" s="322">
        <f>+Table7[[#This Row],[стойност с ДДС]]-Table7[[#This Row],[направено плащане]]</f>
        <v>0</v>
      </c>
      <c r="O916" s="327"/>
    </row>
    <row r="917" spans="1:15" ht="20.100000000000001" customHeight="1" x14ac:dyDescent="0.25">
      <c r="A917" s="151" t="s">
        <v>99</v>
      </c>
      <c r="B917" s="378" t="s">
        <v>1391</v>
      </c>
      <c r="C917" s="371">
        <v>45478</v>
      </c>
      <c r="D917" s="337"/>
      <c r="E917" s="328" t="s">
        <v>465</v>
      </c>
      <c r="F917" s="409"/>
      <c r="G917" s="322"/>
      <c r="H917" s="324">
        <v>50591.76</v>
      </c>
      <c r="I917" s="325"/>
      <c r="J917" s="325">
        <v>-1760.58</v>
      </c>
      <c r="K917" s="320">
        <f t="shared" si="132"/>
        <v>-2112.6959999999999</v>
      </c>
      <c r="L917" s="322">
        <v>-2112.6959999999999</v>
      </c>
      <c r="M917" s="373">
        <v>45484</v>
      </c>
      <c r="N917" s="322">
        <f>+Table7[[#This Row],[стойност с ДДС]]-Table7[[#This Row],[направено плащане]]</f>
        <v>0</v>
      </c>
      <c r="O917" s="327"/>
    </row>
    <row r="918" spans="1:15" ht="20.100000000000001" customHeight="1" x14ac:dyDescent="0.25">
      <c r="A918" s="206" t="s">
        <v>99</v>
      </c>
      <c r="B918" s="381" t="s">
        <v>1391</v>
      </c>
      <c r="C918" s="373">
        <v>45478</v>
      </c>
      <c r="D918" s="343"/>
      <c r="E918" s="347" t="s">
        <v>466</v>
      </c>
      <c r="F918" s="412"/>
      <c r="G918" s="342"/>
      <c r="H918" s="344">
        <v>187.666</v>
      </c>
      <c r="I918" s="345"/>
      <c r="J918" s="345">
        <v>619.62</v>
      </c>
      <c r="K918" s="320">
        <f t="shared" si="132"/>
        <v>743.54399999999998</v>
      </c>
      <c r="L918" s="342">
        <v>743.54399999999998</v>
      </c>
      <c r="M918" s="373">
        <v>45484</v>
      </c>
      <c r="N918" s="342">
        <f>+Table7[[#This Row],[стойност с ДДС]]-Table7[[#This Row],[направено плащане]]</f>
        <v>0</v>
      </c>
      <c r="O918" s="346"/>
    </row>
    <row r="919" spans="1:15" ht="20.100000000000001" customHeight="1" x14ac:dyDescent="0.25">
      <c r="A919" s="206" t="s">
        <v>118</v>
      </c>
      <c r="B919" s="381" t="s">
        <v>1398</v>
      </c>
      <c r="C919" s="373">
        <v>45481</v>
      </c>
      <c r="D919" s="343"/>
      <c r="E919" s="347" t="s">
        <v>131</v>
      </c>
      <c r="F919" s="412" t="s">
        <v>1399</v>
      </c>
      <c r="G919" s="342"/>
      <c r="H919" s="344">
        <v>500</v>
      </c>
      <c r="I919" s="345">
        <v>54.05</v>
      </c>
      <c r="J919" s="345">
        <f>I919*H919</f>
        <v>27025</v>
      </c>
      <c r="K919" s="320">
        <f>J919*1.2</f>
        <v>32430</v>
      </c>
      <c r="L919" s="342">
        <v>32430</v>
      </c>
      <c r="M919" s="373">
        <v>45485</v>
      </c>
      <c r="N919" s="342">
        <f>+Table7[[#This Row],[стойност с ДДС]]-Table7[[#This Row],[направено плащане]]</f>
        <v>0</v>
      </c>
      <c r="O919" s="346"/>
    </row>
    <row r="920" spans="1:15" ht="20.100000000000001" customHeight="1" x14ac:dyDescent="0.25">
      <c r="A920" s="151" t="s">
        <v>118</v>
      </c>
      <c r="B920" s="378" t="s">
        <v>1398</v>
      </c>
      <c r="C920" s="371">
        <v>45481</v>
      </c>
      <c r="D920" s="337"/>
      <c r="E920" s="328" t="s">
        <v>131</v>
      </c>
      <c r="F920" s="409" t="s">
        <v>1400</v>
      </c>
      <c r="G920" s="322"/>
      <c r="H920" s="324">
        <v>500</v>
      </c>
      <c r="I920" s="325">
        <v>54.05</v>
      </c>
      <c r="J920" s="325">
        <f t="shared" ref="J920:J921" si="133">I920*H920</f>
        <v>27025</v>
      </c>
      <c r="K920" s="318">
        <f t="shared" ref="K920:K921" si="134">J920*1.2</f>
        <v>32430</v>
      </c>
      <c r="L920" s="322">
        <v>32430</v>
      </c>
      <c r="M920" s="371">
        <v>45485</v>
      </c>
      <c r="N920" s="322">
        <f>+Table7[[#This Row],[стойност с ДДС]]-Table7[[#This Row],[направено плащане]]</f>
        <v>0</v>
      </c>
      <c r="O920" s="327"/>
    </row>
    <row r="921" spans="1:15" ht="20.100000000000001" customHeight="1" x14ac:dyDescent="0.25">
      <c r="A921" s="206" t="s">
        <v>118</v>
      </c>
      <c r="B921" s="381" t="s">
        <v>1398</v>
      </c>
      <c r="C921" s="373">
        <v>45481</v>
      </c>
      <c r="D921" s="343"/>
      <c r="E921" s="328" t="s">
        <v>131</v>
      </c>
      <c r="F921" s="412" t="s">
        <v>1401</v>
      </c>
      <c r="G921" s="342"/>
      <c r="H921" s="344">
        <v>350</v>
      </c>
      <c r="I921" s="345"/>
      <c r="J921" s="345">
        <f t="shared" si="133"/>
        <v>0</v>
      </c>
      <c r="K921" s="320">
        <f t="shared" si="134"/>
        <v>0</v>
      </c>
      <c r="L921" s="342">
        <v>0</v>
      </c>
      <c r="M921" s="373">
        <v>45485</v>
      </c>
      <c r="N921" s="342">
        <f>+Table7[[#This Row],[стойност с ДДС]]-Table7[[#This Row],[направено плащане]]</f>
        <v>0</v>
      </c>
      <c r="O921" s="346"/>
    </row>
    <row r="922" spans="1:15" ht="20.100000000000001" customHeight="1" x14ac:dyDescent="0.25">
      <c r="A922" s="206" t="s">
        <v>444</v>
      </c>
      <c r="B922" s="381" t="s">
        <v>1404</v>
      </c>
      <c r="C922" s="373">
        <v>45473</v>
      </c>
      <c r="D922" s="343"/>
      <c r="E922" s="347" t="s">
        <v>131</v>
      </c>
      <c r="F922" s="412" t="s">
        <v>1405</v>
      </c>
      <c r="G922" s="342"/>
      <c r="H922" s="344">
        <v>20</v>
      </c>
      <c r="I922" s="345">
        <v>52.5</v>
      </c>
      <c r="J922" s="345">
        <f>I922*H922</f>
        <v>1050</v>
      </c>
      <c r="K922" s="320">
        <f>J922*1.2</f>
        <v>1260</v>
      </c>
      <c r="L922" s="342">
        <v>1260</v>
      </c>
      <c r="M922" s="373">
        <v>45484</v>
      </c>
      <c r="N922" s="342">
        <f>+Table7[[#This Row],[стойност с ДДС]]-Table7[[#This Row],[направено плащане]]</f>
        <v>0</v>
      </c>
      <c r="O922" s="346"/>
    </row>
    <row r="923" spans="1:15" ht="20.100000000000001" customHeight="1" x14ac:dyDescent="0.25">
      <c r="A923" s="206" t="s">
        <v>444</v>
      </c>
      <c r="B923" s="378" t="s">
        <v>1406</v>
      </c>
      <c r="C923" s="371">
        <v>45478</v>
      </c>
      <c r="D923" s="337"/>
      <c r="E923" s="347" t="s">
        <v>131</v>
      </c>
      <c r="F923" s="409" t="s">
        <v>1407</v>
      </c>
      <c r="G923" s="322"/>
      <c r="H923" s="324">
        <v>40</v>
      </c>
      <c r="I923" s="325">
        <v>54.5</v>
      </c>
      <c r="J923" s="325">
        <f>I923*H923</f>
        <v>2180</v>
      </c>
      <c r="K923" s="318">
        <f>J923*1.2</f>
        <v>2616</v>
      </c>
      <c r="L923" s="322">
        <v>2616</v>
      </c>
      <c r="M923" s="371">
        <v>45484</v>
      </c>
      <c r="N923" s="322">
        <f>+Table7[[#This Row],[стойност с ДДС]]-Table7[[#This Row],[направено плащане]]</f>
        <v>0</v>
      </c>
      <c r="O923" s="327"/>
    </row>
    <row r="924" spans="1:15" ht="20.100000000000001" customHeight="1" x14ac:dyDescent="0.3">
      <c r="A924" s="206" t="s">
        <v>448</v>
      </c>
      <c r="B924" s="381" t="s">
        <v>1408</v>
      </c>
      <c r="C924" s="373">
        <v>45473</v>
      </c>
      <c r="D924" s="343"/>
      <c r="E924" s="332" t="s">
        <v>450</v>
      </c>
      <c r="F924" s="412"/>
      <c r="G924" s="342"/>
      <c r="H924" s="344">
        <v>1</v>
      </c>
      <c r="I924" s="345">
        <v>750</v>
      </c>
      <c r="J924" s="345"/>
      <c r="K924" s="320">
        <v>296.29000000000002</v>
      </c>
      <c r="L924" s="342">
        <v>296.29000000000002</v>
      </c>
      <c r="M924" s="373">
        <v>45488</v>
      </c>
      <c r="N924" s="342">
        <f>+Table7[[#This Row],[стойност с ДДС]]-Table7[[#This Row],[направено плащане]]</f>
        <v>0</v>
      </c>
      <c r="O924" s="346"/>
    </row>
    <row r="925" spans="1:15" ht="20.100000000000001" customHeight="1" x14ac:dyDescent="0.3">
      <c r="A925" s="206" t="s">
        <v>448</v>
      </c>
      <c r="B925" s="378" t="s">
        <v>1409</v>
      </c>
      <c r="C925" s="371">
        <v>45473</v>
      </c>
      <c r="D925" s="337"/>
      <c r="E925" s="332" t="s">
        <v>450</v>
      </c>
      <c r="F925" s="409"/>
      <c r="G925" s="322"/>
      <c r="H925" s="324">
        <v>35</v>
      </c>
      <c r="I925" s="325">
        <v>5.5E-2</v>
      </c>
      <c r="J925" s="325"/>
      <c r="K925" s="318"/>
      <c r="L925" s="322"/>
      <c r="M925" s="371"/>
      <c r="N925" s="322">
        <f>+Table7[[#This Row],[стойност с ДДС]]-Table7[[#This Row],[направено плащане]]</f>
        <v>0</v>
      </c>
      <c r="O925" s="327"/>
    </row>
    <row r="926" spans="1:15" ht="20.100000000000001" customHeight="1" x14ac:dyDescent="0.3">
      <c r="A926" s="206" t="s">
        <v>448</v>
      </c>
      <c r="B926" s="381" t="s">
        <v>1409</v>
      </c>
      <c r="C926" s="373">
        <v>45473</v>
      </c>
      <c r="D926" s="343"/>
      <c r="E926" s="332" t="s">
        <v>450</v>
      </c>
      <c r="F926" s="412"/>
      <c r="G926" s="342"/>
      <c r="H926" s="344">
        <v>1</v>
      </c>
      <c r="I926" s="345">
        <v>2</v>
      </c>
      <c r="J926" s="345"/>
      <c r="K926" s="320"/>
      <c r="L926" s="342"/>
      <c r="M926" s="373"/>
      <c r="N926" s="342">
        <f>+Table7[[#This Row],[стойност с ДДС]]-Table7[[#This Row],[направено плащане]]</f>
        <v>0</v>
      </c>
      <c r="O926" s="346"/>
    </row>
    <row r="927" spans="1:15" ht="20.100000000000001" customHeight="1" x14ac:dyDescent="0.25">
      <c r="A927" s="206" t="s">
        <v>118</v>
      </c>
      <c r="B927" s="381" t="s">
        <v>1410</v>
      </c>
      <c r="C927" s="373">
        <v>45482</v>
      </c>
      <c r="D927" s="343"/>
      <c r="E927" s="347" t="s">
        <v>131</v>
      </c>
      <c r="F927" s="412"/>
      <c r="G927" s="342"/>
      <c r="H927" s="344">
        <v>470</v>
      </c>
      <c r="I927" s="345">
        <v>53</v>
      </c>
      <c r="J927" s="345">
        <f t="shared" ref="J927:J935" si="135">I927*H927</f>
        <v>24910</v>
      </c>
      <c r="K927" s="320">
        <f>J927*1.2</f>
        <v>29892</v>
      </c>
      <c r="L927" s="342">
        <v>29892</v>
      </c>
      <c r="M927" s="373">
        <v>45488</v>
      </c>
      <c r="N927" s="342">
        <f>+Table7[[#This Row],[стойност с ДДС]]-Table7[[#This Row],[направено плащане]]</f>
        <v>0</v>
      </c>
      <c r="O927" s="346"/>
    </row>
    <row r="928" spans="1:15" ht="20.100000000000001" customHeight="1" x14ac:dyDescent="0.25">
      <c r="A928" s="206" t="s">
        <v>159</v>
      </c>
      <c r="B928" s="381" t="s">
        <v>1411</v>
      </c>
      <c r="C928" s="373">
        <v>45482</v>
      </c>
      <c r="D928" s="343"/>
      <c r="E928" s="347" t="s">
        <v>131</v>
      </c>
      <c r="F928" s="412" t="s">
        <v>1412</v>
      </c>
      <c r="G928" s="342"/>
      <c r="H928" s="344">
        <v>900</v>
      </c>
      <c r="I928" s="345">
        <f>27.09847*1.9563</f>
        <v>53.012736860999993</v>
      </c>
      <c r="J928" s="345">
        <f t="shared" si="135"/>
        <v>47711.463174899996</v>
      </c>
      <c r="K928" s="320">
        <v>47711.463174899996</v>
      </c>
      <c r="L928" s="342">
        <v>47711.463174899996</v>
      </c>
      <c r="M928" s="373">
        <v>45488</v>
      </c>
      <c r="N928" s="342">
        <f>+Table7[[#This Row],[стойност с ДДС]]-Table7[[#This Row],[направено плащане]]</f>
        <v>0</v>
      </c>
      <c r="O928" s="346"/>
    </row>
    <row r="929" spans="1:15" ht="20.100000000000001" customHeight="1" x14ac:dyDescent="0.25">
      <c r="A929" s="206" t="s">
        <v>159</v>
      </c>
      <c r="B929" s="381" t="s">
        <v>1411</v>
      </c>
      <c r="C929" s="373">
        <v>45482</v>
      </c>
      <c r="D929" s="343"/>
      <c r="E929" s="347" t="s">
        <v>131</v>
      </c>
      <c r="F929" s="412" t="s">
        <v>1413</v>
      </c>
      <c r="G929" s="342"/>
      <c r="H929" s="344">
        <v>37</v>
      </c>
      <c r="I929" s="345">
        <f>27.09847*1.9563</f>
        <v>53.012736860999993</v>
      </c>
      <c r="J929" s="345">
        <f t="shared" si="135"/>
        <v>1961.4712638569997</v>
      </c>
      <c r="K929" s="320">
        <v>1961.46</v>
      </c>
      <c r="L929" s="342">
        <v>1961.46</v>
      </c>
      <c r="M929" s="373">
        <v>45488</v>
      </c>
      <c r="N929" s="342">
        <f>+Table7[[#This Row],[стойност с ДДС]]-Table7[[#This Row],[направено плащане]]</f>
        <v>0</v>
      </c>
      <c r="O929" s="346"/>
    </row>
    <row r="930" spans="1:15" ht="20.100000000000001" customHeight="1" x14ac:dyDescent="0.25">
      <c r="A930" s="206" t="s">
        <v>253</v>
      </c>
      <c r="B930" s="381" t="s">
        <v>1414</v>
      </c>
      <c r="C930" s="373">
        <v>45482</v>
      </c>
      <c r="D930" s="343"/>
      <c r="E930" s="347" t="s">
        <v>131</v>
      </c>
      <c r="F930" s="412" t="s">
        <v>1415</v>
      </c>
      <c r="G930" s="342"/>
      <c r="H930" s="344">
        <v>13</v>
      </c>
      <c r="I930" s="345">
        <v>53</v>
      </c>
      <c r="J930" s="345">
        <f t="shared" si="135"/>
        <v>689</v>
      </c>
      <c r="K930" s="320">
        <f>J930*1.2</f>
        <v>826.8</v>
      </c>
      <c r="L930" s="342">
        <v>826.8</v>
      </c>
      <c r="M930" s="373">
        <v>45485</v>
      </c>
      <c r="N930" s="342">
        <f>+Table7[[#This Row],[стойност с ДДС]]-Table7[[#This Row],[направено плащане]]</f>
        <v>0</v>
      </c>
      <c r="O930" s="346"/>
    </row>
    <row r="931" spans="1:15" ht="20.100000000000001" customHeight="1" x14ac:dyDescent="0.3">
      <c r="A931" s="151" t="s">
        <v>527</v>
      </c>
      <c r="B931" s="378" t="s">
        <v>1664</v>
      </c>
      <c r="C931" s="371">
        <v>45481</v>
      </c>
      <c r="D931" s="337"/>
      <c r="E931" s="332" t="s">
        <v>786</v>
      </c>
      <c r="F931" s="409"/>
      <c r="G931" s="322"/>
      <c r="H931" s="325">
        <v>516</v>
      </c>
      <c r="I931" s="360">
        <v>1.9562999999999999</v>
      </c>
      <c r="J931" s="345">
        <f>+Table7[[#This Row],[единична цена]]*Table7[[#This Row],[Количество]]</f>
        <v>1009.4508</v>
      </c>
      <c r="K931" s="318">
        <v>1009.4508</v>
      </c>
      <c r="L931" s="322">
        <v>1009.4508</v>
      </c>
      <c r="M931" s="371">
        <v>45488</v>
      </c>
      <c r="N931" s="322">
        <f>+Table7[[#This Row],[стойност с ДДС]]-Table7[[#This Row],[направено плащане]]</f>
        <v>0</v>
      </c>
      <c r="O931" s="327"/>
    </row>
    <row r="932" spans="1:15" ht="20.100000000000001" customHeight="1" x14ac:dyDescent="0.3">
      <c r="A932" s="206" t="s">
        <v>527</v>
      </c>
      <c r="B932" s="381" t="s">
        <v>1665</v>
      </c>
      <c r="C932" s="373">
        <v>45481</v>
      </c>
      <c r="D932" s="343"/>
      <c r="E932" s="332" t="s">
        <v>786</v>
      </c>
      <c r="F932" s="412"/>
      <c r="G932" s="342"/>
      <c r="H932" s="344">
        <v>16.2</v>
      </c>
      <c r="I932" s="345">
        <v>1.9562999999999999</v>
      </c>
      <c r="J932" s="345">
        <f t="shared" si="135"/>
        <v>31.692059999999998</v>
      </c>
      <c r="K932" s="320">
        <v>31.692059999999998</v>
      </c>
      <c r="L932" s="342">
        <v>31.692059999999998</v>
      </c>
      <c r="M932" s="373">
        <v>45488</v>
      </c>
      <c r="N932" s="342">
        <f>+Table7[[#This Row],[стойност с ДДС]]-Table7[[#This Row],[направено плащане]]</f>
        <v>0</v>
      </c>
      <c r="O932" s="346"/>
    </row>
    <row r="933" spans="1:15" ht="20.100000000000001" customHeight="1" x14ac:dyDescent="0.25">
      <c r="A933" s="206" t="s">
        <v>118</v>
      </c>
      <c r="B933" s="381" t="s">
        <v>1416</v>
      </c>
      <c r="C933" s="373">
        <v>45483</v>
      </c>
      <c r="D933" s="343"/>
      <c r="E933" s="347" t="s">
        <v>131</v>
      </c>
      <c r="F933" s="412"/>
      <c r="G933" s="342"/>
      <c r="H933" s="344">
        <v>500</v>
      </c>
      <c r="I933" s="345">
        <v>52.8</v>
      </c>
      <c r="J933" s="345">
        <f t="shared" si="135"/>
        <v>26400</v>
      </c>
      <c r="K933" s="320">
        <f>J933*1.2</f>
        <v>31680</v>
      </c>
      <c r="L933" s="342">
        <v>31680</v>
      </c>
      <c r="M933" s="373">
        <v>45489</v>
      </c>
      <c r="N933" s="342">
        <f>+Table7[[#This Row],[стойност с ДДС]]-Table7[[#This Row],[направено плащане]]</f>
        <v>0</v>
      </c>
      <c r="O933" s="346"/>
    </row>
    <row r="934" spans="1:15" ht="20.100000000000001" customHeight="1" x14ac:dyDescent="0.25">
      <c r="A934" s="206" t="s">
        <v>159</v>
      </c>
      <c r="B934" s="381" t="s">
        <v>1417</v>
      </c>
      <c r="C934" s="373">
        <v>45483</v>
      </c>
      <c r="D934" s="343"/>
      <c r="E934" s="347" t="s">
        <v>131</v>
      </c>
      <c r="F934" s="412"/>
      <c r="G934" s="342"/>
      <c r="H934" s="344">
        <v>500</v>
      </c>
      <c r="I934" s="345">
        <f>26.9961*1.9563</f>
        <v>52.812470429999998</v>
      </c>
      <c r="J934" s="345">
        <f t="shared" si="135"/>
        <v>26406.235215000001</v>
      </c>
      <c r="K934" s="320">
        <v>26406.235215000001</v>
      </c>
      <c r="L934" s="342">
        <v>26406.235215000001</v>
      </c>
      <c r="M934" s="373">
        <v>45489</v>
      </c>
      <c r="N934" s="342">
        <f>+Table7[[#This Row],[стойност с ДДС]]-Table7[[#This Row],[направено плащане]]</f>
        <v>0</v>
      </c>
      <c r="O934" s="346"/>
    </row>
    <row r="935" spans="1:15" ht="20.100000000000001" customHeight="1" x14ac:dyDescent="0.25">
      <c r="A935" s="206" t="s">
        <v>159</v>
      </c>
      <c r="B935" s="381" t="s">
        <v>1417</v>
      </c>
      <c r="C935" s="373">
        <v>45483</v>
      </c>
      <c r="D935" s="343"/>
      <c r="E935" s="347" t="s">
        <v>131</v>
      </c>
      <c r="F935" s="412"/>
      <c r="G935" s="342"/>
      <c r="H935" s="344">
        <v>380</v>
      </c>
      <c r="I935" s="345">
        <f>26.97065*1.9563</f>
        <v>52.762682594999994</v>
      </c>
      <c r="J935" s="345">
        <f t="shared" si="135"/>
        <v>20049.819386099996</v>
      </c>
      <c r="K935" s="320">
        <v>20049.819386099996</v>
      </c>
      <c r="L935" s="342">
        <v>20049.819386099996</v>
      </c>
      <c r="M935" s="373">
        <v>45489</v>
      </c>
      <c r="N935" s="342">
        <f>+Table7[[#This Row],[стойност с ДДС]]-Table7[[#This Row],[направено плащане]]</f>
        <v>0</v>
      </c>
      <c r="O935" s="346"/>
    </row>
    <row r="936" spans="1:15" ht="20.100000000000001" customHeight="1" x14ac:dyDescent="0.25">
      <c r="A936" s="206" t="s">
        <v>253</v>
      </c>
      <c r="B936" s="381" t="s">
        <v>1418</v>
      </c>
      <c r="C936" s="373">
        <v>45485</v>
      </c>
      <c r="D936" s="343"/>
      <c r="E936" s="347" t="s">
        <v>131</v>
      </c>
      <c r="F936" s="412" t="s">
        <v>1419</v>
      </c>
      <c r="G936" s="342"/>
      <c r="H936" s="344">
        <v>40</v>
      </c>
      <c r="I936" s="345">
        <v>51.9</v>
      </c>
      <c r="J936" s="345">
        <f t="shared" ref="J936:J940" si="136">I936*H936</f>
        <v>2076</v>
      </c>
      <c r="K936" s="320">
        <f>J936*1.2</f>
        <v>2491.1999999999998</v>
      </c>
      <c r="L936" s="342">
        <v>2491.1999999999998</v>
      </c>
      <c r="M936" s="373">
        <v>45489</v>
      </c>
      <c r="N936" s="342">
        <f>+Table7[[#This Row],[стойност с ДДС]]-Table7[[#This Row],[направено плащане]]</f>
        <v>0</v>
      </c>
      <c r="O936" s="346"/>
    </row>
    <row r="937" spans="1:15" ht="20.100000000000001" customHeight="1" x14ac:dyDescent="0.25">
      <c r="A937" s="206" t="s">
        <v>1017</v>
      </c>
      <c r="B937" s="381" t="s">
        <v>1420</v>
      </c>
      <c r="C937" s="373">
        <v>45485</v>
      </c>
      <c r="D937" s="343"/>
      <c r="E937" s="347" t="s">
        <v>131</v>
      </c>
      <c r="F937" s="412" t="s">
        <v>1421</v>
      </c>
      <c r="G937" s="342"/>
      <c r="H937" s="344">
        <v>1000</v>
      </c>
      <c r="I937" s="345">
        <v>52</v>
      </c>
      <c r="J937" s="345">
        <f t="shared" si="136"/>
        <v>52000</v>
      </c>
      <c r="K937" s="320">
        <f>J937*1.2</f>
        <v>62400</v>
      </c>
      <c r="L937" s="342">
        <v>62400</v>
      </c>
      <c r="M937" s="373">
        <v>45490</v>
      </c>
      <c r="N937" s="342">
        <f>+Table7[[#This Row],[стойност с ДДС]]-Table7[[#This Row],[направено плащане]]</f>
        <v>0</v>
      </c>
      <c r="O937" s="346"/>
    </row>
    <row r="938" spans="1:15" ht="20.100000000000001" customHeight="1" x14ac:dyDescent="0.25">
      <c r="A938" s="206" t="s">
        <v>159</v>
      </c>
      <c r="B938" s="381" t="s">
        <v>1422</v>
      </c>
      <c r="C938" s="373">
        <v>45515</v>
      </c>
      <c r="D938" s="343"/>
      <c r="E938" s="347" t="s">
        <v>131</v>
      </c>
      <c r="F938" s="412" t="s">
        <v>1423</v>
      </c>
      <c r="G938" s="342"/>
      <c r="H938" s="344">
        <v>380</v>
      </c>
      <c r="I938" s="345">
        <v>26.84282</v>
      </c>
      <c r="J938" s="345">
        <f t="shared" si="136"/>
        <v>10200.2716</v>
      </c>
      <c r="K938" s="320">
        <v>19954.79</v>
      </c>
      <c r="L938" s="342">
        <v>19954.79</v>
      </c>
      <c r="M938" s="373">
        <v>45490</v>
      </c>
      <c r="N938" s="342">
        <f>+Table7[[#This Row],[стойност с ДДС]]-Table7[[#This Row],[направено плащане]]</f>
        <v>0</v>
      </c>
      <c r="O938" s="346"/>
    </row>
    <row r="939" spans="1:15" ht="20.100000000000001" customHeight="1" x14ac:dyDescent="0.25">
      <c r="A939" s="206" t="s">
        <v>101</v>
      </c>
      <c r="B939" s="388" t="s">
        <v>1424</v>
      </c>
      <c r="C939" s="373">
        <v>45484</v>
      </c>
      <c r="D939" s="343"/>
      <c r="E939" s="347" t="s">
        <v>131</v>
      </c>
      <c r="F939" s="412" t="s">
        <v>1425</v>
      </c>
      <c r="G939" s="342"/>
      <c r="H939" s="344">
        <v>40</v>
      </c>
      <c r="I939" s="345">
        <v>52</v>
      </c>
      <c r="J939" s="345">
        <f t="shared" si="136"/>
        <v>2080</v>
      </c>
      <c r="K939" s="320">
        <f>J939*1.2</f>
        <v>2496</v>
      </c>
      <c r="L939" s="342">
        <v>2496</v>
      </c>
      <c r="M939" s="373">
        <v>45489</v>
      </c>
      <c r="N939" s="342">
        <f>+Table7[[#This Row],[стойност с ДДС]]-Table7[[#This Row],[направено плащане]]</f>
        <v>0</v>
      </c>
      <c r="O939" s="346"/>
    </row>
    <row r="940" spans="1:15" ht="20.100000000000001" customHeight="1" x14ac:dyDescent="0.25">
      <c r="A940" s="206" t="s">
        <v>1017</v>
      </c>
      <c r="B940" s="381" t="s">
        <v>1426</v>
      </c>
      <c r="C940" s="373">
        <v>45484</v>
      </c>
      <c r="D940" s="343"/>
      <c r="E940" s="328" t="s">
        <v>131</v>
      </c>
      <c r="F940" s="412" t="s">
        <v>1427</v>
      </c>
      <c r="G940" s="342"/>
      <c r="H940" s="344">
        <v>500</v>
      </c>
      <c r="I940" s="345">
        <v>52.5</v>
      </c>
      <c r="J940" s="345">
        <f t="shared" si="136"/>
        <v>26250</v>
      </c>
      <c r="K940" s="320">
        <f>J940*1.2</f>
        <v>31500</v>
      </c>
      <c r="L940" s="342">
        <v>31500</v>
      </c>
      <c r="M940" s="373">
        <v>45489</v>
      </c>
      <c r="N940" s="342">
        <f>+Table7[[#This Row],[стойност с ДДС]]-Table7[[#This Row],[направено плащане]]</f>
        <v>0</v>
      </c>
      <c r="O940" s="346"/>
    </row>
    <row r="941" spans="1:15" ht="20.100000000000001" customHeight="1" x14ac:dyDescent="0.25">
      <c r="A941" s="206" t="s">
        <v>1017</v>
      </c>
      <c r="B941" s="381" t="s">
        <v>1426</v>
      </c>
      <c r="C941" s="373">
        <v>45484</v>
      </c>
      <c r="D941" s="343"/>
      <c r="E941" s="328" t="s">
        <v>131</v>
      </c>
      <c r="F941" s="412" t="s">
        <v>1427</v>
      </c>
      <c r="G941" s="342"/>
      <c r="H941" s="344">
        <v>500</v>
      </c>
      <c r="I941" s="345">
        <v>52.5</v>
      </c>
      <c r="J941" s="345">
        <f t="shared" ref="J941" si="137">I941*H941</f>
        <v>26250</v>
      </c>
      <c r="K941" s="320">
        <f>J941*1.2</f>
        <v>31500</v>
      </c>
      <c r="L941" s="322">
        <v>31500</v>
      </c>
      <c r="M941" s="371">
        <v>45489</v>
      </c>
      <c r="N941" s="322">
        <f>+Table7[[#This Row],[стойност с ДДС]]-Table7[[#This Row],[направено плащане]]</f>
        <v>0</v>
      </c>
      <c r="O941" s="327"/>
    </row>
    <row r="942" spans="1:15" ht="20.100000000000001" customHeight="1" x14ac:dyDescent="0.3">
      <c r="A942" s="206" t="s">
        <v>420</v>
      </c>
      <c r="B942" s="381" t="s">
        <v>1428</v>
      </c>
      <c r="C942" s="373">
        <v>45459</v>
      </c>
      <c r="D942" s="343"/>
      <c r="E942" s="353" t="s">
        <v>422</v>
      </c>
      <c r="F942" s="412"/>
      <c r="G942" s="342"/>
      <c r="H942" s="344"/>
      <c r="I942" s="345"/>
      <c r="J942" s="345">
        <v>490.62</v>
      </c>
      <c r="K942" s="320">
        <v>556.79</v>
      </c>
      <c r="L942" s="342"/>
      <c r="M942" s="373"/>
      <c r="N942" s="342">
        <f>+Table7[[#This Row],[стойност с ДДС]]-Table7[[#This Row],[направено плащане]]</f>
        <v>556.79</v>
      </c>
      <c r="O942" s="346"/>
    </row>
    <row r="943" spans="1:15" ht="20.100000000000001" customHeight="1" x14ac:dyDescent="0.25">
      <c r="A943" s="206" t="s">
        <v>159</v>
      </c>
      <c r="B943" s="381" t="s">
        <v>1429</v>
      </c>
      <c r="C943" s="373">
        <v>45491</v>
      </c>
      <c r="D943" s="343"/>
      <c r="E943" s="347" t="s">
        <v>131</v>
      </c>
      <c r="F943" s="412" t="s">
        <v>1430</v>
      </c>
      <c r="G943" s="342"/>
      <c r="H943" s="344">
        <v>1300</v>
      </c>
      <c r="I943" s="345">
        <v>26.663869999999999</v>
      </c>
      <c r="J943" s="345">
        <f>I943*H943</f>
        <v>34663.031000000003</v>
      </c>
      <c r="K943" s="320"/>
      <c r="L943" s="342"/>
      <c r="M943" s="373"/>
      <c r="N943" s="342">
        <f>+Table7[[#This Row],[стойност с ДДС]]-Table7[[#This Row],[направено плащане]]</f>
        <v>0</v>
      </c>
      <c r="O943" s="346"/>
    </row>
    <row r="944" spans="1:15" ht="20.100000000000001" customHeight="1" x14ac:dyDescent="0.25">
      <c r="A944" s="206" t="s">
        <v>268</v>
      </c>
      <c r="B944" s="381" t="s">
        <v>1431</v>
      </c>
      <c r="C944" s="373"/>
      <c r="D944" s="343"/>
      <c r="E944" s="347" t="s">
        <v>131</v>
      </c>
      <c r="F944" s="412"/>
      <c r="G944" s="342"/>
      <c r="H944" s="344">
        <v>500</v>
      </c>
      <c r="I944" s="345">
        <v>52.15</v>
      </c>
      <c r="J944" s="345">
        <f>I944*H944</f>
        <v>26075</v>
      </c>
      <c r="K944" s="320">
        <f>J944*1.2</f>
        <v>31290</v>
      </c>
      <c r="L944" s="342">
        <v>31290</v>
      </c>
      <c r="M944" s="373">
        <v>45498</v>
      </c>
      <c r="N944" s="342">
        <f>+Table7[[#This Row],[стойност с ДДС]]-Table7[[#This Row],[направено плащане]]</f>
        <v>0</v>
      </c>
      <c r="O944" s="346"/>
    </row>
    <row r="945" spans="1:15" ht="20.100000000000001" customHeight="1" x14ac:dyDescent="0.25">
      <c r="A945" s="206" t="s">
        <v>268</v>
      </c>
      <c r="B945" s="378" t="s">
        <v>1432</v>
      </c>
      <c r="C945" s="371"/>
      <c r="D945" s="337"/>
      <c r="E945" s="347" t="s">
        <v>131</v>
      </c>
      <c r="F945" s="409"/>
      <c r="G945" s="322"/>
      <c r="H945" s="324">
        <v>500</v>
      </c>
      <c r="I945" s="325">
        <v>52.15</v>
      </c>
      <c r="J945" s="325">
        <f>I945*H945</f>
        <v>26075</v>
      </c>
      <c r="K945" s="318">
        <f>J945*1.2</f>
        <v>31290</v>
      </c>
      <c r="L945" s="322">
        <v>31290</v>
      </c>
      <c r="M945" s="371">
        <v>45497</v>
      </c>
      <c r="N945" s="322">
        <f>+Table7[[#This Row],[стойност с ДДС]]-Table7[[#This Row],[направено плащане]]</f>
        <v>0</v>
      </c>
      <c r="O945" s="327"/>
    </row>
    <row r="946" spans="1:15" ht="20.100000000000001" customHeight="1" x14ac:dyDescent="0.3">
      <c r="A946" s="206" t="s">
        <v>1434</v>
      </c>
      <c r="B946" s="381" t="s">
        <v>1433</v>
      </c>
      <c r="C946" s="373"/>
      <c r="D946" s="343"/>
      <c r="E946" s="353" t="s">
        <v>422</v>
      </c>
      <c r="F946" s="412"/>
      <c r="G946" s="342"/>
      <c r="H946" s="344"/>
      <c r="I946" s="345"/>
      <c r="J946" s="345">
        <v>880</v>
      </c>
      <c r="K946" s="320">
        <f>J946*1.2</f>
        <v>1056</v>
      </c>
      <c r="L946" s="342">
        <v>1056</v>
      </c>
      <c r="M946" s="373">
        <v>45491</v>
      </c>
      <c r="N946" s="342">
        <f>+Table7[[#This Row],[стойност с ДДС]]-Table7[[#This Row],[направено плащане]]</f>
        <v>0</v>
      </c>
      <c r="O946" s="346"/>
    </row>
    <row r="947" spans="1:15" ht="20.100000000000001" customHeight="1" x14ac:dyDescent="0.25">
      <c r="A947" s="206" t="s">
        <v>814</v>
      </c>
      <c r="B947" s="381" t="s">
        <v>1435</v>
      </c>
      <c r="C947" s="373">
        <v>45485</v>
      </c>
      <c r="D947" s="343"/>
      <c r="E947" s="347" t="s">
        <v>131</v>
      </c>
      <c r="F947" s="412"/>
      <c r="G947" s="342"/>
      <c r="H947" s="344">
        <v>1000</v>
      </c>
      <c r="I947" s="345">
        <v>51.9</v>
      </c>
      <c r="J947" s="345">
        <f>I947*H947</f>
        <v>51900</v>
      </c>
      <c r="K947" s="320">
        <f>J947*1.2</f>
        <v>62280</v>
      </c>
      <c r="L947" s="342">
        <v>62280</v>
      </c>
      <c r="M947" s="373">
        <v>45490</v>
      </c>
      <c r="N947" s="342">
        <f>+Table7[[#This Row],[стойност с ДДС]]-Table7[[#This Row],[направено плащане]]</f>
        <v>0</v>
      </c>
      <c r="O947" s="346"/>
    </row>
    <row r="948" spans="1:15" ht="20.100000000000001" customHeight="1" x14ac:dyDescent="0.25">
      <c r="A948" s="206" t="s">
        <v>118</v>
      </c>
      <c r="B948" s="381" t="s">
        <v>1436</v>
      </c>
      <c r="C948" s="373">
        <v>45490</v>
      </c>
      <c r="D948" s="343"/>
      <c r="E948" s="347" t="s">
        <v>131</v>
      </c>
      <c r="F948" s="412"/>
      <c r="G948" s="342"/>
      <c r="H948" s="344">
        <v>500</v>
      </c>
      <c r="I948" s="345">
        <v>52.15</v>
      </c>
      <c r="J948" s="345">
        <f>I948*H948</f>
        <v>26075</v>
      </c>
      <c r="K948" s="320">
        <f>J948*1.2</f>
        <v>31290</v>
      </c>
      <c r="L948" s="342">
        <v>31290</v>
      </c>
      <c r="M948" s="373">
        <v>45496</v>
      </c>
      <c r="N948" s="342">
        <f>+Table7[[#This Row],[стойност с ДДС]]-Table7[[#This Row],[направено плащане]]</f>
        <v>0</v>
      </c>
      <c r="O948" s="346"/>
    </row>
    <row r="949" spans="1:15" ht="20.100000000000001" customHeight="1" x14ac:dyDescent="0.25">
      <c r="A949" s="151" t="s">
        <v>159</v>
      </c>
      <c r="B949" s="378" t="s">
        <v>1437</v>
      </c>
      <c r="C949" s="373">
        <v>45490</v>
      </c>
      <c r="D949" s="337"/>
      <c r="E949" s="347" t="s">
        <v>131</v>
      </c>
      <c r="F949" s="409"/>
      <c r="G949" s="322"/>
      <c r="H949" s="324">
        <v>500</v>
      </c>
      <c r="I949" s="325">
        <f>26.68432*1.9563</f>
        <v>52.202535215999994</v>
      </c>
      <c r="J949" s="325">
        <f t="shared" ref="J949:J951" si="138">I949*H949</f>
        <v>26101.267607999998</v>
      </c>
      <c r="K949" s="318">
        <v>26101.267607999998</v>
      </c>
      <c r="L949" s="322">
        <v>26101.267607999998</v>
      </c>
      <c r="M949" s="371">
        <v>45496</v>
      </c>
      <c r="N949" s="322">
        <f>+Table7[[#This Row],[стойност с ДДС]]-Table7[[#This Row],[направено плащане]]</f>
        <v>0</v>
      </c>
      <c r="O949" s="327"/>
    </row>
    <row r="950" spans="1:15" ht="20.100000000000001" customHeight="1" x14ac:dyDescent="0.25">
      <c r="A950" s="151" t="s">
        <v>159</v>
      </c>
      <c r="B950" s="378" t="s">
        <v>1437</v>
      </c>
      <c r="C950" s="373">
        <v>45490</v>
      </c>
      <c r="D950" s="337"/>
      <c r="E950" s="347" t="s">
        <v>131</v>
      </c>
      <c r="F950" s="409"/>
      <c r="G950" s="322"/>
      <c r="H950" s="324">
        <v>130</v>
      </c>
      <c r="I950" s="325">
        <f>26.33153*1.9563</f>
        <v>51.512372139</v>
      </c>
      <c r="J950" s="325">
        <f t="shared" si="138"/>
        <v>6696.6083780700001</v>
      </c>
      <c r="K950" s="318">
        <v>6696.6083780700001</v>
      </c>
      <c r="L950" s="322">
        <v>6696.6083780700001</v>
      </c>
      <c r="M950" s="371">
        <v>45496</v>
      </c>
      <c r="N950" s="322">
        <f>+Table7[[#This Row],[стойност с ДДС]]-Table7[[#This Row],[направено плащане]]</f>
        <v>0</v>
      </c>
      <c r="O950" s="327"/>
    </row>
    <row r="951" spans="1:15" ht="20.100000000000001" customHeight="1" x14ac:dyDescent="0.25">
      <c r="A951" s="206" t="s">
        <v>159</v>
      </c>
      <c r="B951" s="378" t="s">
        <v>1437</v>
      </c>
      <c r="C951" s="373">
        <v>45490</v>
      </c>
      <c r="D951" s="343"/>
      <c r="E951" s="347" t="s">
        <v>131</v>
      </c>
      <c r="F951" s="412"/>
      <c r="G951" s="342"/>
      <c r="H951" s="344">
        <v>51</v>
      </c>
      <c r="I951" s="345">
        <f>26.66387*1.9563</f>
        <v>52.162528881</v>
      </c>
      <c r="J951" s="345">
        <f t="shared" si="138"/>
        <v>2660.288972931</v>
      </c>
      <c r="K951" s="320">
        <v>2660.288972931</v>
      </c>
      <c r="L951" s="342">
        <v>2660.288972931</v>
      </c>
      <c r="M951" s="373">
        <v>45496</v>
      </c>
      <c r="N951" s="342">
        <f>+Table7[[#This Row],[стойност с ДДС]]-Table7[[#This Row],[направено плащане]]</f>
        <v>0</v>
      </c>
      <c r="O951" s="346"/>
    </row>
    <row r="952" spans="1:15" ht="20.100000000000001" customHeight="1" x14ac:dyDescent="0.25">
      <c r="A952" s="206" t="s">
        <v>118</v>
      </c>
      <c r="B952" s="381" t="s">
        <v>1438</v>
      </c>
      <c r="C952" s="373">
        <v>45489</v>
      </c>
      <c r="D952" s="343"/>
      <c r="E952" s="347" t="s">
        <v>131</v>
      </c>
      <c r="F952" s="412"/>
      <c r="G952" s="342"/>
      <c r="H952" s="344">
        <v>500</v>
      </c>
      <c r="I952" s="345">
        <v>52.1</v>
      </c>
      <c r="J952" s="345">
        <f t="shared" ref="J952:J966" si="139">I952*H952</f>
        <v>26050</v>
      </c>
      <c r="K952" s="320">
        <f>J952*1.2</f>
        <v>31260</v>
      </c>
      <c r="L952" s="342">
        <v>31260</v>
      </c>
      <c r="M952" s="373">
        <v>45495</v>
      </c>
      <c r="N952" s="342">
        <f>+Table7[[#This Row],[стойност с ДДС]]-Table7[[#This Row],[направено плащане]]</f>
        <v>0</v>
      </c>
      <c r="O952" s="346"/>
    </row>
    <row r="953" spans="1:15" ht="20.100000000000001" customHeight="1" x14ac:dyDescent="0.25">
      <c r="A953" s="206" t="s">
        <v>118</v>
      </c>
      <c r="B953" s="381" t="s">
        <v>1438</v>
      </c>
      <c r="C953" s="373">
        <v>45489</v>
      </c>
      <c r="D953" s="337"/>
      <c r="E953" s="347" t="s">
        <v>131</v>
      </c>
      <c r="F953" s="409"/>
      <c r="G953" s="322"/>
      <c r="H953" s="324">
        <v>170</v>
      </c>
      <c r="I953" s="325">
        <v>52.2</v>
      </c>
      <c r="J953" s="325">
        <f t="shared" si="139"/>
        <v>8874</v>
      </c>
      <c r="K953" s="318">
        <f>J953*1.2</f>
        <v>10648.8</v>
      </c>
      <c r="L953" s="322">
        <v>10648.8</v>
      </c>
      <c r="M953" s="371">
        <v>45495</v>
      </c>
      <c r="N953" s="322">
        <f>+Table7[[#This Row],[стойност с ДДС]]-Table7[[#This Row],[направено плащане]]</f>
        <v>0</v>
      </c>
      <c r="O953" s="327"/>
    </row>
    <row r="954" spans="1:15" ht="20.100000000000001" customHeight="1" x14ac:dyDescent="0.25">
      <c r="A954" s="206" t="s">
        <v>159</v>
      </c>
      <c r="B954" s="381" t="s">
        <v>1439</v>
      </c>
      <c r="C954" s="373">
        <v>45490</v>
      </c>
      <c r="D954" s="343"/>
      <c r="E954" s="347" t="s">
        <v>131</v>
      </c>
      <c r="F954" s="412"/>
      <c r="G954" s="342"/>
      <c r="H954" s="344">
        <v>3500</v>
      </c>
      <c r="I954" s="345">
        <v>28.63</v>
      </c>
      <c r="J954" s="345">
        <f t="shared" si="139"/>
        <v>100205</v>
      </c>
      <c r="K954" s="320">
        <v>196047.14</v>
      </c>
      <c r="L954" s="342">
        <v>45496</v>
      </c>
      <c r="M954" s="373"/>
      <c r="N954" s="342">
        <f>+Table7[[#This Row],[стойност с ДДС]]-Table7[[#This Row],[направено плащане]]</f>
        <v>150551.14000000001</v>
      </c>
      <c r="O954" s="346"/>
    </row>
    <row r="955" spans="1:15" ht="20.100000000000001" customHeight="1" x14ac:dyDescent="0.25">
      <c r="A955" s="206" t="s">
        <v>159</v>
      </c>
      <c r="B955" s="381" t="s">
        <v>1440</v>
      </c>
      <c r="C955" s="373">
        <v>45489</v>
      </c>
      <c r="D955" s="343"/>
      <c r="E955" s="347" t="s">
        <v>131</v>
      </c>
      <c r="F955" s="412"/>
      <c r="G955" s="342"/>
      <c r="H955" s="344">
        <v>330</v>
      </c>
      <c r="I955" s="345">
        <v>26.689440000000001</v>
      </c>
      <c r="J955" s="345">
        <f t="shared" si="139"/>
        <v>8807.5151999999998</v>
      </c>
      <c r="K955" s="320">
        <v>17230.150000000001</v>
      </c>
      <c r="L955" s="342">
        <v>17230.150000000001</v>
      </c>
      <c r="M955" s="373">
        <v>45495</v>
      </c>
      <c r="N955" s="342">
        <f>+Table7[[#This Row],[стойност с ДДС]]-Table7[[#This Row],[направено плащане]]</f>
        <v>0</v>
      </c>
      <c r="O955" s="346"/>
    </row>
    <row r="956" spans="1:15" ht="20.100000000000001" customHeight="1" x14ac:dyDescent="0.25">
      <c r="A956" s="206" t="s">
        <v>101</v>
      </c>
      <c r="B956" s="388" t="s">
        <v>1441</v>
      </c>
      <c r="C956" s="373">
        <v>45489</v>
      </c>
      <c r="D956" s="343"/>
      <c r="E956" s="347" t="s">
        <v>131</v>
      </c>
      <c r="F956" s="412" t="s">
        <v>1442</v>
      </c>
      <c r="G956" s="342"/>
      <c r="H956" s="344">
        <v>190</v>
      </c>
      <c r="I956" s="345">
        <v>52</v>
      </c>
      <c r="J956" s="345">
        <f t="shared" si="139"/>
        <v>9880</v>
      </c>
      <c r="K956" s="320">
        <f>J956*1.2</f>
        <v>11856</v>
      </c>
      <c r="L956" s="342">
        <v>11856</v>
      </c>
      <c r="M956" s="373">
        <v>45492</v>
      </c>
      <c r="N956" s="342">
        <f>+Table7[[#This Row],[стойност с ДДС]]-Table7[[#This Row],[направено плащане]]</f>
        <v>0</v>
      </c>
      <c r="O956" s="346"/>
    </row>
    <row r="957" spans="1:15" ht="20.100000000000001" customHeight="1" x14ac:dyDescent="0.25">
      <c r="A957" s="206" t="s">
        <v>268</v>
      </c>
      <c r="B957" s="381" t="s">
        <v>1443</v>
      </c>
      <c r="C957" s="373">
        <v>45489</v>
      </c>
      <c r="D957" s="343"/>
      <c r="E957" s="347" t="s">
        <v>131</v>
      </c>
      <c r="F957" s="412"/>
      <c r="G957" s="342"/>
      <c r="H957" s="344">
        <v>400</v>
      </c>
      <c r="I957" s="345">
        <v>52.2</v>
      </c>
      <c r="J957" s="345">
        <f t="shared" si="139"/>
        <v>20880</v>
      </c>
      <c r="K957" s="320">
        <f>J957*1.2</f>
        <v>25056</v>
      </c>
      <c r="L957" s="342">
        <v>25056</v>
      </c>
      <c r="M957" s="373">
        <v>45496</v>
      </c>
      <c r="N957" s="342">
        <f>+Table7[[#This Row],[стойност с ДДС]]-Table7[[#This Row],[направено плащане]]</f>
        <v>0</v>
      </c>
      <c r="O957" s="346"/>
    </row>
    <row r="958" spans="1:15" ht="20.100000000000001" customHeight="1" x14ac:dyDescent="0.25">
      <c r="A958" s="206" t="s">
        <v>159</v>
      </c>
      <c r="B958" s="381" t="s">
        <v>1444</v>
      </c>
      <c r="C958" s="373">
        <v>45488</v>
      </c>
      <c r="D958" s="343"/>
      <c r="E958" s="347" t="s">
        <v>131</v>
      </c>
      <c r="F958" s="412" t="s">
        <v>1445</v>
      </c>
      <c r="G958" s="342"/>
      <c r="H958" s="344">
        <v>400</v>
      </c>
      <c r="I958" s="345">
        <v>26.58718</v>
      </c>
      <c r="J958" s="345">
        <f t="shared" si="139"/>
        <v>10634.871999999999</v>
      </c>
      <c r="K958" s="320">
        <v>20805</v>
      </c>
      <c r="L958" s="342">
        <v>45492</v>
      </c>
      <c r="M958" s="373">
        <v>45492</v>
      </c>
      <c r="N958" s="342">
        <f>+Table7[[#This Row],[стойност с ДДС]]-Table7[[#This Row],[направено плащане]]</f>
        <v>-24687</v>
      </c>
      <c r="O958" s="346"/>
    </row>
    <row r="959" spans="1:15" ht="20.100000000000001" customHeight="1" x14ac:dyDescent="0.25">
      <c r="A959" s="206" t="s">
        <v>157</v>
      </c>
      <c r="B959" s="381" t="s">
        <v>1446</v>
      </c>
      <c r="C959" s="373">
        <v>45488</v>
      </c>
      <c r="D959" s="343"/>
      <c r="E959" s="347" t="s">
        <v>131</v>
      </c>
      <c r="F959" s="412" t="s">
        <v>1447</v>
      </c>
      <c r="G959" s="342"/>
      <c r="H959" s="344">
        <v>600</v>
      </c>
      <c r="I959" s="345">
        <v>52</v>
      </c>
      <c r="J959" s="345">
        <f t="shared" si="139"/>
        <v>31200</v>
      </c>
      <c r="K959" s="320">
        <f>J959*1.2</f>
        <v>37440</v>
      </c>
      <c r="L959" s="342">
        <v>37440</v>
      </c>
      <c r="M959" s="373">
        <v>45491</v>
      </c>
      <c r="N959" s="342">
        <f>+Table7[[#This Row],[стойност с ДДС]]-Table7[[#This Row],[направено плащане]]</f>
        <v>0</v>
      </c>
      <c r="O959" s="346"/>
    </row>
    <row r="960" spans="1:15" ht="20.100000000000001" customHeight="1" x14ac:dyDescent="0.25">
      <c r="A960" s="206" t="s">
        <v>157</v>
      </c>
      <c r="B960" s="378" t="s">
        <v>1448</v>
      </c>
      <c r="C960" s="371">
        <v>45488</v>
      </c>
      <c r="D960" s="337"/>
      <c r="E960" s="347" t="s">
        <v>131</v>
      </c>
      <c r="F960" s="409" t="s">
        <v>1449</v>
      </c>
      <c r="G960" s="322"/>
      <c r="H960" s="324">
        <v>36</v>
      </c>
      <c r="I960" s="325">
        <v>52</v>
      </c>
      <c r="J960" s="325">
        <f t="shared" si="139"/>
        <v>1872</v>
      </c>
      <c r="K960" s="318">
        <f>J960*1.2</f>
        <v>2246.4</v>
      </c>
      <c r="L960" s="322">
        <v>2246.4</v>
      </c>
      <c r="M960" s="371">
        <v>45491</v>
      </c>
      <c r="N960" s="322">
        <f>+Table7[[#This Row],[стойност с ДДС]]-Table7[[#This Row],[направено плащане]]</f>
        <v>0</v>
      </c>
      <c r="O960" s="327"/>
    </row>
    <row r="961" spans="1:15" ht="20.100000000000001" customHeight="1" x14ac:dyDescent="0.25">
      <c r="A961" s="206" t="s">
        <v>157</v>
      </c>
      <c r="B961" s="381" t="s">
        <v>1448</v>
      </c>
      <c r="C961" s="373">
        <v>45488</v>
      </c>
      <c r="D961" s="343"/>
      <c r="E961" s="347" t="s">
        <v>131</v>
      </c>
      <c r="F961" s="412" t="s">
        <v>1450</v>
      </c>
      <c r="G961" s="342"/>
      <c r="H961" s="344">
        <v>40</v>
      </c>
      <c r="I961" s="345">
        <v>51.9</v>
      </c>
      <c r="J961" s="345">
        <f t="shared" si="139"/>
        <v>2076</v>
      </c>
      <c r="K961" s="320">
        <f>J961*1.2</f>
        <v>2491.1999999999998</v>
      </c>
      <c r="L961" s="342">
        <v>2491.1999999999998</v>
      </c>
      <c r="M961" s="373">
        <v>45491</v>
      </c>
      <c r="N961" s="342">
        <f>+Table7[[#This Row],[стойност с ДДС]]-Table7[[#This Row],[направено плащане]]</f>
        <v>0</v>
      </c>
      <c r="O961" s="346"/>
    </row>
    <row r="962" spans="1:15" ht="20.100000000000001" customHeight="1" x14ac:dyDescent="0.25">
      <c r="A962" s="206" t="s">
        <v>1017</v>
      </c>
      <c r="B962" s="381" t="s">
        <v>1451</v>
      </c>
      <c r="C962" s="373">
        <v>45488</v>
      </c>
      <c r="D962" s="343"/>
      <c r="E962" s="347" t="s">
        <v>131</v>
      </c>
      <c r="F962" s="412" t="s">
        <v>1452</v>
      </c>
      <c r="G962" s="342"/>
      <c r="H962" s="344">
        <v>500</v>
      </c>
      <c r="I962" s="345">
        <v>52</v>
      </c>
      <c r="J962" s="345">
        <f t="shared" si="139"/>
        <v>26000</v>
      </c>
      <c r="K962" s="320">
        <f>J962*1.2</f>
        <v>31200</v>
      </c>
      <c r="L962" s="342">
        <v>31200</v>
      </c>
      <c r="M962" s="373">
        <v>45491</v>
      </c>
      <c r="N962" s="342">
        <f>+Table7[[#This Row],[стойност с ДДС]]-Table7[[#This Row],[направено плащане]]</f>
        <v>0</v>
      </c>
      <c r="O962" s="346"/>
    </row>
    <row r="963" spans="1:15" ht="20.100000000000001" customHeight="1" x14ac:dyDescent="0.25">
      <c r="A963" s="206" t="s">
        <v>118</v>
      </c>
      <c r="B963" s="381" t="s">
        <v>1453</v>
      </c>
      <c r="C963" s="373">
        <v>45485</v>
      </c>
      <c r="D963" s="343"/>
      <c r="E963" s="347" t="s">
        <v>131</v>
      </c>
      <c r="F963" s="412" t="s">
        <v>1454</v>
      </c>
      <c r="G963" s="342"/>
      <c r="H963" s="344">
        <v>360</v>
      </c>
      <c r="I963" s="345">
        <v>51.9</v>
      </c>
      <c r="J963" s="345">
        <f t="shared" si="139"/>
        <v>18684</v>
      </c>
      <c r="K963" s="320">
        <f>J963*1.2</f>
        <v>22420.799999999999</v>
      </c>
      <c r="L963" s="342">
        <v>22420.799999999999</v>
      </c>
      <c r="M963" s="373">
        <v>45491</v>
      </c>
      <c r="N963" s="342">
        <f>+Table7[[#This Row],[стойност с ДДС]]-Table7[[#This Row],[направено плащане]]</f>
        <v>0</v>
      </c>
      <c r="O963" s="346"/>
    </row>
    <row r="964" spans="1:15" ht="20.100000000000001" customHeight="1" x14ac:dyDescent="0.25">
      <c r="A964" s="206" t="s">
        <v>159</v>
      </c>
      <c r="B964" s="381" t="s">
        <v>1455</v>
      </c>
      <c r="C964" s="373">
        <v>45487</v>
      </c>
      <c r="D964" s="343"/>
      <c r="E964" s="347" t="s">
        <v>131</v>
      </c>
      <c r="F964" s="412" t="s">
        <v>1456</v>
      </c>
      <c r="G964" s="342"/>
      <c r="H964" s="344">
        <v>1200</v>
      </c>
      <c r="I964" s="345">
        <v>26.58718</v>
      </c>
      <c r="J964" s="345">
        <f t="shared" si="139"/>
        <v>31904.616000000002</v>
      </c>
      <c r="K964" s="320">
        <v>62415.01</v>
      </c>
      <c r="L964" s="342">
        <v>62415.01</v>
      </c>
      <c r="M964" s="373">
        <v>45491</v>
      </c>
      <c r="N964" s="342">
        <f>+Table7[[#This Row],[стойност с ДДС]]-Table7[[#This Row],[направено плащане]]</f>
        <v>0</v>
      </c>
      <c r="O964" s="346"/>
    </row>
    <row r="965" spans="1:15" ht="20.100000000000001" customHeight="1" x14ac:dyDescent="0.25">
      <c r="A965" s="206" t="s">
        <v>101</v>
      </c>
      <c r="B965" s="388" t="s">
        <v>1457</v>
      </c>
      <c r="C965" s="373">
        <v>45486</v>
      </c>
      <c r="D965" s="343"/>
      <c r="E965" s="347" t="s">
        <v>131</v>
      </c>
      <c r="F965" s="412" t="s">
        <v>1458</v>
      </c>
      <c r="G965" s="342"/>
      <c r="H965" s="344">
        <v>40</v>
      </c>
      <c r="I965" s="345">
        <v>51</v>
      </c>
      <c r="J965" s="345">
        <f t="shared" si="139"/>
        <v>2040</v>
      </c>
      <c r="K965" s="320">
        <f>J965*1.2</f>
        <v>2448</v>
      </c>
      <c r="L965" s="342">
        <v>2448</v>
      </c>
      <c r="M965" s="373">
        <v>45491</v>
      </c>
      <c r="N965" s="342">
        <f>+Table7[[#This Row],[стойност с ДДС]]-Table7[[#This Row],[направено плащане]]</f>
        <v>0</v>
      </c>
      <c r="O965" s="346"/>
    </row>
    <row r="966" spans="1:15" ht="20.100000000000001" customHeight="1" x14ac:dyDescent="0.25">
      <c r="A966" s="206" t="s">
        <v>101</v>
      </c>
      <c r="B966" s="388" t="s">
        <v>1457</v>
      </c>
      <c r="C966" s="373">
        <v>45486</v>
      </c>
      <c r="D966" s="337"/>
      <c r="E966" s="347" t="s">
        <v>131</v>
      </c>
      <c r="F966" s="409" t="s">
        <v>1459</v>
      </c>
      <c r="G966" s="322"/>
      <c r="H966" s="324">
        <v>50</v>
      </c>
      <c r="I966" s="325">
        <v>51.2</v>
      </c>
      <c r="J966" s="325">
        <f t="shared" si="139"/>
        <v>2560</v>
      </c>
      <c r="K966" s="318">
        <f>J966*1.2</f>
        <v>3072</v>
      </c>
      <c r="L966" s="322">
        <v>3072</v>
      </c>
      <c r="M966" s="373">
        <v>45491</v>
      </c>
      <c r="N966" s="322">
        <f>+Table7[[#This Row],[стойност с ДДС]]-Table7[[#This Row],[направено плащане]]</f>
        <v>0</v>
      </c>
      <c r="O966" s="327"/>
    </row>
    <row r="967" spans="1:15" ht="20.100000000000001" customHeight="1" x14ac:dyDescent="0.3">
      <c r="A967" s="206" t="s">
        <v>773</v>
      </c>
      <c r="B967" s="381" t="s">
        <v>774</v>
      </c>
      <c r="C967" s="373">
        <v>45469</v>
      </c>
      <c r="D967" s="343"/>
      <c r="E967" s="353" t="s">
        <v>622</v>
      </c>
      <c r="F967" s="412"/>
      <c r="G967" s="342"/>
      <c r="H967" s="344"/>
      <c r="I967" s="345"/>
      <c r="J967" s="345">
        <v>101.92</v>
      </c>
      <c r="K967" s="320">
        <v>199.39</v>
      </c>
      <c r="L967" s="342">
        <v>199.39</v>
      </c>
      <c r="M967" s="373"/>
      <c r="N967" s="342">
        <f>+Table7[[#This Row],[стойност с ДДС]]-Table7[[#This Row],[направено плащане]]</f>
        <v>0</v>
      </c>
      <c r="O967" s="346"/>
    </row>
    <row r="968" spans="1:15" ht="20.100000000000001" customHeight="1" x14ac:dyDescent="0.3">
      <c r="A968" s="206" t="s">
        <v>413</v>
      </c>
      <c r="B968" s="381" t="s">
        <v>1460</v>
      </c>
      <c r="C968" s="373">
        <v>45473</v>
      </c>
      <c r="D968" s="343"/>
      <c r="E968" s="353" t="s">
        <v>415</v>
      </c>
      <c r="F968" s="412"/>
      <c r="G968" s="342"/>
      <c r="H968" s="344"/>
      <c r="I968" s="345"/>
      <c r="J968" s="345">
        <v>1533.88</v>
      </c>
      <c r="K968" s="320">
        <v>3000.73</v>
      </c>
      <c r="L968" s="342">
        <v>3000.73</v>
      </c>
      <c r="M968" s="373">
        <v>45492</v>
      </c>
      <c r="N968" s="342">
        <f>+Table7[[#This Row],[стойност с ДДС]]-Table7[[#This Row],[направено плащане]]</f>
        <v>0</v>
      </c>
      <c r="O968" s="346"/>
    </row>
    <row r="969" spans="1:15" ht="20.100000000000001" customHeight="1" x14ac:dyDescent="0.3">
      <c r="A969" s="206" t="s">
        <v>838</v>
      </c>
      <c r="B969" s="381">
        <v>7368517070</v>
      </c>
      <c r="C969" s="373">
        <v>45503</v>
      </c>
      <c r="D969" s="343"/>
      <c r="E969" s="353" t="s">
        <v>422</v>
      </c>
      <c r="F969" s="412"/>
      <c r="G969" s="342"/>
      <c r="H969" s="344"/>
      <c r="I969" s="345"/>
      <c r="J969" s="345">
        <f>I969*H969</f>
        <v>0</v>
      </c>
      <c r="K969" s="320">
        <v>307.02</v>
      </c>
      <c r="L969" s="342">
        <v>307.02</v>
      </c>
      <c r="M969" s="373">
        <v>45489</v>
      </c>
      <c r="N969" s="342">
        <f>+Table7[[#This Row],[стойност с ДДС]]-Table7[[#This Row],[направено плащане]]</f>
        <v>0</v>
      </c>
      <c r="O969" s="346"/>
    </row>
    <row r="970" spans="1:15" ht="20.100000000000001" customHeight="1" x14ac:dyDescent="0.25">
      <c r="A970" s="206" t="s">
        <v>1462</v>
      </c>
      <c r="B970" s="381"/>
      <c r="C970" s="373"/>
      <c r="D970" s="343"/>
      <c r="E970" s="352" t="s">
        <v>872</v>
      </c>
      <c r="F970" s="412" t="s">
        <v>1155</v>
      </c>
      <c r="G970" s="342"/>
      <c r="H970" s="344"/>
      <c r="I970" s="345"/>
      <c r="J970" s="345">
        <f>I970*H970</f>
        <v>0</v>
      </c>
      <c r="K970" s="320">
        <v>606.45000000000005</v>
      </c>
      <c r="L970" s="342">
        <v>606.45000000000005</v>
      </c>
      <c r="M970" s="373"/>
      <c r="N970" s="342">
        <f>+Table7[[#This Row],[стойност с ДДС]]-Table7[[#This Row],[направено плащане]]</f>
        <v>0</v>
      </c>
      <c r="O970" s="346"/>
    </row>
    <row r="971" spans="1:15" ht="20.100000000000001" customHeight="1" x14ac:dyDescent="0.25">
      <c r="A971" s="206" t="s">
        <v>1461</v>
      </c>
      <c r="B971" s="381" t="s">
        <v>1485</v>
      </c>
      <c r="C971" s="373"/>
      <c r="D971" s="343"/>
      <c r="E971" s="347" t="s">
        <v>131</v>
      </c>
      <c r="F971" s="412"/>
      <c r="G971" s="342"/>
      <c r="H971" s="344">
        <v>573</v>
      </c>
      <c r="I971" s="345">
        <v>52.88</v>
      </c>
      <c r="J971" s="345">
        <v>30300</v>
      </c>
      <c r="K971" s="320">
        <v>30300</v>
      </c>
      <c r="L971" s="342">
        <v>30300</v>
      </c>
      <c r="M971" s="373">
        <v>45496</v>
      </c>
      <c r="N971" s="342">
        <f>+Table7[[#This Row],[стойност с ДДС]]-Table7[[#This Row],[направено плащане]]</f>
        <v>0</v>
      </c>
      <c r="O971" s="346"/>
    </row>
    <row r="972" spans="1:15" ht="20.100000000000001" customHeight="1" x14ac:dyDescent="0.25">
      <c r="A972" s="151"/>
      <c r="B972" s="378"/>
      <c r="C972" s="371"/>
      <c r="D972" s="337"/>
      <c r="E972" s="355" t="s">
        <v>623</v>
      </c>
      <c r="F972" s="409"/>
      <c r="G972" s="322"/>
      <c r="H972" s="324"/>
      <c r="I972" s="325"/>
      <c r="J972" s="325">
        <f t="shared" ref="J972:J974" si="140">I972*H972</f>
        <v>0</v>
      </c>
      <c r="K972" s="318">
        <v>6579.96</v>
      </c>
      <c r="L972" s="322">
        <v>6579.96</v>
      </c>
      <c r="M972" s="371">
        <v>45496</v>
      </c>
      <c r="N972" s="322">
        <f>+Table7[[#This Row],[стойност с ДДС]]-Table7[[#This Row],[направено плащане]]</f>
        <v>0</v>
      </c>
      <c r="O972" s="327"/>
    </row>
    <row r="973" spans="1:15" ht="20.100000000000001" customHeight="1" x14ac:dyDescent="0.25">
      <c r="A973" s="151"/>
      <c r="B973" s="378"/>
      <c r="C973" s="371"/>
      <c r="D973" s="337"/>
      <c r="E973" s="355" t="s">
        <v>623</v>
      </c>
      <c r="F973" s="409"/>
      <c r="G973" s="322"/>
      <c r="H973" s="324"/>
      <c r="I973" s="325"/>
      <c r="J973" s="325">
        <f t="shared" si="140"/>
        <v>0</v>
      </c>
      <c r="K973" s="318">
        <v>3040.77</v>
      </c>
      <c r="L973" s="322">
        <v>3040.77</v>
      </c>
      <c r="M973" s="371">
        <v>45496</v>
      </c>
      <c r="N973" s="322">
        <f>+Table7[[#This Row],[стойност с ДДС]]-Table7[[#This Row],[направено плащане]]</f>
        <v>0</v>
      </c>
      <c r="O973" s="327"/>
    </row>
    <row r="974" spans="1:15" ht="20.100000000000001" customHeight="1" x14ac:dyDescent="0.25">
      <c r="A974" s="206"/>
      <c r="B974" s="381"/>
      <c r="C974" s="373"/>
      <c r="D974" s="343"/>
      <c r="E974" s="352" t="s">
        <v>623</v>
      </c>
      <c r="F974" s="412"/>
      <c r="G974" s="342"/>
      <c r="H974" s="344"/>
      <c r="I974" s="345"/>
      <c r="J974" s="345">
        <f t="shared" si="140"/>
        <v>0</v>
      </c>
      <c r="K974" s="320">
        <v>2590.1</v>
      </c>
      <c r="L974" s="342">
        <v>2590.1</v>
      </c>
      <c r="M974" s="373">
        <v>45496</v>
      </c>
      <c r="N974" s="342">
        <f>+Table7[[#This Row],[стойност с ДДС]]-Table7[[#This Row],[направено плащане]]</f>
        <v>0</v>
      </c>
      <c r="O974" s="346"/>
    </row>
    <row r="975" spans="1:15" ht="20.100000000000001" customHeight="1" x14ac:dyDescent="0.25">
      <c r="A975" s="206" t="s">
        <v>159</v>
      </c>
      <c r="B975" s="381"/>
      <c r="C975" s="373">
        <v>45487</v>
      </c>
      <c r="D975" s="343"/>
      <c r="E975" s="347" t="s">
        <v>131</v>
      </c>
      <c r="F975" s="412"/>
      <c r="G975" s="342"/>
      <c r="H975" s="344">
        <v>1300</v>
      </c>
      <c r="I975" s="345">
        <v>52.16</v>
      </c>
      <c r="J975" s="345">
        <f>I975*H975</f>
        <v>67808</v>
      </c>
      <c r="K975" s="320">
        <v>67811.289999999994</v>
      </c>
      <c r="L975" s="342">
        <v>67811.289999999994</v>
      </c>
      <c r="M975" s="373">
        <v>45497</v>
      </c>
      <c r="N975" s="342">
        <f>+Table7[[#This Row],[стойност с ДДС]]-Table7[[#This Row],[направено плащане]]</f>
        <v>0</v>
      </c>
      <c r="O975" s="346"/>
    </row>
    <row r="976" spans="1:15" ht="20.100000000000001" customHeight="1" x14ac:dyDescent="0.25">
      <c r="A976" s="151" t="s">
        <v>268</v>
      </c>
      <c r="B976" s="378" t="s">
        <v>1464</v>
      </c>
      <c r="C976" s="371">
        <v>45495</v>
      </c>
      <c r="D976" s="337"/>
      <c r="E976" s="328" t="s">
        <v>263</v>
      </c>
      <c r="F976" s="409"/>
      <c r="G976" s="322"/>
      <c r="H976" s="324">
        <v>3100</v>
      </c>
      <c r="I976" s="325">
        <v>58.674900000000001</v>
      </c>
      <c r="J976" s="325">
        <f t="shared" ref="J976:J991" si="141">I976*H976</f>
        <v>181892.19</v>
      </c>
      <c r="K976" s="318">
        <f t="shared" ref="K976:K991" si="142">J976*1.2</f>
        <v>218270.628</v>
      </c>
      <c r="L976" s="322">
        <v>218270.628</v>
      </c>
      <c r="M976" s="371">
        <v>45497</v>
      </c>
      <c r="N976" s="322">
        <f>+Table7[[#This Row],[стойност с ДДС]]-Table7[[#This Row],[направено плащане]]</f>
        <v>0</v>
      </c>
      <c r="O976" s="327"/>
    </row>
    <row r="977" spans="1:15" ht="20.100000000000001" customHeight="1" x14ac:dyDescent="0.25">
      <c r="A977" s="151" t="s">
        <v>268</v>
      </c>
      <c r="B977" s="378" t="s">
        <v>1519</v>
      </c>
      <c r="C977" s="371">
        <v>45495</v>
      </c>
      <c r="D977" s="337"/>
      <c r="E977" s="328" t="s">
        <v>263</v>
      </c>
      <c r="F977" s="409"/>
      <c r="G977" s="322"/>
      <c r="H977" s="324">
        <v>3100</v>
      </c>
      <c r="I977" s="325">
        <v>58.674900000000001</v>
      </c>
      <c r="J977" s="325">
        <f t="shared" si="141"/>
        <v>181892.19</v>
      </c>
      <c r="K977" s="318">
        <f t="shared" si="142"/>
        <v>218270.628</v>
      </c>
      <c r="L977" s="322">
        <v>218270.628</v>
      </c>
      <c r="M977" s="371">
        <v>45518</v>
      </c>
      <c r="N977" s="322">
        <f>+Table7[[#This Row],[стойност с ДДС]]-Table7[[#This Row],[направено плащане]]</f>
        <v>0</v>
      </c>
      <c r="O977" s="327"/>
    </row>
    <row r="978" spans="1:15" ht="20.100000000000001" customHeight="1" x14ac:dyDescent="0.25">
      <c r="A978" s="151" t="s">
        <v>268</v>
      </c>
      <c r="B978" s="378" t="s">
        <v>1465</v>
      </c>
      <c r="C978" s="371">
        <v>45495</v>
      </c>
      <c r="D978" s="337"/>
      <c r="E978" s="328" t="s">
        <v>263</v>
      </c>
      <c r="F978" s="409"/>
      <c r="G978" s="322"/>
      <c r="H978" s="324">
        <v>1550</v>
      </c>
      <c r="I978" s="325">
        <v>55.741199999999999</v>
      </c>
      <c r="J978" s="325">
        <f>I978*H978</f>
        <v>86398.86</v>
      </c>
      <c r="K978" s="318">
        <v>103678.55</v>
      </c>
      <c r="L978" s="322">
        <v>103678.55</v>
      </c>
      <c r="M978" s="371">
        <v>45497</v>
      </c>
      <c r="N978" s="322">
        <f>+Table7[[#This Row],[стойност с ДДС]]-Table7[[#This Row],[направено плащане]]</f>
        <v>0</v>
      </c>
      <c r="O978" s="327"/>
    </row>
    <row r="979" spans="1:15" ht="20.100000000000001" customHeight="1" x14ac:dyDescent="0.25">
      <c r="A979" s="151" t="s">
        <v>268</v>
      </c>
      <c r="B979" s="378" t="s">
        <v>1466</v>
      </c>
      <c r="C979" s="371">
        <v>45495</v>
      </c>
      <c r="D979" s="337"/>
      <c r="E979" s="328" t="s">
        <v>263</v>
      </c>
      <c r="F979" s="409"/>
      <c r="G979" s="322"/>
      <c r="H979" s="324">
        <v>1550</v>
      </c>
      <c r="I979" s="325">
        <v>55.741199999999999</v>
      </c>
      <c r="J979" s="325">
        <f t="shared" si="141"/>
        <v>86398.86</v>
      </c>
      <c r="K979" s="318">
        <f t="shared" si="142"/>
        <v>103678.632</v>
      </c>
      <c r="L979" s="322">
        <v>103678.632</v>
      </c>
      <c r="M979" s="371">
        <v>45518</v>
      </c>
      <c r="N979" s="322">
        <f>+Table7[[#This Row],[стойност с ДДС]]-Table7[[#This Row],[направено плащане]]</f>
        <v>0</v>
      </c>
      <c r="O979" s="327"/>
    </row>
    <row r="980" spans="1:15" ht="20.100000000000001" customHeight="1" x14ac:dyDescent="0.25">
      <c r="A980" s="151" t="s">
        <v>268</v>
      </c>
      <c r="B980" s="378" t="s">
        <v>1467</v>
      </c>
      <c r="C980" s="371">
        <v>45495</v>
      </c>
      <c r="D980" s="337"/>
      <c r="E980" s="328" t="s">
        <v>263</v>
      </c>
      <c r="F980" s="409"/>
      <c r="G980" s="322"/>
      <c r="H980" s="324">
        <v>1550</v>
      </c>
      <c r="I980" s="325">
        <v>47.722299999999997</v>
      </c>
      <c r="J980" s="325">
        <f t="shared" si="141"/>
        <v>73969.565000000002</v>
      </c>
      <c r="K980" s="318">
        <v>88763.39</v>
      </c>
      <c r="L980" s="322">
        <v>88763.39</v>
      </c>
      <c r="M980" s="371">
        <v>45497</v>
      </c>
      <c r="N980" s="322">
        <f>+Table7[[#This Row],[стойност с ДДС]]-Table7[[#This Row],[направено плащане]]</f>
        <v>0</v>
      </c>
      <c r="O980" s="327"/>
    </row>
    <row r="981" spans="1:15" ht="20.100000000000001" customHeight="1" x14ac:dyDescent="0.25">
      <c r="A981" s="151" t="s">
        <v>268</v>
      </c>
      <c r="B981" s="378" t="s">
        <v>1468</v>
      </c>
      <c r="C981" s="371">
        <v>45495</v>
      </c>
      <c r="D981" s="337"/>
      <c r="E981" s="328" t="s">
        <v>263</v>
      </c>
      <c r="F981" s="409"/>
      <c r="G981" s="322"/>
      <c r="H981" s="324">
        <v>1550</v>
      </c>
      <c r="I981" s="325">
        <v>47.722299999999997</v>
      </c>
      <c r="J981" s="325">
        <f t="shared" si="141"/>
        <v>73969.565000000002</v>
      </c>
      <c r="K981" s="318">
        <f t="shared" si="142"/>
        <v>88763.478000000003</v>
      </c>
      <c r="L981" s="322">
        <v>88763.478000000003</v>
      </c>
      <c r="M981" s="371">
        <v>45518</v>
      </c>
      <c r="N981" s="322">
        <f>+Table7[[#This Row],[стойност с ДДС]]-Table7[[#This Row],[направено плащане]]</f>
        <v>0</v>
      </c>
      <c r="O981" s="327"/>
    </row>
    <row r="982" spans="1:15" ht="20.100000000000001" customHeight="1" x14ac:dyDescent="0.25">
      <c r="A982" s="151" t="s">
        <v>268</v>
      </c>
      <c r="B982" s="378" t="s">
        <v>1469</v>
      </c>
      <c r="C982" s="371">
        <v>45495</v>
      </c>
      <c r="D982" s="337"/>
      <c r="E982" s="328" t="s">
        <v>263</v>
      </c>
      <c r="F982" s="409"/>
      <c r="G982" s="322"/>
      <c r="H982" s="324">
        <v>1550</v>
      </c>
      <c r="I982" s="325">
        <v>48.993499999999997</v>
      </c>
      <c r="J982" s="325">
        <f t="shared" si="141"/>
        <v>75939.925000000003</v>
      </c>
      <c r="K982" s="318">
        <v>91127.99</v>
      </c>
      <c r="L982" s="322">
        <v>91127.99</v>
      </c>
      <c r="M982" s="371">
        <v>45497</v>
      </c>
      <c r="N982" s="322">
        <f>+Table7[[#This Row],[стойност с ДДС]]-Table7[[#This Row],[направено плащане]]</f>
        <v>0</v>
      </c>
      <c r="O982" s="327"/>
    </row>
    <row r="983" spans="1:15" ht="20.100000000000001" customHeight="1" x14ac:dyDescent="0.25">
      <c r="A983" s="151" t="s">
        <v>268</v>
      </c>
      <c r="B983" s="378" t="s">
        <v>1470</v>
      </c>
      <c r="C983" s="371">
        <v>45495</v>
      </c>
      <c r="D983" s="337"/>
      <c r="E983" s="328" t="s">
        <v>263</v>
      </c>
      <c r="F983" s="409"/>
      <c r="G983" s="322"/>
      <c r="H983" s="324">
        <v>1550</v>
      </c>
      <c r="I983" s="325">
        <v>48.993499999999997</v>
      </c>
      <c r="J983" s="325">
        <f t="shared" si="141"/>
        <v>75939.925000000003</v>
      </c>
      <c r="K983" s="318">
        <f t="shared" si="142"/>
        <v>91127.91</v>
      </c>
      <c r="L983" s="322">
        <v>91127.91</v>
      </c>
      <c r="M983" s="371">
        <v>45518</v>
      </c>
      <c r="N983" s="322">
        <f>+Table7[[#This Row],[стойност с ДДС]]-Table7[[#This Row],[направено плащане]]</f>
        <v>0</v>
      </c>
      <c r="O983" s="327"/>
    </row>
    <row r="984" spans="1:15" ht="20.100000000000001" customHeight="1" x14ac:dyDescent="0.25">
      <c r="A984" s="151" t="s">
        <v>268</v>
      </c>
      <c r="B984" s="378" t="s">
        <v>1471</v>
      </c>
      <c r="C984" s="371">
        <v>45495</v>
      </c>
      <c r="D984" s="337"/>
      <c r="E984" s="328" t="s">
        <v>263</v>
      </c>
      <c r="F984" s="409"/>
      <c r="G984" s="322"/>
      <c r="H984" s="324">
        <v>4650</v>
      </c>
      <c r="I984" s="325">
        <v>52.357599999999998</v>
      </c>
      <c r="J984" s="325">
        <f t="shared" si="141"/>
        <v>243462.84</v>
      </c>
      <c r="K984" s="318">
        <v>292155.24</v>
      </c>
      <c r="L984" s="322">
        <v>292155.24</v>
      </c>
      <c r="M984" s="371">
        <v>45497</v>
      </c>
      <c r="N984" s="322">
        <f>+Table7[[#This Row],[стойност с ДДС]]-Table7[[#This Row],[направено плащане]]</f>
        <v>0</v>
      </c>
      <c r="O984" s="327"/>
    </row>
    <row r="985" spans="1:15" ht="20.100000000000001" customHeight="1" x14ac:dyDescent="0.25">
      <c r="A985" s="151" t="s">
        <v>268</v>
      </c>
      <c r="B985" s="378" t="s">
        <v>1472</v>
      </c>
      <c r="C985" s="371">
        <v>45495</v>
      </c>
      <c r="D985" s="337"/>
      <c r="E985" s="328" t="s">
        <v>263</v>
      </c>
      <c r="F985" s="409"/>
      <c r="G985" s="322"/>
      <c r="H985" s="324">
        <v>4650</v>
      </c>
      <c r="I985" s="325">
        <v>52.357599999999998</v>
      </c>
      <c r="J985" s="325">
        <f t="shared" si="141"/>
        <v>243462.84</v>
      </c>
      <c r="K985" s="318">
        <f t="shared" si="142"/>
        <v>292155.408</v>
      </c>
      <c r="L985" s="322">
        <v>292155.408</v>
      </c>
      <c r="M985" s="371">
        <v>45518</v>
      </c>
      <c r="N985" s="322">
        <f>+Table7[[#This Row],[стойност с ДДС]]-Table7[[#This Row],[направено плащане]]</f>
        <v>0</v>
      </c>
      <c r="O985" s="327"/>
    </row>
    <row r="986" spans="1:15" ht="20.100000000000001" customHeight="1" x14ac:dyDescent="0.25">
      <c r="A986" s="151" t="s">
        <v>268</v>
      </c>
      <c r="B986" s="378" t="s">
        <v>1473</v>
      </c>
      <c r="C986" s="371">
        <v>45495</v>
      </c>
      <c r="D986" s="337"/>
      <c r="E986" s="328" t="s">
        <v>263</v>
      </c>
      <c r="F986" s="409"/>
      <c r="G986" s="322"/>
      <c r="H986" s="324">
        <v>1550</v>
      </c>
      <c r="I986" s="325">
        <v>54.078699999999998</v>
      </c>
      <c r="J986" s="325">
        <f t="shared" si="141"/>
        <v>83821.985000000001</v>
      </c>
      <c r="K986" s="318">
        <f t="shared" si="142"/>
        <v>100586.382</v>
      </c>
      <c r="L986" s="322">
        <v>100586.382</v>
      </c>
      <c r="M986" s="371">
        <v>45497</v>
      </c>
      <c r="N986" s="322">
        <f>+Table7[[#This Row],[стойност с ДДС]]-Table7[[#This Row],[направено плащане]]</f>
        <v>0</v>
      </c>
      <c r="O986" s="327"/>
    </row>
    <row r="987" spans="1:15" ht="20.100000000000001" customHeight="1" x14ac:dyDescent="0.25">
      <c r="A987" s="151" t="s">
        <v>268</v>
      </c>
      <c r="B987" s="378" t="s">
        <v>1474</v>
      </c>
      <c r="C987" s="371">
        <v>45495</v>
      </c>
      <c r="D987" s="337"/>
      <c r="E987" s="328" t="s">
        <v>263</v>
      </c>
      <c r="F987" s="409"/>
      <c r="G987" s="322"/>
      <c r="H987" s="324">
        <v>1550</v>
      </c>
      <c r="I987" s="325">
        <v>54.078699999999998</v>
      </c>
      <c r="J987" s="325">
        <f t="shared" si="141"/>
        <v>83821.985000000001</v>
      </c>
      <c r="K987" s="318">
        <f t="shared" si="142"/>
        <v>100586.382</v>
      </c>
      <c r="L987" s="322">
        <v>100586.382</v>
      </c>
      <c r="M987" s="371">
        <v>45518</v>
      </c>
      <c r="N987" s="322">
        <f>+Table7[[#This Row],[стойност с ДДС]]-Table7[[#This Row],[направено плащане]]</f>
        <v>0</v>
      </c>
      <c r="O987" s="327"/>
    </row>
    <row r="988" spans="1:15" ht="20.100000000000001" customHeight="1" x14ac:dyDescent="0.25">
      <c r="A988" s="151" t="s">
        <v>268</v>
      </c>
      <c r="B988" s="378" t="s">
        <v>1475</v>
      </c>
      <c r="C988" s="371">
        <v>45495</v>
      </c>
      <c r="D988" s="337"/>
      <c r="E988" s="328" t="s">
        <v>263</v>
      </c>
      <c r="F988" s="409"/>
      <c r="G988" s="322"/>
      <c r="H988" s="324">
        <v>1550</v>
      </c>
      <c r="I988" s="325">
        <v>50.655999999999999</v>
      </c>
      <c r="J988" s="325">
        <f t="shared" si="141"/>
        <v>78516.800000000003</v>
      </c>
      <c r="K988" s="318">
        <f t="shared" si="142"/>
        <v>94220.160000000003</v>
      </c>
      <c r="L988" s="322">
        <v>94220.160000000003</v>
      </c>
      <c r="M988" s="371">
        <v>45497</v>
      </c>
      <c r="N988" s="322">
        <f>+Table7[[#This Row],[стойност с ДДС]]-Table7[[#This Row],[направено плащане]]</f>
        <v>0</v>
      </c>
      <c r="O988" s="327"/>
    </row>
    <row r="989" spans="1:15" ht="20.100000000000001" customHeight="1" x14ac:dyDescent="0.25">
      <c r="A989" s="151" t="s">
        <v>268</v>
      </c>
      <c r="B989" s="378" t="s">
        <v>1476</v>
      </c>
      <c r="C989" s="371">
        <v>45495</v>
      </c>
      <c r="D989" s="337"/>
      <c r="E989" s="328" t="s">
        <v>263</v>
      </c>
      <c r="F989" s="409"/>
      <c r="G989" s="322"/>
      <c r="H989" s="324">
        <v>1550</v>
      </c>
      <c r="I989" s="325">
        <v>50.655999999999999</v>
      </c>
      <c r="J989" s="325">
        <f t="shared" si="141"/>
        <v>78516.800000000003</v>
      </c>
      <c r="K989" s="318">
        <f t="shared" si="142"/>
        <v>94220.160000000003</v>
      </c>
      <c r="L989" s="322">
        <v>94220.160000000003</v>
      </c>
      <c r="M989" s="371">
        <v>45518</v>
      </c>
      <c r="N989" s="322">
        <f>+Table7[[#This Row],[стойност с ДДС]]-Table7[[#This Row],[направено плащане]]</f>
        <v>0</v>
      </c>
      <c r="O989" s="327"/>
    </row>
    <row r="990" spans="1:15" ht="20.100000000000001" customHeight="1" x14ac:dyDescent="0.25">
      <c r="A990" s="151" t="s">
        <v>268</v>
      </c>
      <c r="B990" s="378" t="s">
        <v>1477</v>
      </c>
      <c r="C990" s="371">
        <v>45495</v>
      </c>
      <c r="D990" s="337"/>
      <c r="E990" s="328" t="s">
        <v>263</v>
      </c>
      <c r="F990" s="409"/>
      <c r="G990" s="322"/>
      <c r="H990" s="324">
        <v>1550</v>
      </c>
      <c r="I990" s="325">
        <v>51.438299999999998</v>
      </c>
      <c r="J990" s="325">
        <f t="shared" si="141"/>
        <v>79729.364999999991</v>
      </c>
      <c r="K990" s="318">
        <v>95675.29</v>
      </c>
      <c r="L990" s="322">
        <v>95675.29</v>
      </c>
      <c r="M990" s="371">
        <v>45497</v>
      </c>
      <c r="N990" s="322">
        <f>+Table7[[#This Row],[стойност с ДДС]]-Table7[[#This Row],[направено плащане]]</f>
        <v>0</v>
      </c>
      <c r="O990" s="327"/>
    </row>
    <row r="991" spans="1:15" ht="20.100000000000001" customHeight="1" x14ac:dyDescent="0.25">
      <c r="A991" s="206" t="s">
        <v>268</v>
      </c>
      <c r="B991" s="378" t="s">
        <v>1478</v>
      </c>
      <c r="C991" s="371">
        <v>45495</v>
      </c>
      <c r="D991" s="343"/>
      <c r="E991" s="347" t="s">
        <v>263</v>
      </c>
      <c r="F991" s="412"/>
      <c r="G991" s="342"/>
      <c r="H991" s="344">
        <v>1550</v>
      </c>
      <c r="I991" s="345">
        <v>51.438299999999998</v>
      </c>
      <c r="J991" s="345">
        <f t="shared" si="141"/>
        <v>79729.364999999991</v>
      </c>
      <c r="K991" s="320">
        <f t="shared" si="142"/>
        <v>95675.237999999983</v>
      </c>
      <c r="L991" s="342">
        <v>95675.237999999983</v>
      </c>
      <c r="M991" s="373">
        <v>45518</v>
      </c>
      <c r="N991" s="342">
        <f>+Table7[[#This Row],[стойност с ДДС]]-Table7[[#This Row],[направено плащане]]</f>
        <v>0</v>
      </c>
      <c r="O991" s="346"/>
    </row>
    <row r="992" spans="1:15" ht="20.100000000000001" customHeight="1" x14ac:dyDescent="0.25">
      <c r="A992" s="206" t="s">
        <v>159</v>
      </c>
      <c r="B992" s="381" t="s">
        <v>1482</v>
      </c>
      <c r="C992" s="373">
        <v>45494</v>
      </c>
      <c r="D992" s="343"/>
      <c r="E992" s="347" t="s">
        <v>131</v>
      </c>
      <c r="F992" s="409"/>
      <c r="G992" s="322"/>
      <c r="H992" s="324">
        <v>1600</v>
      </c>
      <c r="I992" s="325">
        <f>26.61274*1.9563</f>
        <v>52.062503261999993</v>
      </c>
      <c r="J992" s="325">
        <f>I992*H992</f>
        <v>83300.005219199986</v>
      </c>
      <c r="K992" s="318">
        <v>83270.009999999995</v>
      </c>
      <c r="L992" s="322">
        <v>83270.009999999995</v>
      </c>
      <c r="M992" s="371">
        <v>45498</v>
      </c>
      <c r="N992" s="322">
        <f>+Table7[[#This Row],[стойност с ДДС]]-Table7[[#This Row],[направено плащане]]</f>
        <v>0</v>
      </c>
      <c r="O992" s="327"/>
    </row>
    <row r="993" spans="1:15" ht="20.100000000000001" customHeight="1" x14ac:dyDescent="0.25">
      <c r="A993" s="206" t="s">
        <v>1017</v>
      </c>
      <c r="B993" s="381" t="s">
        <v>1480</v>
      </c>
      <c r="C993" s="373">
        <v>45495</v>
      </c>
      <c r="D993" s="343"/>
      <c r="E993" s="347" t="s">
        <v>131</v>
      </c>
      <c r="F993" s="412"/>
      <c r="G993" s="342"/>
      <c r="H993" s="344">
        <v>500</v>
      </c>
      <c r="I993" s="345">
        <v>52</v>
      </c>
      <c r="J993" s="345">
        <f t="shared" ref="J993:J995" si="143">I993*H993</f>
        <v>26000</v>
      </c>
      <c r="K993" s="320">
        <f>J993*1.2</f>
        <v>31200</v>
      </c>
      <c r="L993" s="342">
        <v>31200</v>
      </c>
      <c r="M993" s="373">
        <v>45498</v>
      </c>
      <c r="N993" s="342">
        <f>+Table7[[#This Row],[стойност с ДДС]]-Table7[[#This Row],[направено плащане]]</f>
        <v>0</v>
      </c>
      <c r="O993" s="346"/>
    </row>
    <row r="994" spans="1:15" ht="20.100000000000001" customHeight="1" x14ac:dyDescent="0.25">
      <c r="A994" s="206" t="s">
        <v>1017</v>
      </c>
      <c r="B994" s="381" t="s">
        <v>1480</v>
      </c>
      <c r="C994" s="373">
        <v>45495</v>
      </c>
      <c r="D994" s="343"/>
      <c r="E994" s="347" t="s">
        <v>131</v>
      </c>
      <c r="F994" s="412"/>
      <c r="G994" s="342"/>
      <c r="H994" s="344">
        <v>500</v>
      </c>
      <c r="I994" s="345">
        <v>52</v>
      </c>
      <c r="J994" s="345">
        <f t="shared" si="143"/>
        <v>26000</v>
      </c>
      <c r="K994" s="320">
        <f>J994*1.2</f>
        <v>31200</v>
      </c>
      <c r="L994" s="342">
        <v>31200</v>
      </c>
      <c r="M994" s="373">
        <v>45498</v>
      </c>
      <c r="N994" s="342">
        <f>+Table7[[#This Row],[стойност с ДДС]]-Table7[[#This Row],[направено плащане]]</f>
        <v>0</v>
      </c>
      <c r="O994" s="346"/>
    </row>
    <row r="995" spans="1:15" ht="20.100000000000001" customHeight="1" x14ac:dyDescent="0.25">
      <c r="A995" s="206" t="s">
        <v>1258</v>
      </c>
      <c r="B995" s="381" t="s">
        <v>1259</v>
      </c>
      <c r="C995" s="373">
        <v>45492</v>
      </c>
      <c r="D995" s="343"/>
      <c r="E995" s="328" t="s">
        <v>263</v>
      </c>
      <c r="F995" s="412"/>
      <c r="G995" s="342"/>
      <c r="H995" s="344">
        <v>3100</v>
      </c>
      <c r="I995" s="345">
        <v>25.12</v>
      </c>
      <c r="J995" s="345">
        <f t="shared" si="143"/>
        <v>77872</v>
      </c>
      <c r="K995" s="320">
        <v>152340.99</v>
      </c>
      <c r="L995" s="342">
        <v>152340.99</v>
      </c>
      <c r="M995" s="373">
        <v>45497</v>
      </c>
      <c r="N995" s="342">
        <f>+Table7[[#This Row],[стойност с ДДС]]-Table7[[#This Row],[направено плащане]]</f>
        <v>0</v>
      </c>
      <c r="O995" s="346"/>
    </row>
    <row r="996" spans="1:15" ht="20.100000000000001" customHeight="1" x14ac:dyDescent="0.25">
      <c r="A996" s="206" t="s">
        <v>1258</v>
      </c>
      <c r="B996" s="381" t="s">
        <v>1260</v>
      </c>
      <c r="C996" s="371">
        <v>45492</v>
      </c>
      <c r="D996" s="337"/>
      <c r="E996" s="328" t="s">
        <v>263</v>
      </c>
      <c r="F996" s="409"/>
      <c r="G996" s="322"/>
      <c r="H996" s="324">
        <v>9300</v>
      </c>
      <c r="I996" s="325">
        <v>29.1</v>
      </c>
      <c r="J996" s="325">
        <f t="shared" ref="J996:J999" si="144">I996*H996</f>
        <v>270630</v>
      </c>
      <c r="K996" s="318">
        <v>529433.47</v>
      </c>
      <c r="L996" s="322">
        <v>529433.47</v>
      </c>
      <c r="M996" s="371">
        <v>45497</v>
      </c>
      <c r="N996" s="322">
        <f>+Table7[[#This Row],[стойност с ДДС]]-Table7[[#This Row],[направено плащане]]</f>
        <v>0</v>
      </c>
      <c r="O996" s="327"/>
    </row>
    <row r="997" spans="1:15" ht="20.100000000000001" customHeight="1" x14ac:dyDescent="0.25">
      <c r="A997" s="206" t="s">
        <v>1258</v>
      </c>
      <c r="B997" s="381" t="s">
        <v>1261</v>
      </c>
      <c r="C997" s="371">
        <v>45492</v>
      </c>
      <c r="D997" s="337"/>
      <c r="E997" s="328" t="s">
        <v>263</v>
      </c>
      <c r="F997" s="409"/>
      <c r="G997" s="322"/>
      <c r="H997" s="324">
        <v>6200</v>
      </c>
      <c r="I997" s="325">
        <v>23.7</v>
      </c>
      <c r="J997" s="325">
        <f t="shared" si="144"/>
        <v>146940</v>
      </c>
      <c r="K997" s="318">
        <v>287458.71999999997</v>
      </c>
      <c r="L997" s="322">
        <v>287458.71999999997</v>
      </c>
      <c r="M997" s="371">
        <v>45497</v>
      </c>
      <c r="N997" s="322">
        <f>+Table7[[#This Row],[стойност с ДДС]]-Table7[[#This Row],[направено плащане]]</f>
        <v>0</v>
      </c>
      <c r="O997" s="327"/>
    </row>
    <row r="998" spans="1:15" ht="20.100000000000001" customHeight="1" x14ac:dyDescent="0.25">
      <c r="A998" s="206" t="s">
        <v>1258</v>
      </c>
      <c r="B998" s="381" t="s">
        <v>1262</v>
      </c>
      <c r="C998" s="371">
        <v>45492</v>
      </c>
      <c r="D998" s="337"/>
      <c r="E998" s="328" t="s">
        <v>263</v>
      </c>
      <c r="F998" s="409"/>
      <c r="G998" s="322"/>
      <c r="H998" s="324">
        <v>12400</v>
      </c>
      <c r="I998" s="325">
        <v>24.13</v>
      </c>
      <c r="J998" s="325">
        <f t="shared" si="144"/>
        <v>299212</v>
      </c>
      <c r="K998" s="318">
        <v>585348.43000000005</v>
      </c>
      <c r="L998" s="322">
        <v>585348.43000000005</v>
      </c>
      <c r="M998" s="371">
        <v>45497</v>
      </c>
      <c r="N998" s="322">
        <f>+Table7[[#This Row],[стойност с ДДС]]-Table7[[#This Row],[направено плащане]]</f>
        <v>0</v>
      </c>
      <c r="O998" s="327"/>
    </row>
    <row r="999" spans="1:15" ht="20.100000000000001" customHeight="1" x14ac:dyDescent="0.25">
      <c r="A999" s="206" t="s">
        <v>1258</v>
      </c>
      <c r="B999" s="381" t="s">
        <v>1263</v>
      </c>
      <c r="C999" s="371">
        <v>45492</v>
      </c>
      <c r="D999" s="337"/>
      <c r="E999" s="328" t="s">
        <v>263</v>
      </c>
      <c r="F999" s="409"/>
      <c r="G999" s="322"/>
      <c r="H999" s="324">
        <v>9300</v>
      </c>
      <c r="I999" s="325">
        <v>30.3</v>
      </c>
      <c r="J999" s="325">
        <f t="shared" si="144"/>
        <v>281790</v>
      </c>
      <c r="K999" s="318">
        <v>551265.78</v>
      </c>
      <c r="L999" s="322">
        <v>551265.78</v>
      </c>
      <c r="M999" s="371">
        <v>45497</v>
      </c>
      <c r="N999" s="322">
        <f>+Table7[[#This Row],[стойност с ДДС]]-Table7[[#This Row],[направено плащане]]</f>
        <v>0</v>
      </c>
      <c r="O999" s="327"/>
    </row>
    <row r="1000" spans="1:15" ht="20.100000000000001" customHeight="1" x14ac:dyDescent="0.25">
      <c r="A1000" s="206" t="s">
        <v>157</v>
      </c>
      <c r="B1000" s="381" t="s">
        <v>1481</v>
      </c>
      <c r="C1000" s="373">
        <v>45495</v>
      </c>
      <c r="D1000" s="343"/>
      <c r="E1000" s="347" t="s">
        <v>131</v>
      </c>
      <c r="F1000" s="412"/>
      <c r="G1000" s="342"/>
      <c r="H1000" s="344">
        <v>1000</v>
      </c>
      <c r="I1000" s="345">
        <v>52</v>
      </c>
      <c r="J1000" s="345">
        <f t="shared" ref="J1000:J1006" si="145">I1000*H1000</f>
        <v>52000</v>
      </c>
      <c r="K1000" s="320">
        <f t="shared" ref="K1000:K1004" si="146">J1000*1.2</f>
        <v>62400</v>
      </c>
      <c r="L1000" s="342">
        <v>62400</v>
      </c>
      <c r="M1000" s="373">
        <v>45498</v>
      </c>
      <c r="N1000" s="342">
        <f>+Table7[[#This Row],[стойност с ДДС]]-Table7[[#This Row],[направено плащане]]</f>
        <v>0</v>
      </c>
      <c r="O1000" s="346"/>
    </row>
    <row r="1001" spans="1:15" ht="20.100000000000001" customHeight="1" x14ac:dyDescent="0.25">
      <c r="A1001" s="206" t="s">
        <v>118</v>
      </c>
      <c r="B1001" s="381" t="s">
        <v>1483</v>
      </c>
      <c r="C1001" s="373">
        <v>45494</v>
      </c>
      <c r="D1001" s="343"/>
      <c r="E1001" s="347" t="s">
        <v>131</v>
      </c>
      <c r="F1001" s="412"/>
      <c r="G1001" s="342"/>
      <c r="H1001" s="344">
        <v>300</v>
      </c>
      <c r="I1001" s="345">
        <v>52</v>
      </c>
      <c r="J1001" s="345">
        <f t="shared" si="145"/>
        <v>15600</v>
      </c>
      <c r="K1001" s="320">
        <f t="shared" si="146"/>
        <v>18720</v>
      </c>
      <c r="L1001" s="342">
        <v>18720</v>
      </c>
      <c r="M1001" s="373">
        <v>45498</v>
      </c>
      <c r="N1001" s="342">
        <f>+Table7[[#This Row],[стойност с ДДС]]-Table7[[#This Row],[направено плащане]]</f>
        <v>0</v>
      </c>
      <c r="O1001" s="346"/>
    </row>
    <row r="1002" spans="1:15" ht="20.100000000000001" customHeight="1" x14ac:dyDescent="0.25">
      <c r="A1002" s="206" t="s">
        <v>118</v>
      </c>
      <c r="B1002" s="381" t="s">
        <v>1483</v>
      </c>
      <c r="C1002" s="373">
        <v>45494</v>
      </c>
      <c r="D1002" s="343"/>
      <c r="E1002" s="347" t="s">
        <v>131</v>
      </c>
      <c r="F1002" s="412"/>
      <c r="G1002" s="342"/>
      <c r="H1002" s="344">
        <v>100</v>
      </c>
      <c r="I1002" s="345">
        <v>52</v>
      </c>
      <c r="J1002" s="345">
        <f t="shared" si="145"/>
        <v>5200</v>
      </c>
      <c r="K1002" s="320">
        <f t="shared" si="146"/>
        <v>6240</v>
      </c>
      <c r="L1002" s="342">
        <v>6240</v>
      </c>
      <c r="M1002" s="373">
        <v>45498</v>
      </c>
      <c r="N1002" s="342">
        <f>+Table7[[#This Row],[стойност с ДДС]]-Table7[[#This Row],[направено плащане]]</f>
        <v>0</v>
      </c>
      <c r="O1002" s="346"/>
    </row>
    <row r="1003" spans="1:15" ht="20.100000000000001" customHeight="1" x14ac:dyDescent="0.25">
      <c r="A1003" s="206" t="s">
        <v>118</v>
      </c>
      <c r="B1003" s="378" t="s">
        <v>1484</v>
      </c>
      <c r="C1003" s="371">
        <v>45492</v>
      </c>
      <c r="D1003" s="337"/>
      <c r="E1003" s="347" t="s">
        <v>131</v>
      </c>
      <c r="F1003" s="409"/>
      <c r="G1003" s="322"/>
      <c r="H1003" s="324">
        <v>600</v>
      </c>
      <c r="I1003" s="325">
        <v>51.9</v>
      </c>
      <c r="J1003" s="325">
        <f t="shared" si="145"/>
        <v>31140</v>
      </c>
      <c r="K1003" s="318">
        <f t="shared" si="146"/>
        <v>37368</v>
      </c>
      <c r="L1003" s="322">
        <v>37368</v>
      </c>
      <c r="M1003" s="371">
        <v>45498</v>
      </c>
      <c r="N1003" s="322">
        <f>+Table7[[#This Row],[стойност с ДДС]]-Table7[[#This Row],[направено плащане]]</f>
        <v>0</v>
      </c>
      <c r="O1003" s="327"/>
    </row>
    <row r="1004" spans="1:15" ht="20.100000000000001" customHeight="1" x14ac:dyDescent="0.25">
      <c r="A1004" s="206" t="s">
        <v>118</v>
      </c>
      <c r="B1004" s="381" t="s">
        <v>1484</v>
      </c>
      <c r="C1004" s="373">
        <v>45492</v>
      </c>
      <c r="D1004" s="343"/>
      <c r="E1004" s="347" t="s">
        <v>131</v>
      </c>
      <c r="F1004" s="412"/>
      <c r="G1004" s="342"/>
      <c r="H1004" s="344">
        <v>50</v>
      </c>
      <c r="I1004" s="345">
        <v>49.5</v>
      </c>
      <c r="J1004" s="345">
        <f t="shared" si="145"/>
        <v>2475</v>
      </c>
      <c r="K1004" s="320">
        <f t="shared" si="146"/>
        <v>2970</v>
      </c>
      <c r="L1004" s="342">
        <v>2970</v>
      </c>
      <c r="M1004" s="373">
        <v>45498</v>
      </c>
      <c r="N1004" s="342">
        <f>+Table7[[#This Row],[стойност с ДДС]]-Table7[[#This Row],[направено плащане]]</f>
        <v>0</v>
      </c>
      <c r="O1004" s="346"/>
    </row>
    <row r="1005" spans="1:15" ht="20.100000000000001" customHeight="1" x14ac:dyDescent="0.25">
      <c r="A1005" s="206" t="s">
        <v>780</v>
      </c>
      <c r="B1005" s="381" t="s">
        <v>1487</v>
      </c>
      <c r="C1005" s="373">
        <v>45497</v>
      </c>
      <c r="D1005" s="343"/>
      <c r="E1005" s="352" t="s">
        <v>422</v>
      </c>
      <c r="F1005" s="412"/>
      <c r="G1005" s="342"/>
      <c r="H1005" s="344">
        <v>3</v>
      </c>
      <c r="I1005" s="345">
        <v>5.8330000000000002</v>
      </c>
      <c r="J1005" s="345">
        <f t="shared" si="145"/>
        <v>17.499000000000002</v>
      </c>
      <c r="K1005" s="320">
        <f t="shared" ref="K1005" si="147">J1005*1.2</f>
        <v>20.998800000000003</v>
      </c>
      <c r="L1005" s="342"/>
      <c r="M1005" s="373"/>
      <c r="N1005" s="342">
        <f>+Table7[[#This Row],[стойност с ДДС]]-Table7[[#This Row],[направено плащане]]</f>
        <v>20.998800000000003</v>
      </c>
      <c r="O1005" s="346"/>
    </row>
    <row r="1006" spans="1:15" ht="20.100000000000001" customHeight="1" x14ac:dyDescent="0.25">
      <c r="A1006" s="206" t="s">
        <v>99</v>
      </c>
      <c r="B1006" s="381" t="s">
        <v>1488</v>
      </c>
      <c r="C1006" s="373">
        <v>45498</v>
      </c>
      <c r="D1006" s="343"/>
      <c r="E1006" s="347" t="s">
        <v>131</v>
      </c>
      <c r="F1006" s="412" t="s">
        <v>1489</v>
      </c>
      <c r="G1006" s="342"/>
      <c r="H1006" s="344">
        <v>200</v>
      </c>
      <c r="I1006" s="345">
        <v>52</v>
      </c>
      <c r="J1006" s="345">
        <f t="shared" si="145"/>
        <v>10400</v>
      </c>
      <c r="K1006" s="320">
        <f>J1006*1.2</f>
        <v>12480</v>
      </c>
      <c r="L1006" s="342">
        <v>12480</v>
      </c>
      <c r="M1006" s="373">
        <v>45499</v>
      </c>
      <c r="N1006" s="342">
        <f>+Table7[[#This Row],[стойност с ДДС]]-Table7[[#This Row],[направено плащане]]</f>
        <v>0</v>
      </c>
      <c r="O1006" s="346"/>
    </row>
    <row r="1007" spans="1:15" ht="20.100000000000001" customHeight="1" x14ac:dyDescent="0.25">
      <c r="A1007" s="151" t="s">
        <v>99</v>
      </c>
      <c r="B1007" s="378" t="s">
        <v>1488</v>
      </c>
      <c r="C1007" s="371">
        <v>45498</v>
      </c>
      <c r="D1007" s="337"/>
      <c r="E1007" s="328" t="s">
        <v>131</v>
      </c>
      <c r="F1007" s="409" t="s">
        <v>1490</v>
      </c>
      <c r="G1007" s="322"/>
      <c r="H1007" s="324">
        <v>100</v>
      </c>
      <c r="I1007" s="325">
        <v>52.5</v>
      </c>
      <c r="J1007" s="325">
        <f t="shared" ref="J1007:J1011" si="148">I1007*H1007</f>
        <v>5250</v>
      </c>
      <c r="K1007" s="318">
        <f t="shared" ref="K1007:K1011" si="149">J1007*1.2</f>
        <v>6300</v>
      </c>
      <c r="L1007" s="322">
        <v>6300</v>
      </c>
      <c r="M1007" s="371">
        <v>45499</v>
      </c>
      <c r="N1007" s="322">
        <f>+Table7[[#This Row],[стойност с ДДС]]-Table7[[#This Row],[направено плащане]]</f>
        <v>0</v>
      </c>
      <c r="O1007" s="327"/>
    </row>
    <row r="1008" spans="1:15" ht="20.100000000000001" customHeight="1" x14ac:dyDescent="0.25">
      <c r="A1008" s="151" t="s">
        <v>99</v>
      </c>
      <c r="B1008" s="378" t="s">
        <v>1488</v>
      </c>
      <c r="C1008" s="371">
        <v>45498</v>
      </c>
      <c r="D1008" s="337"/>
      <c r="E1008" s="328" t="s">
        <v>131</v>
      </c>
      <c r="F1008" s="409" t="s">
        <v>1491</v>
      </c>
      <c r="G1008" s="322"/>
      <c r="H1008" s="324">
        <v>80</v>
      </c>
      <c r="I1008" s="325">
        <v>52</v>
      </c>
      <c r="J1008" s="325">
        <f t="shared" si="148"/>
        <v>4160</v>
      </c>
      <c r="K1008" s="318">
        <f t="shared" si="149"/>
        <v>4992</v>
      </c>
      <c r="L1008" s="322">
        <v>4992</v>
      </c>
      <c r="M1008" s="371">
        <v>45499</v>
      </c>
      <c r="N1008" s="322">
        <f>+Table7[[#This Row],[стойност с ДДС]]-Table7[[#This Row],[направено плащане]]</f>
        <v>0</v>
      </c>
      <c r="O1008" s="327"/>
    </row>
    <row r="1009" spans="1:15" ht="20.100000000000001" customHeight="1" x14ac:dyDescent="0.25">
      <c r="A1009" s="151" t="s">
        <v>99</v>
      </c>
      <c r="B1009" s="378" t="s">
        <v>1488</v>
      </c>
      <c r="C1009" s="371">
        <v>45498</v>
      </c>
      <c r="D1009" s="337"/>
      <c r="E1009" s="328" t="s">
        <v>131</v>
      </c>
      <c r="F1009" s="409" t="s">
        <v>1492</v>
      </c>
      <c r="G1009" s="322"/>
      <c r="H1009" s="324">
        <v>500</v>
      </c>
      <c r="I1009" s="325">
        <v>51.5</v>
      </c>
      <c r="J1009" s="325">
        <f t="shared" si="148"/>
        <v>25750</v>
      </c>
      <c r="K1009" s="318">
        <f t="shared" si="149"/>
        <v>30900</v>
      </c>
      <c r="L1009" s="322">
        <v>30900</v>
      </c>
      <c r="M1009" s="371">
        <v>45499</v>
      </c>
      <c r="N1009" s="322">
        <f>+Table7[[#This Row],[стойност с ДДС]]-Table7[[#This Row],[направено плащане]]</f>
        <v>0</v>
      </c>
      <c r="O1009" s="327"/>
    </row>
    <row r="1010" spans="1:15" ht="20.100000000000001" customHeight="1" x14ac:dyDescent="0.25">
      <c r="A1010" s="151" t="s">
        <v>99</v>
      </c>
      <c r="B1010" s="378" t="s">
        <v>1488</v>
      </c>
      <c r="C1010" s="371">
        <v>45498</v>
      </c>
      <c r="D1010" s="337"/>
      <c r="E1010" s="328" t="s">
        <v>131</v>
      </c>
      <c r="F1010" s="409" t="s">
        <v>1493</v>
      </c>
      <c r="G1010" s="322"/>
      <c r="H1010" s="324">
        <v>300</v>
      </c>
      <c r="I1010" s="325">
        <v>51.5</v>
      </c>
      <c r="J1010" s="325">
        <f t="shared" si="148"/>
        <v>15450</v>
      </c>
      <c r="K1010" s="318">
        <f t="shared" si="149"/>
        <v>18540</v>
      </c>
      <c r="L1010" s="322">
        <v>18540</v>
      </c>
      <c r="M1010" s="371">
        <v>45499</v>
      </c>
      <c r="N1010" s="322">
        <f>+Table7[[#This Row],[стойност с ДДС]]-Table7[[#This Row],[направено плащане]]</f>
        <v>0</v>
      </c>
      <c r="O1010" s="327"/>
    </row>
    <row r="1011" spans="1:15" ht="20.100000000000001" customHeight="1" x14ac:dyDescent="0.25">
      <c r="A1011" s="206" t="s">
        <v>99</v>
      </c>
      <c r="B1011" s="381" t="s">
        <v>1488</v>
      </c>
      <c r="C1011" s="373">
        <v>45498</v>
      </c>
      <c r="D1011" s="343"/>
      <c r="E1011" s="347" t="s">
        <v>131</v>
      </c>
      <c r="F1011" s="412" t="s">
        <v>1494</v>
      </c>
      <c r="G1011" s="342"/>
      <c r="H1011" s="344">
        <v>150</v>
      </c>
      <c r="I1011" s="345">
        <v>51.4</v>
      </c>
      <c r="J1011" s="345">
        <f t="shared" si="148"/>
        <v>7710</v>
      </c>
      <c r="K1011" s="320">
        <f t="shared" si="149"/>
        <v>9252</v>
      </c>
      <c r="L1011" s="342">
        <v>9252</v>
      </c>
      <c r="M1011" s="373">
        <v>45499</v>
      </c>
      <c r="N1011" s="342">
        <f>+Table7[[#This Row],[стойност с ДДС]]-Table7[[#This Row],[направено плащане]]</f>
        <v>0</v>
      </c>
      <c r="O1011" s="346"/>
    </row>
    <row r="1012" spans="1:15" ht="20.100000000000001" customHeight="1" x14ac:dyDescent="0.25">
      <c r="A1012" s="206" t="s">
        <v>268</v>
      </c>
      <c r="B1012" s="381" t="s">
        <v>1495</v>
      </c>
      <c r="C1012" s="373">
        <v>45497</v>
      </c>
      <c r="D1012" s="343"/>
      <c r="E1012" s="347" t="s">
        <v>131</v>
      </c>
      <c r="F1012" s="412"/>
      <c r="G1012" s="342"/>
      <c r="H1012" s="344">
        <v>300</v>
      </c>
      <c r="I1012" s="345">
        <v>51.45</v>
      </c>
      <c r="J1012" s="345">
        <f>I1012*H1012</f>
        <v>15435</v>
      </c>
      <c r="K1012" s="320">
        <f>J1012*1.2</f>
        <v>18522</v>
      </c>
      <c r="L1012" s="342">
        <v>18522</v>
      </c>
      <c r="M1012" s="373">
        <v>45503</v>
      </c>
      <c r="N1012" s="342">
        <f>+Table7[[#This Row],[стойност с ДДС]]-Table7[[#This Row],[направено плащане]]</f>
        <v>0</v>
      </c>
      <c r="O1012" s="346"/>
    </row>
    <row r="1013" spans="1:15" ht="20.100000000000001" customHeight="1" x14ac:dyDescent="0.25">
      <c r="A1013" s="151" t="s">
        <v>159</v>
      </c>
      <c r="B1013" s="378" t="s">
        <v>1479</v>
      </c>
      <c r="C1013" s="371">
        <v>45496</v>
      </c>
      <c r="D1013" s="337"/>
      <c r="E1013" s="328" t="s">
        <v>131</v>
      </c>
      <c r="F1013" s="409">
        <v>157854</v>
      </c>
      <c r="G1013" s="322"/>
      <c r="H1013" s="324">
        <v>500</v>
      </c>
      <c r="I1013" s="325">
        <v>51.61</v>
      </c>
      <c r="J1013" s="325">
        <f t="shared" ref="J1013" si="150">I1013*H1013</f>
        <v>25805</v>
      </c>
      <c r="K1013" s="320">
        <v>25806.2</v>
      </c>
      <c r="L1013" s="322">
        <v>25806.2</v>
      </c>
      <c r="M1013" s="371">
        <v>45499</v>
      </c>
      <c r="N1013" s="322">
        <f>+Table7[[#This Row],[стойност с ДДС]]-Table7[[#This Row],[направено плащане]]</f>
        <v>0</v>
      </c>
      <c r="O1013" s="327"/>
    </row>
    <row r="1014" spans="1:15" ht="20.100000000000001" customHeight="1" x14ac:dyDescent="0.25">
      <c r="A1014" s="151" t="s">
        <v>159</v>
      </c>
      <c r="B1014" s="378" t="s">
        <v>1520</v>
      </c>
      <c r="C1014" s="371">
        <v>45496</v>
      </c>
      <c r="D1014" s="337"/>
      <c r="E1014" s="328" t="s">
        <v>131</v>
      </c>
      <c r="F1014" s="409" t="s">
        <v>1521</v>
      </c>
      <c r="G1014" s="322"/>
      <c r="H1014" s="324">
        <v>1367</v>
      </c>
      <c r="I1014" s="325">
        <v>51.14</v>
      </c>
      <c r="J1014" s="325">
        <f>I1014*H1014</f>
        <v>69908.38</v>
      </c>
      <c r="K1014" s="318">
        <v>69931.350000000006</v>
      </c>
      <c r="L1014" s="322">
        <v>69931.350000000006</v>
      </c>
      <c r="M1014" s="371">
        <v>45502</v>
      </c>
      <c r="N1014" s="322">
        <f>+Table7[[#This Row],[стойност с ДДС]]-Table7[[#This Row],[направено плащане]]</f>
        <v>0</v>
      </c>
      <c r="O1014" s="327"/>
    </row>
    <row r="1015" spans="1:15" ht="20.100000000000001" customHeight="1" x14ac:dyDescent="0.25">
      <c r="A1015" s="151" t="s">
        <v>159</v>
      </c>
      <c r="B1015" s="378" t="s">
        <v>1530</v>
      </c>
      <c r="C1015" s="371">
        <v>45497</v>
      </c>
      <c r="D1015" s="337"/>
      <c r="E1015" s="328" t="s">
        <v>131</v>
      </c>
      <c r="F1015" s="409" t="s">
        <v>1531</v>
      </c>
      <c r="G1015" s="322"/>
      <c r="H1015" s="324">
        <v>1000</v>
      </c>
      <c r="I1015" s="325">
        <v>51.46</v>
      </c>
      <c r="J1015" s="325">
        <f>I1015*H1015</f>
        <v>51460</v>
      </c>
      <c r="K1015" s="318">
        <v>51462.37</v>
      </c>
      <c r="L1015" s="322">
        <v>51462.37</v>
      </c>
      <c r="M1015" s="371">
        <v>45503</v>
      </c>
      <c r="N1015" s="322">
        <f>+Table7[[#This Row],[стойност с ДДС]]-Table7[[#This Row],[направено плащане]]</f>
        <v>0</v>
      </c>
      <c r="O1015" s="327"/>
    </row>
    <row r="1016" spans="1:15" ht="20.100000000000001" customHeight="1" x14ac:dyDescent="0.25">
      <c r="A1016" s="206" t="s">
        <v>1461</v>
      </c>
      <c r="B1016" s="381" t="s">
        <v>1518</v>
      </c>
      <c r="C1016" s="373">
        <v>45497</v>
      </c>
      <c r="D1016" s="343"/>
      <c r="E1016" s="347" t="s">
        <v>131</v>
      </c>
      <c r="F1016" s="412"/>
      <c r="G1016" s="342"/>
      <c r="H1016" s="344">
        <v>1631</v>
      </c>
      <c r="I1016" s="345">
        <v>51.29</v>
      </c>
      <c r="J1016" s="325">
        <f t="shared" ref="J1016" si="151">I1016*H1016</f>
        <v>83653.990000000005</v>
      </c>
      <c r="K1016" s="320">
        <v>83647</v>
      </c>
      <c r="L1016" s="342">
        <v>83647</v>
      </c>
      <c r="M1016" s="373">
        <v>45499</v>
      </c>
      <c r="N1016" s="342"/>
      <c r="O1016" s="346"/>
    </row>
    <row r="1017" spans="1:15" ht="20.100000000000001" customHeight="1" x14ac:dyDescent="0.25">
      <c r="A1017" s="206" t="s">
        <v>235</v>
      </c>
      <c r="B1017" s="381" t="s">
        <v>1496</v>
      </c>
      <c r="C1017" s="373">
        <v>45497</v>
      </c>
      <c r="D1017" s="343"/>
      <c r="E1017" s="347" t="s">
        <v>263</v>
      </c>
      <c r="F1017" s="412"/>
      <c r="G1017" s="342"/>
      <c r="H1017" s="344"/>
      <c r="I1017" s="345">
        <f>27.7*1.9563</f>
        <v>54.189509999999999</v>
      </c>
      <c r="J1017" s="345">
        <f>I1017*H1017</f>
        <v>0</v>
      </c>
      <c r="K1017" s="320">
        <v>335974.96</v>
      </c>
      <c r="L1017" s="342">
        <v>335974.96</v>
      </c>
      <c r="M1017" s="373">
        <v>45499</v>
      </c>
      <c r="N1017" s="342">
        <f>+Table7[[#This Row],[стойност с ДДС]]-Table7[[#This Row],[направено плащане]]</f>
        <v>0</v>
      </c>
      <c r="O1017" s="346"/>
    </row>
    <row r="1018" spans="1:15" ht="20.100000000000001" customHeight="1" x14ac:dyDescent="0.25">
      <c r="A1018" s="206" t="s">
        <v>235</v>
      </c>
      <c r="B1018" s="381" t="s">
        <v>1497</v>
      </c>
      <c r="C1018" s="373">
        <v>45498</v>
      </c>
      <c r="D1018" s="343"/>
      <c r="E1018" s="347" t="s">
        <v>263</v>
      </c>
      <c r="F1018" s="409"/>
      <c r="G1018" s="322"/>
      <c r="H1018" s="324"/>
      <c r="I1018" s="345">
        <f>27.7*1.9563</f>
        <v>54.189509999999999</v>
      </c>
      <c r="J1018" s="325">
        <f>I1018*H1018</f>
        <v>0</v>
      </c>
      <c r="K1018" s="342">
        <v>335974.96</v>
      </c>
      <c r="L1018" s="322">
        <v>335974.96</v>
      </c>
      <c r="M1018" s="371">
        <v>45517</v>
      </c>
      <c r="N1018" s="322">
        <f>+Table7[[#This Row],[стойност с ДДС]]-Table7[[#This Row],[направено плащане]]</f>
        <v>0</v>
      </c>
      <c r="O1018" s="327"/>
    </row>
    <row r="1019" spans="1:15" ht="20.100000000000001" customHeight="1" x14ac:dyDescent="0.25">
      <c r="A1019" s="206" t="s">
        <v>235</v>
      </c>
      <c r="B1019" s="381" t="s">
        <v>1498</v>
      </c>
      <c r="C1019" s="373">
        <v>45499</v>
      </c>
      <c r="D1019" s="343"/>
      <c r="E1019" s="347" t="s">
        <v>263</v>
      </c>
      <c r="F1019" s="409"/>
      <c r="G1019" s="322"/>
      <c r="H1019" s="324"/>
      <c r="I1019" s="345">
        <f>27.7*1.9563</f>
        <v>54.189509999999999</v>
      </c>
      <c r="J1019" s="325">
        <f t="shared" ref="J1019:J1020" si="152">I1019*H1019</f>
        <v>0</v>
      </c>
      <c r="K1019" s="342">
        <v>334762.06</v>
      </c>
      <c r="L1019" s="322">
        <v>334762.06</v>
      </c>
      <c r="M1019" s="371">
        <v>45499</v>
      </c>
      <c r="N1019" s="322">
        <f>+Table7[[#This Row],[стойност с ДДС]]-Table7[[#This Row],[направено плащане]]</f>
        <v>0</v>
      </c>
      <c r="O1019" s="327"/>
    </row>
    <row r="1020" spans="1:15" ht="20.100000000000001" customHeight="1" x14ac:dyDescent="0.25">
      <c r="A1020" s="206" t="s">
        <v>235</v>
      </c>
      <c r="B1020" s="381" t="s">
        <v>1499</v>
      </c>
      <c r="C1020" s="373">
        <v>45500</v>
      </c>
      <c r="D1020" s="343"/>
      <c r="E1020" s="347" t="s">
        <v>263</v>
      </c>
      <c r="F1020" s="409"/>
      <c r="G1020" s="322"/>
      <c r="H1020" s="324"/>
      <c r="I1020" s="345">
        <f>27.7*1.9563</f>
        <v>54.189509999999999</v>
      </c>
      <c r="J1020" s="325">
        <f t="shared" si="152"/>
        <v>0</v>
      </c>
      <c r="K1020" s="342">
        <v>335974.96</v>
      </c>
      <c r="L1020" s="322">
        <v>335974.96</v>
      </c>
      <c r="M1020" s="371">
        <v>45517</v>
      </c>
      <c r="N1020" s="322">
        <f>+Table7[[#This Row],[стойност с ДДС]]-Table7[[#This Row],[направено плащане]]</f>
        <v>0</v>
      </c>
      <c r="O1020" s="327"/>
    </row>
    <row r="1021" spans="1:15" ht="20.100000000000001" customHeight="1" x14ac:dyDescent="0.25">
      <c r="A1021" s="206" t="s">
        <v>226</v>
      </c>
      <c r="B1021" s="381" t="s">
        <v>1500</v>
      </c>
      <c r="C1021" s="373">
        <v>45499</v>
      </c>
      <c r="D1021" s="343"/>
      <c r="E1021" s="347" t="s">
        <v>131</v>
      </c>
      <c r="F1021" s="412" t="s">
        <v>1501</v>
      </c>
      <c r="G1021" s="342"/>
      <c r="H1021" s="344">
        <v>60</v>
      </c>
      <c r="I1021" s="345">
        <v>51.4</v>
      </c>
      <c r="J1021" s="345">
        <f>I1021*H1021</f>
        <v>3084</v>
      </c>
      <c r="K1021" s="320">
        <f>J1021*1.2</f>
        <v>3700.7999999999997</v>
      </c>
      <c r="L1021" s="342"/>
      <c r="M1021" s="373"/>
      <c r="N1021" s="342">
        <f>+Table7[[#This Row],[стойност с ДДС]]-Table7[[#This Row],[направено плащане]]</f>
        <v>3700.7999999999997</v>
      </c>
      <c r="O1021" s="346"/>
    </row>
    <row r="1022" spans="1:15" ht="20.100000000000001" customHeight="1" x14ac:dyDescent="0.25">
      <c r="A1022" s="206" t="s">
        <v>1502</v>
      </c>
      <c r="B1022" s="381" t="s">
        <v>1503</v>
      </c>
      <c r="C1022" s="373">
        <v>45499</v>
      </c>
      <c r="D1022" s="343"/>
      <c r="E1022" s="347" t="s">
        <v>422</v>
      </c>
      <c r="F1022" s="412"/>
      <c r="G1022" s="342"/>
      <c r="H1022" s="344">
        <v>1</v>
      </c>
      <c r="I1022" s="345">
        <v>32.83</v>
      </c>
      <c r="J1022" s="345">
        <f>I1022*H1022</f>
        <v>32.83</v>
      </c>
      <c r="K1022" s="320">
        <f>J1022*1.2</f>
        <v>39.395999999999994</v>
      </c>
      <c r="L1022" s="342">
        <v>39.395999999999994</v>
      </c>
      <c r="M1022" s="373">
        <v>45502</v>
      </c>
      <c r="N1022" s="342">
        <f>+Table7[[#This Row],[стойност с ДДС]]-Table7[[#This Row],[направено плащане]]</f>
        <v>0</v>
      </c>
      <c r="O1022" s="346"/>
    </row>
    <row r="1023" spans="1:15" ht="20.100000000000001" customHeight="1" x14ac:dyDescent="0.25">
      <c r="A1023" s="206" t="s">
        <v>101</v>
      </c>
      <c r="B1023" s="388" t="s">
        <v>1504</v>
      </c>
      <c r="C1023" s="373">
        <v>45255</v>
      </c>
      <c r="D1023" s="343"/>
      <c r="E1023" s="347" t="s">
        <v>131</v>
      </c>
      <c r="F1023" s="412" t="s">
        <v>1505</v>
      </c>
      <c r="G1023" s="342"/>
      <c r="H1023" s="344">
        <v>50</v>
      </c>
      <c r="I1023" s="345">
        <v>77.7</v>
      </c>
      <c r="J1023" s="345">
        <f>I1023*H1023</f>
        <v>3885</v>
      </c>
      <c r="K1023" s="320">
        <f>J1023*1.2</f>
        <v>4662</v>
      </c>
      <c r="L1023" s="342">
        <v>4662</v>
      </c>
      <c r="M1023" s="373">
        <v>45502</v>
      </c>
      <c r="N1023" s="342">
        <f>+Table7[[#This Row],[стойност с ДДС]]-Table7[[#This Row],[направено плащане]]</f>
        <v>0</v>
      </c>
      <c r="O1023" s="346"/>
    </row>
    <row r="1024" spans="1:15" ht="20.100000000000001" customHeight="1" x14ac:dyDescent="0.25">
      <c r="A1024" s="206" t="s">
        <v>101</v>
      </c>
      <c r="B1024" s="388" t="s">
        <v>1504</v>
      </c>
      <c r="C1024" s="373">
        <v>45255</v>
      </c>
      <c r="D1024" s="343"/>
      <c r="E1024" s="347" t="s">
        <v>131</v>
      </c>
      <c r="F1024" s="412" t="s">
        <v>1506</v>
      </c>
      <c r="G1024" s="342"/>
      <c r="H1024" s="344">
        <v>30</v>
      </c>
      <c r="I1024" s="345">
        <v>77.2</v>
      </c>
      <c r="J1024" s="345">
        <f>I1024*H1024</f>
        <v>2316</v>
      </c>
      <c r="K1024" s="320">
        <f>J1024*1.2</f>
        <v>2779.2</v>
      </c>
      <c r="L1024" s="342">
        <v>2779.2</v>
      </c>
      <c r="M1024" s="373">
        <v>45502</v>
      </c>
      <c r="N1024" s="342">
        <f>+Table7[[#This Row],[стойност с ДДС]]-Table7[[#This Row],[направено плащане]]</f>
        <v>0</v>
      </c>
      <c r="O1024" s="346"/>
    </row>
    <row r="1025" spans="1:15" ht="20.100000000000001" customHeight="1" x14ac:dyDescent="0.25">
      <c r="A1025" s="206" t="s">
        <v>341</v>
      </c>
      <c r="B1025" s="381" t="s">
        <v>1507</v>
      </c>
      <c r="C1025" s="373">
        <v>45473</v>
      </c>
      <c r="D1025" s="343"/>
      <c r="E1025" s="352" t="s">
        <v>343</v>
      </c>
      <c r="F1025" s="412"/>
      <c r="G1025" s="342"/>
      <c r="H1025" s="324">
        <v>1</v>
      </c>
      <c r="I1025" s="325">
        <v>100</v>
      </c>
      <c r="J1025" s="345">
        <f>I1025*H1025</f>
        <v>100</v>
      </c>
      <c r="K1025" s="320">
        <f>J1025*1.2</f>
        <v>120</v>
      </c>
      <c r="L1025" s="342">
        <v>120</v>
      </c>
      <c r="M1025" s="373">
        <v>45502</v>
      </c>
      <c r="N1025" s="342">
        <f>+Table7[[#This Row],[стойност с ДДС]]-Table7[[#This Row],[направено плащане]]</f>
        <v>0</v>
      </c>
      <c r="O1025" s="346"/>
    </row>
    <row r="1026" spans="1:15" ht="20.100000000000001" customHeight="1" x14ac:dyDescent="0.25">
      <c r="A1026" s="206" t="s">
        <v>341</v>
      </c>
      <c r="B1026" s="378" t="s">
        <v>1508</v>
      </c>
      <c r="C1026" s="371">
        <v>45473</v>
      </c>
      <c r="D1026" s="337"/>
      <c r="E1026" s="352" t="s">
        <v>343</v>
      </c>
      <c r="F1026" s="409"/>
      <c r="G1026" s="322"/>
      <c r="H1026" s="324">
        <v>18457</v>
      </c>
      <c r="I1026" s="325">
        <v>0.05</v>
      </c>
      <c r="J1026" s="345">
        <f t="shared" ref="J1026:J1028" si="153">I1026*H1026</f>
        <v>922.85</v>
      </c>
      <c r="K1026" s="320">
        <f t="shared" ref="K1026:K1028" si="154">J1026*1.2</f>
        <v>1107.42</v>
      </c>
      <c r="L1026" s="322">
        <v>1107.42</v>
      </c>
      <c r="M1026" s="371">
        <v>45502</v>
      </c>
      <c r="N1026" s="322">
        <f>+Table7[[#This Row],[стойност с ДДС]]-Table7[[#This Row],[направено плащане]]</f>
        <v>0</v>
      </c>
      <c r="O1026" s="327"/>
    </row>
    <row r="1027" spans="1:15" ht="20.100000000000001" customHeight="1" x14ac:dyDescent="0.25">
      <c r="A1027" s="151" t="s">
        <v>341</v>
      </c>
      <c r="B1027" s="378" t="s">
        <v>1508</v>
      </c>
      <c r="C1027" s="371">
        <v>45473</v>
      </c>
      <c r="D1027" s="337"/>
      <c r="E1027" s="352" t="s">
        <v>343</v>
      </c>
      <c r="F1027" s="409"/>
      <c r="G1027" s="322"/>
      <c r="H1027" s="324">
        <v>31050</v>
      </c>
      <c r="I1027" s="325">
        <v>0.02</v>
      </c>
      <c r="J1027" s="345">
        <f t="shared" si="153"/>
        <v>621</v>
      </c>
      <c r="K1027" s="320">
        <f t="shared" si="154"/>
        <v>745.19999999999993</v>
      </c>
      <c r="L1027" s="322">
        <v>745.19999999999993</v>
      </c>
      <c r="M1027" s="371">
        <v>45502</v>
      </c>
      <c r="N1027" s="322">
        <f>+Table7[[#This Row],[стойност с ДДС]]-Table7[[#This Row],[направено плащане]]</f>
        <v>0</v>
      </c>
      <c r="O1027" s="327"/>
    </row>
    <row r="1028" spans="1:15" ht="20.100000000000001" customHeight="1" x14ac:dyDescent="0.25">
      <c r="A1028" s="206" t="s">
        <v>341</v>
      </c>
      <c r="B1028" s="381" t="s">
        <v>1508</v>
      </c>
      <c r="C1028" s="373">
        <v>45473</v>
      </c>
      <c r="D1028" s="343"/>
      <c r="E1028" s="352" t="s">
        <v>343</v>
      </c>
      <c r="F1028" s="412"/>
      <c r="G1028" s="342"/>
      <c r="H1028" s="324">
        <v>71750</v>
      </c>
      <c r="I1028" s="325">
        <v>0.04</v>
      </c>
      <c r="J1028" s="345">
        <f t="shared" si="153"/>
        <v>2870</v>
      </c>
      <c r="K1028" s="320">
        <f t="shared" si="154"/>
        <v>3444</v>
      </c>
      <c r="L1028" s="342">
        <v>3444</v>
      </c>
      <c r="M1028" s="373">
        <v>45502</v>
      </c>
      <c r="N1028" s="342">
        <f>+Table7[[#This Row],[стойност с ДДС]]-Table7[[#This Row],[направено плащане]]</f>
        <v>0</v>
      </c>
      <c r="O1028" s="346"/>
    </row>
    <row r="1029" spans="1:15" ht="20.100000000000001" customHeight="1" x14ac:dyDescent="0.25">
      <c r="A1029" s="206" t="s">
        <v>341</v>
      </c>
      <c r="B1029" s="378" t="s">
        <v>1509</v>
      </c>
      <c r="C1029" s="371">
        <v>45475</v>
      </c>
      <c r="D1029" s="337"/>
      <c r="E1029" s="352" t="s">
        <v>343</v>
      </c>
      <c r="F1029" s="409" t="s">
        <v>1510</v>
      </c>
      <c r="G1029" s="322"/>
      <c r="H1029" s="324">
        <v>1</v>
      </c>
      <c r="I1029" s="325">
        <v>1700</v>
      </c>
      <c r="J1029" s="325">
        <f t="shared" ref="J1029:J1034" si="155">I1029*H1029</f>
        <v>1700</v>
      </c>
      <c r="K1029" s="318">
        <f t="shared" ref="K1029:K1033" si="156">J1029*1.2</f>
        <v>2040</v>
      </c>
      <c r="L1029" s="322">
        <v>2040</v>
      </c>
      <c r="M1029" s="371">
        <v>45502</v>
      </c>
      <c r="N1029" s="322">
        <f>+Table7[[#This Row],[стойност с ДДС]]-Table7[[#This Row],[направено плащане]]</f>
        <v>0</v>
      </c>
      <c r="O1029" s="327"/>
    </row>
    <row r="1030" spans="1:15" ht="20.100000000000001" customHeight="1" x14ac:dyDescent="0.25">
      <c r="A1030" s="151" t="s">
        <v>341</v>
      </c>
      <c r="B1030" s="378" t="s">
        <v>1509</v>
      </c>
      <c r="C1030" s="371">
        <v>45475</v>
      </c>
      <c r="D1030" s="337"/>
      <c r="E1030" s="352" t="s">
        <v>343</v>
      </c>
      <c r="F1030" s="409"/>
      <c r="G1030" s="322"/>
      <c r="H1030" s="324">
        <v>2</v>
      </c>
      <c r="I1030" s="325">
        <v>600</v>
      </c>
      <c r="J1030" s="325">
        <f t="shared" si="155"/>
        <v>1200</v>
      </c>
      <c r="K1030" s="318">
        <f t="shared" si="156"/>
        <v>1440</v>
      </c>
      <c r="L1030" s="322">
        <v>1440</v>
      </c>
      <c r="M1030" s="371">
        <v>45502</v>
      </c>
      <c r="N1030" s="322">
        <f>+Table7[[#This Row],[стойност с ДДС]]-Table7[[#This Row],[направено плащане]]</f>
        <v>0</v>
      </c>
      <c r="O1030" s="327"/>
    </row>
    <row r="1031" spans="1:15" ht="20.100000000000001" customHeight="1" x14ac:dyDescent="0.25">
      <c r="A1031" s="151" t="s">
        <v>341</v>
      </c>
      <c r="B1031" s="378" t="s">
        <v>1511</v>
      </c>
      <c r="C1031" s="371">
        <v>45475</v>
      </c>
      <c r="D1031" s="337"/>
      <c r="E1031" s="352" t="s">
        <v>343</v>
      </c>
      <c r="F1031" s="409" t="s">
        <v>1512</v>
      </c>
      <c r="G1031" s="322"/>
      <c r="H1031" s="324">
        <v>1</v>
      </c>
      <c r="I1031" s="325">
        <v>200</v>
      </c>
      <c r="J1031" s="325">
        <f t="shared" si="155"/>
        <v>200</v>
      </c>
      <c r="K1031" s="318">
        <f t="shared" si="156"/>
        <v>240</v>
      </c>
      <c r="L1031" s="322">
        <v>240</v>
      </c>
      <c r="M1031" s="371">
        <v>45502</v>
      </c>
      <c r="N1031" s="322">
        <f>+Table7[[#This Row],[стойност с ДДС]]-Table7[[#This Row],[направено плащане]]</f>
        <v>0</v>
      </c>
      <c r="O1031" s="327"/>
    </row>
    <row r="1032" spans="1:15" ht="20.100000000000001" customHeight="1" x14ac:dyDescent="0.25">
      <c r="A1032" s="206" t="s">
        <v>235</v>
      </c>
      <c r="B1032" s="381" t="s">
        <v>1513</v>
      </c>
      <c r="C1032" s="373">
        <v>45496</v>
      </c>
      <c r="D1032" s="343"/>
      <c r="E1032" s="347" t="s">
        <v>131</v>
      </c>
      <c r="F1032" s="412"/>
      <c r="G1032" s="342"/>
      <c r="H1032" s="344">
        <v>100</v>
      </c>
      <c r="I1032" s="345">
        <v>49.5</v>
      </c>
      <c r="J1032" s="345">
        <f t="shared" si="155"/>
        <v>4950</v>
      </c>
      <c r="K1032" s="320">
        <f t="shared" si="156"/>
        <v>5940</v>
      </c>
      <c r="L1032" s="342"/>
      <c r="M1032" s="373"/>
      <c r="N1032" s="342">
        <f>+Table7[[#This Row],[стойност с ДДС]]-Table7[[#This Row],[направено плащане]]</f>
        <v>5940</v>
      </c>
      <c r="O1032" s="346"/>
    </row>
    <row r="1033" spans="1:15" ht="20.100000000000001" customHeight="1" x14ac:dyDescent="0.25">
      <c r="A1033" s="206" t="s">
        <v>157</v>
      </c>
      <c r="B1033" s="381" t="s">
        <v>1514</v>
      </c>
      <c r="C1033" s="373">
        <v>45497</v>
      </c>
      <c r="D1033" s="343"/>
      <c r="E1033" s="347" t="s">
        <v>131</v>
      </c>
      <c r="F1033" s="412" t="s">
        <v>1515</v>
      </c>
      <c r="G1033" s="342"/>
      <c r="H1033" s="344">
        <v>200</v>
      </c>
      <c r="I1033" s="345">
        <v>51.4</v>
      </c>
      <c r="J1033" s="345">
        <f t="shared" si="155"/>
        <v>10280</v>
      </c>
      <c r="K1033" s="320">
        <f t="shared" si="156"/>
        <v>12336</v>
      </c>
      <c r="L1033" s="342">
        <v>12336</v>
      </c>
      <c r="M1033" s="373">
        <v>45502</v>
      </c>
      <c r="N1033" s="342">
        <f>+Table7[[#This Row],[стойност с ДДС]]-Table7[[#This Row],[направено плащане]]</f>
        <v>0</v>
      </c>
      <c r="O1033" s="346"/>
    </row>
    <row r="1034" spans="1:15" ht="20.100000000000001" customHeight="1" x14ac:dyDescent="0.25">
      <c r="A1034" s="206" t="s">
        <v>159</v>
      </c>
      <c r="B1034" s="381" t="s">
        <v>1516</v>
      </c>
      <c r="C1034" s="373">
        <v>45498</v>
      </c>
      <c r="D1034" s="343"/>
      <c r="E1034" s="347" t="s">
        <v>131</v>
      </c>
      <c r="F1034" s="412" t="s">
        <v>1517</v>
      </c>
      <c r="G1034" s="342"/>
      <c r="H1034" s="344">
        <v>1750</v>
      </c>
      <c r="I1034" s="345">
        <f>26.43379*1.9563</f>
        <v>51.712423376999993</v>
      </c>
      <c r="J1034" s="345">
        <f t="shared" si="155"/>
        <v>90496.740909749991</v>
      </c>
      <c r="K1034" s="320">
        <v>90496.74</v>
      </c>
      <c r="L1034" s="342">
        <v>90496.74</v>
      </c>
      <c r="M1034" s="373">
        <v>45504</v>
      </c>
      <c r="N1034" s="342">
        <f>+Table7[[#This Row],[стойност с ДДС]]-Table7[[#This Row],[направено плащане]]</f>
        <v>0</v>
      </c>
      <c r="O1034" s="346"/>
    </row>
    <row r="1035" spans="1:15" ht="20.100000000000001" customHeight="1" x14ac:dyDescent="0.25">
      <c r="A1035" s="206" t="s">
        <v>114</v>
      </c>
      <c r="B1035" s="381" t="s">
        <v>742</v>
      </c>
      <c r="C1035" s="373">
        <v>45496</v>
      </c>
      <c r="D1035" s="343"/>
      <c r="E1035" s="347" t="s">
        <v>131</v>
      </c>
      <c r="F1035" s="412"/>
      <c r="G1035" s="342"/>
      <c r="H1035" s="344">
        <v>100</v>
      </c>
      <c r="I1035" s="345">
        <v>49.55</v>
      </c>
      <c r="J1035" s="345">
        <f t="shared" ref="J1035:J1040" si="157">I1035*H1035</f>
        <v>4955</v>
      </c>
      <c r="K1035" s="320">
        <v>4955</v>
      </c>
      <c r="L1035" s="342">
        <v>4955</v>
      </c>
      <c r="M1035" s="373">
        <v>45502</v>
      </c>
      <c r="N1035" s="342">
        <f>+Table7[[#This Row],[стойност с ДДС]]-Table7[[#This Row],[направено плащане]]</f>
        <v>0</v>
      </c>
      <c r="O1035" s="346"/>
    </row>
    <row r="1036" spans="1:15" ht="20.100000000000001" customHeight="1" x14ac:dyDescent="0.25">
      <c r="A1036" s="206" t="s">
        <v>101</v>
      </c>
      <c r="B1036" s="388" t="s">
        <v>1522</v>
      </c>
      <c r="C1036" s="373">
        <v>45498</v>
      </c>
      <c r="D1036" s="343"/>
      <c r="E1036" s="347" t="s">
        <v>131</v>
      </c>
      <c r="F1036" s="412" t="s">
        <v>1523</v>
      </c>
      <c r="G1036" s="342"/>
      <c r="H1036" s="344">
        <v>6</v>
      </c>
      <c r="I1036" s="345">
        <v>52.5</v>
      </c>
      <c r="J1036" s="345">
        <f t="shared" si="157"/>
        <v>315</v>
      </c>
      <c r="K1036" s="320">
        <f>J1036*1.2</f>
        <v>378</v>
      </c>
      <c r="L1036" s="342">
        <v>378</v>
      </c>
      <c r="M1036" s="373">
        <v>45504</v>
      </c>
      <c r="N1036" s="342">
        <f>+Table7[[#This Row],[стойност с ДДС]]-Table7[[#This Row],[направено плащане]]</f>
        <v>0</v>
      </c>
      <c r="O1036" s="346"/>
    </row>
    <row r="1037" spans="1:15" ht="20.100000000000001" customHeight="1" x14ac:dyDescent="0.25">
      <c r="A1037" s="206" t="s">
        <v>159</v>
      </c>
      <c r="B1037" s="381" t="s">
        <v>1524</v>
      </c>
      <c r="C1037" s="373">
        <v>45501</v>
      </c>
      <c r="D1037" s="343"/>
      <c r="E1037" s="347" t="s">
        <v>131</v>
      </c>
      <c r="F1037" s="412" t="s">
        <v>1527</v>
      </c>
      <c r="G1037" s="342"/>
      <c r="H1037" s="344">
        <v>2500</v>
      </c>
      <c r="I1037" s="345">
        <f>26.33153*1.9563</f>
        <v>51.512372139</v>
      </c>
      <c r="J1037" s="345">
        <f t="shared" si="157"/>
        <v>128780.93034750001</v>
      </c>
      <c r="K1037" s="320">
        <v>128780.94</v>
      </c>
      <c r="L1037" s="342">
        <v>128780.94</v>
      </c>
      <c r="M1037" s="373">
        <v>45505</v>
      </c>
      <c r="N1037" s="342">
        <f>+Table7[[#This Row],[стойност с ДДС]]-Table7[[#This Row],[направено плащане]]</f>
        <v>0</v>
      </c>
      <c r="O1037" s="346"/>
    </row>
    <row r="1038" spans="1:15" ht="20.100000000000001" customHeight="1" x14ac:dyDescent="0.25">
      <c r="A1038" s="206" t="s">
        <v>159</v>
      </c>
      <c r="B1038" s="381" t="s">
        <v>1524</v>
      </c>
      <c r="C1038" s="373">
        <v>45501</v>
      </c>
      <c r="D1038" s="343" t="s">
        <v>131</v>
      </c>
      <c r="E1038" s="347" t="s">
        <v>131</v>
      </c>
      <c r="F1038" s="412" t="s">
        <v>1525</v>
      </c>
      <c r="G1038" s="342"/>
      <c r="H1038" s="344">
        <v>1577</v>
      </c>
      <c r="I1038" s="345">
        <f>26.43379*1.9563</f>
        <v>51.712423376999993</v>
      </c>
      <c r="J1038" s="345">
        <f t="shared" si="157"/>
        <v>81550.491665528985</v>
      </c>
      <c r="K1038" s="320">
        <v>81550.491665528985</v>
      </c>
      <c r="L1038" s="342">
        <v>81550.491665528985</v>
      </c>
      <c r="M1038" s="373">
        <v>45505</v>
      </c>
      <c r="N1038" s="342">
        <f>+Table7[[#This Row],[стойност с ДДС]]-Table7[[#This Row],[направено плащане]]</f>
        <v>0</v>
      </c>
      <c r="O1038" s="346"/>
    </row>
    <row r="1039" spans="1:15" ht="20.100000000000001" customHeight="1" x14ac:dyDescent="0.25">
      <c r="A1039" s="206" t="s">
        <v>159</v>
      </c>
      <c r="B1039" s="381" t="s">
        <v>1524</v>
      </c>
      <c r="C1039" s="373">
        <v>45501</v>
      </c>
      <c r="D1039" s="343"/>
      <c r="E1039" s="347" t="s">
        <v>131</v>
      </c>
      <c r="F1039" s="412" t="s">
        <v>1526</v>
      </c>
      <c r="G1039" s="342"/>
      <c r="H1039" s="344">
        <v>200</v>
      </c>
      <c r="I1039" s="345">
        <f>26.45935*1.9563</f>
        <v>51.762426404999999</v>
      </c>
      <c r="J1039" s="345">
        <f t="shared" si="157"/>
        <v>10352.485280999999</v>
      </c>
      <c r="K1039" s="320">
        <v>10352.49</v>
      </c>
      <c r="L1039" s="342">
        <v>10352.49</v>
      </c>
      <c r="M1039" s="373">
        <v>45505</v>
      </c>
      <c r="N1039" s="342">
        <f>+Table7[[#This Row],[стойност с ДДС]]-Table7[[#This Row],[направено плащане]]</f>
        <v>0</v>
      </c>
      <c r="O1039" s="346"/>
    </row>
    <row r="1040" spans="1:15" ht="20.100000000000001" customHeight="1" x14ac:dyDescent="0.25">
      <c r="A1040" s="206" t="s">
        <v>157</v>
      </c>
      <c r="B1040" s="381" t="s">
        <v>1528</v>
      </c>
      <c r="C1040" s="373">
        <v>45498</v>
      </c>
      <c r="D1040" s="343"/>
      <c r="E1040" s="347" t="s">
        <v>131</v>
      </c>
      <c r="F1040" s="412" t="s">
        <v>1529</v>
      </c>
      <c r="G1040" s="342"/>
      <c r="H1040" s="344">
        <v>44</v>
      </c>
      <c r="I1040" s="345">
        <v>52.5</v>
      </c>
      <c r="J1040" s="345">
        <f t="shared" si="157"/>
        <v>2310</v>
      </c>
      <c r="K1040" s="320">
        <f>J1040*1.2</f>
        <v>2772</v>
      </c>
      <c r="L1040" s="342">
        <v>2772</v>
      </c>
      <c r="M1040" s="373">
        <v>45503</v>
      </c>
      <c r="N1040" s="342">
        <f>+Table7[[#This Row],[стойност с ДДС]]-Table7[[#This Row],[направено плащане]]</f>
        <v>0</v>
      </c>
      <c r="O1040" s="346"/>
    </row>
    <row r="1041" spans="1:15" ht="20.100000000000001" customHeight="1" x14ac:dyDescent="0.25">
      <c r="A1041" s="206" t="s">
        <v>159</v>
      </c>
      <c r="B1041" s="381" t="s">
        <v>1534</v>
      </c>
      <c r="C1041" s="373">
        <v>45502</v>
      </c>
      <c r="D1041" s="343"/>
      <c r="E1041" s="347" t="s">
        <v>131</v>
      </c>
      <c r="F1041" s="412" t="s">
        <v>1535</v>
      </c>
      <c r="G1041" s="342"/>
      <c r="H1041" s="344">
        <v>1000</v>
      </c>
      <c r="I1041" s="345">
        <f>26.94508*1.9563</f>
        <v>52.712660004</v>
      </c>
      <c r="J1041" s="345">
        <f t="shared" ref="J1041:J1054" si="158">I1041*H1041</f>
        <v>52712.660003999998</v>
      </c>
      <c r="K1041" s="320">
        <v>52712.66</v>
      </c>
      <c r="L1041" s="342">
        <v>52712.66</v>
      </c>
      <c r="M1041" s="373">
        <v>45506</v>
      </c>
      <c r="N1041" s="342">
        <f>+Table7[[#This Row],[стойност с ДДС]]-Table7[[#This Row],[направено плащане]]</f>
        <v>0</v>
      </c>
      <c r="O1041" s="346"/>
    </row>
    <row r="1042" spans="1:15" ht="20.100000000000001" customHeight="1" x14ac:dyDescent="0.25">
      <c r="A1042" s="206" t="s">
        <v>159</v>
      </c>
      <c r="B1042" s="381" t="s">
        <v>1536</v>
      </c>
      <c r="C1042" s="373">
        <v>45503</v>
      </c>
      <c r="D1042" s="343"/>
      <c r="E1042" s="347" t="s">
        <v>263</v>
      </c>
      <c r="F1042" s="409"/>
      <c r="G1042" s="322"/>
      <c r="H1042" s="324">
        <v>10500</v>
      </c>
      <c r="I1042" s="325">
        <f>28.1*1.9563</f>
        <v>54.972030000000004</v>
      </c>
      <c r="J1042" s="325">
        <f t="shared" si="158"/>
        <v>577206.31500000006</v>
      </c>
      <c r="K1042" s="318">
        <v>577206.31000000006</v>
      </c>
      <c r="L1042" s="322">
        <v>577206.31000000006</v>
      </c>
      <c r="M1042" s="371">
        <v>45505</v>
      </c>
      <c r="N1042" s="322">
        <f>+Table7[[#This Row],[стойност с ДДС]]-Table7[[#This Row],[направено плащане]]</f>
        <v>0</v>
      </c>
      <c r="O1042" s="327"/>
    </row>
    <row r="1043" spans="1:15" ht="20.100000000000001" customHeight="1" x14ac:dyDescent="0.25">
      <c r="A1043" s="206" t="s">
        <v>268</v>
      </c>
      <c r="B1043" s="381" t="s">
        <v>1537</v>
      </c>
      <c r="C1043" s="373">
        <v>45499</v>
      </c>
      <c r="D1043" s="343"/>
      <c r="E1043" s="347" t="s">
        <v>131</v>
      </c>
      <c r="F1043" s="412"/>
      <c r="G1043" s="342"/>
      <c r="H1043" s="344">
        <v>40</v>
      </c>
      <c r="I1043" s="345">
        <v>51</v>
      </c>
      <c r="J1043" s="345">
        <f t="shared" si="158"/>
        <v>2040</v>
      </c>
      <c r="K1043" s="320">
        <f t="shared" ref="K1043:K1050" si="159">J1043*1.2</f>
        <v>2448</v>
      </c>
      <c r="L1043" s="342">
        <v>2448</v>
      </c>
      <c r="M1043" s="373">
        <v>45505</v>
      </c>
      <c r="N1043" s="342">
        <f>+Table7[[#This Row],[стойност с ДДС]]-Table7[[#This Row],[направено плащане]]</f>
        <v>0</v>
      </c>
      <c r="O1043" s="346"/>
    </row>
    <row r="1044" spans="1:15" ht="20.100000000000001" customHeight="1" x14ac:dyDescent="0.25">
      <c r="A1044" s="206" t="s">
        <v>268</v>
      </c>
      <c r="B1044" s="378" t="s">
        <v>1538</v>
      </c>
      <c r="C1044" s="371">
        <v>45502</v>
      </c>
      <c r="D1044" s="337"/>
      <c r="E1044" s="347" t="s">
        <v>131</v>
      </c>
      <c r="F1044" s="409"/>
      <c r="G1044" s="322"/>
      <c r="H1044" s="324">
        <v>500</v>
      </c>
      <c r="I1044" s="325">
        <v>53.15</v>
      </c>
      <c r="J1044" s="325">
        <f t="shared" si="158"/>
        <v>26575</v>
      </c>
      <c r="K1044" s="318">
        <f t="shared" si="159"/>
        <v>31890</v>
      </c>
      <c r="L1044" s="322">
        <v>31890</v>
      </c>
      <c r="M1044" s="371">
        <v>45509</v>
      </c>
      <c r="N1044" s="322">
        <f>+Table7[[#This Row],[стойност с ДДС]]-Table7[[#This Row],[направено плащане]]</f>
        <v>0</v>
      </c>
      <c r="O1044" s="327"/>
    </row>
    <row r="1045" spans="1:15" ht="20.100000000000001" customHeight="1" x14ac:dyDescent="0.25">
      <c r="A1045" s="206" t="s">
        <v>118</v>
      </c>
      <c r="B1045" s="381" t="s">
        <v>1539</v>
      </c>
      <c r="C1045" s="373">
        <v>45502</v>
      </c>
      <c r="D1045" s="343"/>
      <c r="E1045" s="347" t="s">
        <v>131</v>
      </c>
      <c r="F1045" s="412" t="s">
        <v>1540</v>
      </c>
      <c r="G1045" s="342"/>
      <c r="H1045" s="344">
        <v>50</v>
      </c>
      <c r="I1045" s="345">
        <v>52</v>
      </c>
      <c r="J1045" s="345">
        <f t="shared" si="158"/>
        <v>2600</v>
      </c>
      <c r="K1045" s="320">
        <f t="shared" si="159"/>
        <v>3120</v>
      </c>
      <c r="L1045" s="342">
        <v>3120</v>
      </c>
      <c r="M1045" s="373">
        <v>45506</v>
      </c>
      <c r="N1045" s="342">
        <f>+Table7[[#This Row],[стойност с ДДС]]-Table7[[#This Row],[направено плащане]]</f>
        <v>0</v>
      </c>
      <c r="O1045" s="346"/>
    </row>
    <row r="1046" spans="1:15" ht="20.100000000000001" customHeight="1" x14ac:dyDescent="0.25">
      <c r="A1046" s="206" t="s">
        <v>157</v>
      </c>
      <c r="B1046" s="381" t="s">
        <v>1541</v>
      </c>
      <c r="C1046" s="373">
        <v>45502</v>
      </c>
      <c r="D1046" s="343"/>
      <c r="E1046" s="347" t="s">
        <v>131</v>
      </c>
      <c r="F1046" s="412" t="s">
        <v>1542</v>
      </c>
      <c r="G1046" s="342"/>
      <c r="H1046" s="344">
        <v>100</v>
      </c>
      <c r="I1046" s="345">
        <v>51.6</v>
      </c>
      <c r="J1046" s="345">
        <f t="shared" si="158"/>
        <v>5160</v>
      </c>
      <c r="K1046" s="320">
        <f t="shared" si="159"/>
        <v>6192</v>
      </c>
      <c r="L1046" s="342">
        <v>6192</v>
      </c>
      <c r="M1046" s="373">
        <v>45505</v>
      </c>
      <c r="N1046" s="342">
        <f>+Table7[[#This Row],[стойност с ДДС]]-Table7[[#This Row],[направено плащане]]</f>
        <v>0</v>
      </c>
      <c r="O1046" s="346"/>
    </row>
    <row r="1047" spans="1:15" ht="20.100000000000001" customHeight="1" x14ac:dyDescent="0.25">
      <c r="A1047" s="206" t="s">
        <v>157</v>
      </c>
      <c r="B1047" s="381" t="s">
        <v>1541</v>
      </c>
      <c r="C1047" s="373">
        <v>45502</v>
      </c>
      <c r="D1047" s="343"/>
      <c r="E1047" s="347" t="s">
        <v>131</v>
      </c>
      <c r="F1047" s="412" t="s">
        <v>1543</v>
      </c>
      <c r="G1047" s="342"/>
      <c r="H1047" s="344">
        <v>50</v>
      </c>
      <c r="I1047" s="345">
        <v>51.4</v>
      </c>
      <c r="J1047" s="345">
        <f t="shared" si="158"/>
        <v>2570</v>
      </c>
      <c r="K1047" s="320">
        <f t="shared" si="159"/>
        <v>3084</v>
      </c>
      <c r="L1047" s="342">
        <v>3084</v>
      </c>
      <c r="M1047" s="373">
        <v>45505</v>
      </c>
      <c r="N1047" s="342">
        <f>+Table7[[#This Row],[стойност с ДДС]]-Table7[[#This Row],[направено плащане]]</f>
        <v>0</v>
      </c>
      <c r="O1047" s="346"/>
    </row>
    <row r="1048" spans="1:15" ht="20.100000000000001" customHeight="1" x14ac:dyDescent="0.25">
      <c r="A1048" s="206" t="s">
        <v>814</v>
      </c>
      <c r="B1048" s="381" t="s">
        <v>1544</v>
      </c>
      <c r="C1048" s="373">
        <v>45502</v>
      </c>
      <c r="D1048" s="343"/>
      <c r="E1048" s="347" t="s">
        <v>131</v>
      </c>
      <c r="F1048" s="412" t="s">
        <v>1545</v>
      </c>
      <c r="G1048" s="342"/>
      <c r="H1048" s="344">
        <v>38</v>
      </c>
      <c r="I1048" s="345">
        <v>51.4</v>
      </c>
      <c r="J1048" s="345">
        <f t="shared" si="158"/>
        <v>1953.2</v>
      </c>
      <c r="K1048" s="320">
        <f t="shared" si="159"/>
        <v>2343.84</v>
      </c>
      <c r="L1048" s="342">
        <v>2343.84</v>
      </c>
      <c r="M1048" s="373">
        <v>45505</v>
      </c>
      <c r="N1048" s="342">
        <f>+Table7[[#This Row],[стойност с ДДС]]-Table7[[#This Row],[направено плащане]]</f>
        <v>0</v>
      </c>
      <c r="O1048" s="346"/>
    </row>
    <row r="1049" spans="1:15" ht="20.100000000000001" customHeight="1" x14ac:dyDescent="0.25">
      <c r="A1049" s="206" t="s">
        <v>814</v>
      </c>
      <c r="B1049" s="381" t="s">
        <v>1544</v>
      </c>
      <c r="C1049" s="373">
        <v>45502</v>
      </c>
      <c r="D1049" s="343"/>
      <c r="E1049" s="347" t="s">
        <v>131</v>
      </c>
      <c r="F1049" s="412" t="s">
        <v>1546</v>
      </c>
      <c r="G1049" s="342"/>
      <c r="H1049" s="344">
        <v>502</v>
      </c>
      <c r="I1049" s="345">
        <v>51.4</v>
      </c>
      <c r="J1049" s="345">
        <f t="shared" si="158"/>
        <v>25802.799999999999</v>
      </c>
      <c r="K1049" s="320">
        <f t="shared" si="159"/>
        <v>30963.359999999997</v>
      </c>
      <c r="L1049" s="342">
        <v>30963.359999999997</v>
      </c>
      <c r="M1049" s="373">
        <v>45505</v>
      </c>
      <c r="N1049" s="342">
        <f>+Table7[[#This Row],[стойност с ДДС]]-Table7[[#This Row],[направено плащане]]</f>
        <v>0</v>
      </c>
      <c r="O1049" s="346"/>
    </row>
    <row r="1050" spans="1:15" ht="20.100000000000001" customHeight="1" x14ac:dyDescent="0.25">
      <c r="A1050" s="206" t="s">
        <v>1547</v>
      </c>
      <c r="B1050" s="381" t="s">
        <v>1548</v>
      </c>
      <c r="C1050" s="373">
        <v>45477</v>
      </c>
      <c r="D1050" s="343"/>
      <c r="E1050" s="347" t="s">
        <v>131</v>
      </c>
      <c r="F1050" s="412" t="s">
        <v>1549</v>
      </c>
      <c r="G1050" s="342"/>
      <c r="H1050" s="344">
        <v>20</v>
      </c>
      <c r="I1050" s="345">
        <v>51.5</v>
      </c>
      <c r="J1050" s="345">
        <f t="shared" si="158"/>
        <v>1030</v>
      </c>
      <c r="K1050" s="320">
        <f t="shared" si="159"/>
        <v>1236</v>
      </c>
      <c r="L1050" s="342">
        <v>1236</v>
      </c>
      <c r="M1050" s="373">
        <v>45505</v>
      </c>
      <c r="N1050" s="342">
        <f>+Table7[[#This Row],[стойност с ДДС]]-Table7[[#This Row],[направено плащане]]</f>
        <v>0</v>
      </c>
      <c r="O1050" s="346"/>
    </row>
    <row r="1051" spans="1:15" ht="20.100000000000001" customHeight="1" x14ac:dyDescent="0.25">
      <c r="A1051" s="206" t="s">
        <v>1394</v>
      </c>
      <c r="B1051" s="381" t="s">
        <v>1598</v>
      </c>
      <c r="C1051" s="373">
        <v>45503</v>
      </c>
      <c r="D1051" s="343"/>
      <c r="E1051" s="347" t="s">
        <v>131</v>
      </c>
      <c r="F1051" s="412"/>
      <c r="G1051" s="342"/>
      <c r="H1051" s="344">
        <v>100</v>
      </c>
      <c r="I1051" s="345">
        <f>27.35412*1.9563</f>
        <v>53.512864956000001</v>
      </c>
      <c r="J1051" s="345">
        <f t="shared" si="158"/>
        <v>5351.2864956000003</v>
      </c>
      <c r="K1051" s="320">
        <v>5351.28</v>
      </c>
      <c r="L1051" s="342">
        <v>5351.28</v>
      </c>
      <c r="M1051" s="373">
        <v>45506</v>
      </c>
      <c r="N1051" s="342">
        <f>+Table7[[#This Row],[стойност с ДДС]]-Table7[[#This Row],[направено плащане]]</f>
        <v>0</v>
      </c>
      <c r="O1051" s="346"/>
    </row>
    <row r="1052" spans="1:15" ht="20.100000000000001" customHeight="1" x14ac:dyDescent="0.25">
      <c r="A1052" s="206" t="s">
        <v>268</v>
      </c>
      <c r="B1052" s="381" t="s">
        <v>1550</v>
      </c>
      <c r="C1052" s="373">
        <v>45503</v>
      </c>
      <c r="D1052" s="343"/>
      <c r="E1052" s="347" t="s">
        <v>131</v>
      </c>
      <c r="F1052" s="412"/>
      <c r="G1052" s="342"/>
      <c r="H1052" s="344">
        <v>500</v>
      </c>
      <c r="I1052" s="345">
        <v>53.5</v>
      </c>
      <c r="J1052" s="345">
        <f t="shared" si="158"/>
        <v>26750</v>
      </c>
      <c r="K1052" s="320">
        <f>J1052*1.2</f>
        <v>32100</v>
      </c>
      <c r="L1052" s="342">
        <v>32100</v>
      </c>
      <c r="M1052" s="373">
        <v>45510</v>
      </c>
      <c r="N1052" s="342">
        <f>+Table7[[#This Row],[стойност с ДДС]]-Table7[[#This Row],[направено плащане]]</f>
        <v>0</v>
      </c>
      <c r="O1052" s="346"/>
    </row>
    <row r="1053" spans="1:15" ht="20.100000000000001" customHeight="1" x14ac:dyDescent="0.25">
      <c r="A1053" s="206" t="s">
        <v>159</v>
      </c>
      <c r="B1053" s="381" t="s">
        <v>1551</v>
      </c>
      <c r="C1053" s="373">
        <v>45503</v>
      </c>
      <c r="D1053" s="343"/>
      <c r="E1053" s="347" t="s">
        <v>131</v>
      </c>
      <c r="F1053" s="412" t="s">
        <v>1552</v>
      </c>
      <c r="G1053" s="342"/>
      <c r="H1053" s="344">
        <v>250</v>
      </c>
      <c r="I1053" s="345">
        <f>27.48194*1.9563</f>
        <v>53.762919222000001</v>
      </c>
      <c r="J1053" s="345">
        <f t="shared" si="158"/>
        <v>13440.729805500001</v>
      </c>
      <c r="K1053" s="320">
        <v>13440.74</v>
      </c>
      <c r="L1053" s="342">
        <v>13440.74</v>
      </c>
      <c r="M1053" s="373">
        <v>45509</v>
      </c>
      <c r="N1053" s="342">
        <f>+Table7[[#This Row],[стойност с ДДС]]-Table7[[#This Row],[направено плащане]]</f>
        <v>0</v>
      </c>
      <c r="O1053" s="346"/>
    </row>
    <row r="1054" spans="1:15" ht="20.100000000000001" customHeight="1" x14ac:dyDescent="0.25">
      <c r="A1054" s="206" t="s">
        <v>157</v>
      </c>
      <c r="B1054" s="381" t="s">
        <v>1554</v>
      </c>
      <c r="C1054" s="373" t="s">
        <v>1553</v>
      </c>
      <c r="D1054" s="343"/>
      <c r="E1054" s="347" t="s">
        <v>131</v>
      </c>
      <c r="F1054" s="412" t="s">
        <v>1555</v>
      </c>
      <c r="G1054" s="342"/>
      <c r="H1054" s="344">
        <v>80</v>
      </c>
      <c r="I1054" s="345">
        <v>52</v>
      </c>
      <c r="J1054" s="345">
        <f t="shared" si="158"/>
        <v>4160</v>
      </c>
      <c r="K1054" s="320">
        <f>J1054*1.2</f>
        <v>4992</v>
      </c>
      <c r="L1054" s="342">
        <v>4992</v>
      </c>
      <c r="M1054" s="373">
        <v>45505</v>
      </c>
      <c r="N1054" s="342">
        <f>+Table7[[#This Row],[стойност с ДДС]]-Table7[[#This Row],[направено плащане]]</f>
        <v>0</v>
      </c>
      <c r="O1054" s="346"/>
    </row>
    <row r="1055" spans="1:15" ht="20.100000000000001" customHeight="1" x14ac:dyDescent="0.25">
      <c r="A1055" s="151" t="s">
        <v>157</v>
      </c>
      <c r="B1055" s="378" t="s">
        <v>1554</v>
      </c>
      <c r="C1055" s="371" t="s">
        <v>1553</v>
      </c>
      <c r="D1055" s="337"/>
      <c r="E1055" s="328" t="s">
        <v>131</v>
      </c>
      <c r="F1055" s="409" t="s">
        <v>1556</v>
      </c>
      <c r="G1055" s="322"/>
      <c r="H1055" s="324">
        <v>250</v>
      </c>
      <c r="I1055" s="325">
        <v>53.15</v>
      </c>
      <c r="J1055" s="325">
        <f t="shared" ref="J1055:J1056" si="160">I1055*H1055</f>
        <v>13287.5</v>
      </c>
      <c r="K1055" s="318">
        <f t="shared" ref="K1055:K1056" si="161">J1055*1.2</f>
        <v>15945</v>
      </c>
      <c r="L1055" s="322">
        <v>15945</v>
      </c>
      <c r="M1055" s="371">
        <v>45505</v>
      </c>
      <c r="N1055" s="322">
        <f>+Table7[[#This Row],[стойност с ДДС]]-Table7[[#This Row],[направено плащане]]</f>
        <v>0</v>
      </c>
      <c r="O1055" s="327"/>
    </row>
    <row r="1056" spans="1:15" ht="20.100000000000001" customHeight="1" x14ac:dyDescent="0.25">
      <c r="A1056" s="206" t="s">
        <v>157</v>
      </c>
      <c r="B1056" s="381" t="s">
        <v>1554</v>
      </c>
      <c r="C1056" s="373" t="s">
        <v>1553</v>
      </c>
      <c r="D1056" s="343"/>
      <c r="E1056" s="347" t="s">
        <v>131</v>
      </c>
      <c r="F1056" s="412" t="s">
        <v>1557</v>
      </c>
      <c r="G1056" s="342"/>
      <c r="H1056" s="344">
        <v>100</v>
      </c>
      <c r="I1056" s="345">
        <v>52.7</v>
      </c>
      <c r="J1056" s="345">
        <f t="shared" si="160"/>
        <v>5270</v>
      </c>
      <c r="K1056" s="320">
        <f t="shared" si="161"/>
        <v>6324</v>
      </c>
      <c r="L1056" s="342">
        <v>6324</v>
      </c>
      <c r="M1056" s="373">
        <v>45505</v>
      </c>
      <c r="N1056" s="342">
        <f>+Table7[[#This Row],[стойност с ДДС]]-Table7[[#This Row],[направено плащане]]</f>
        <v>0</v>
      </c>
      <c r="O1056" s="346"/>
    </row>
    <row r="1057" spans="1:15" ht="20.100000000000001" customHeight="1" x14ac:dyDescent="0.25">
      <c r="A1057" s="206" t="s">
        <v>226</v>
      </c>
      <c r="B1057" s="381" t="s">
        <v>1558</v>
      </c>
      <c r="C1057" s="373">
        <v>45504</v>
      </c>
      <c r="D1057" s="343"/>
      <c r="E1057" s="347" t="s">
        <v>131</v>
      </c>
      <c r="F1057" s="412" t="s">
        <v>1559</v>
      </c>
      <c r="G1057" s="342"/>
      <c r="H1057" s="344">
        <v>500</v>
      </c>
      <c r="I1057" s="345">
        <v>57</v>
      </c>
      <c r="J1057" s="345">
        <f>I1057*H1057</f>
        <v>28500</v>
      </c>
      <c r="K1057" s="320">
        <f>J1057*1.2</f>
        <v>34200</v>
      </c>
      <c r="L1057" s="342">
        <v>34200</v>
      </c>
      <c r="M1057" s="373">
        <v>45509</v>
      </c>
      <c r="N1057" s="342">
        <f>+Table7[[#This Row],[стойност с ДДС]]-Table7[[#This Row],[направено плащане]]</f>
        <v>0</v>
      </c>
      <c r="O1057" s="346"/>
    </row>
    <row r="1058" spans="1:15" ht="20.100000000000001" customHeight="1" x14ac:dyDescent="0.25">
      <c r="A1058" s="206" t="s">
        <v>101</v>
      </c>
      <c r="B1058" s="388" t="s">
        <v>1560</v>
      </c>
      <c r="C1058" s="373">
        <v>45504</v>
      </c>
      <c r="D1058" s="343"/>
      <c r="E1058" s="347" t="s">
        <v>131</v>
      </c>
      <c r="F1058" s="412" t="s">
        <v>1561</v>
      </c>
      <c r="G1058" s="342"/>
      <c r="H1058" s="344">
        <v>5</v>
      </c>
      <c r="I1058" s="345">
        <v>57</v>
      </c>
      <c r="J1058" s="345">
        <f>I1058*H1058</f>
        <v>285</v>
      </c>
      <c r="K1058" s="320">
        <f>J1058*1.2</f>
        <v>342</v>
      </c>
      <c r="L1058" s="342">
        <v>342</v>
      </c>
      <c r="M1058" s="373">
        <v>45509</v>
      </c>
      <c r="N1058" s="342">
        <f>+Table7[[#This Row],[стойност с ДДС]]-Table7[[#This Row],[направено плащане]]</f>
        <v>0</v>
      </c>
      <c r="O1058" s="346"/>
    </row>
    <row r="1059" spans="1:15" ht="20.100000000000001" customHeight="1" x14ac:dyDescent="0.25">
      <c r="A1059" s="206" t="s">
        <v>157</v>
      </c>
      <c r="B1059" s="381" t="s">
        <v>1562</v>
      </c>
      <c r="C1059" s="373">
        <v>45503</v>
      </c>
      <c r="D1059" s="343"/>
      <c r="E1059" s="347" t="s">
        <v>131</v>
      </c>
      <c r="F1059" s="412" t="s">
        <v>1563</v>
      </c>
      <c r="G1059" s="342"/>
      <c r="H1059" s="344">
        <v>500</v>
      </c>
      <c r="I1059" s="345">
        <v>53.8</v>
      </c>
      <c r="J1059" s="345">
        <f>I1059*H1059</f>
        <v>26900</v>
      </c>
      <c r="K1059" s="320">
        <f>J1059*1.2</f>
        <v>32280</v>
      </c>
      <c r="L1059" s="342">
        <v>32280</v>
      </c>
      <c r="M1059" s="373">
        <v>45506</v>
      </c>
      <c r="N1059" s="342">
        <f>+Table7[[#This Row],[стойност с ДДС]]-Table7[[#This Row],[направено плащане]]</f>
        <v>0</v>
      </c>
      <c r="O1059" s="346"/>
    </row>
    <row r="1060" spans="1:15" ht="20.100000000000001" customHeight="1" x14ac:dyDescent="0.25">
      <c r="A1060" s="206" t="s">
        <v>157</v>
      </c>
      <c r="B1060" s="381" t="s">
        <v>1562</v>
      </c>
      <c r="C1060" s="373">
        <v>45503</v>
      </c>
      <c r="D1060" s="343"/>
      <c r="E1060" s="347" t="s">
        <v>131</v>
      </c>
      <c r="F1060" s="412" t="s">
        <v>1564</v>
      </c>
      <c r="G1060" s="342"/>
      <c r="H1060" s="344">
        <v>500</v>
      </c>
      <c r="I1060" s="345">
        <v>53.55</v>
      </c>
      <c r="J1060" s="345">
        <f>I1060*H1060</f>
        <v>26775</v>
      </c>
      <c r="K1060" s="320">
        <f>J1060*1.2</f>
        <v>32130</v>
      </c>
      <c r="L1060" s="342">
        <v>32130</v>
      </c>
      <c r="M1060" s="373">
        <v>45506</v>
      </c>
      <c r="N1060" s="342">
        <f>+Table7[[#This Row],[стойност с ДДС]]-Table7[[#This Row],[направено плащане]]</f>
        <v>0</v>
      </c>
      <c r="O1060" s="346"/>
    </row>
    <row r="1061" spans="1:15" ht="20.100000000000001" customHeight="1" x14ac:dyDescent="0.25">
      <c r="A1061" s="206" t="s">
        <v>413</v>
      </c>
      <c r="B1061" s="381" t="s">
        <v>1565</v>
      </c>
      <c r="C1061" s="373">
        <v>45504</v>
      </c>
      <c r="D1061" s="343"/>
      <c r="E1061" s="352" t="s">
        <v>622</v>
      </c>
      <c r="F1061" s="412"/>
      <c r="G1061" s="342"/>
      <c r="H1061" s="344"/>
      <c r="I1061" s="345"/>
      <c r="J1061" s="345">
        <f>1533.88*1.9563</f>
        <v>3000.7294440000001</v>
      </c>
      <c r="K1061" s="320">
        <v>3000.73</v>
      </c>
      <c r="L1061" s="342">
        <v>3000.73</v>
      </c>
      <c r="M1061" s="373">
        <v>45517</v>
      </c>
      <c r="N1061" s="342">
        <f>+Table7[[#This Row],[стойност с ДДС]]-Table7[[#This Row],[направено плащане]]</f>
        <v>0</v>
      </c>
      <c r="O1061" s="346">
        <v>45519</v>
      </c>
    </row>
    <row r="1062" spans="1:15" ht="20.100000000000001" customHeight="1" x14ac:dyDescent="0.25">
      <c r="A1062" s="206" t="s">
        <v>99</v>
      </c>
      <c r="B1062" s="381" t="s">
        <v>1566</v>
      </c>
      <c r="C1062" s="373">
        <v>45506</v>
      </c>
      <c r="D1062" s="343"/>
      <c r="E1062" s="347" t="s">
        <v>458</v>
      </c>
      <c r="F1062" s="412"/>
      <c r="G1062" s="342"/>
      <c r="H1062" s="344">
        <v>94</v>
      </c>
      <c r="I1062" s="345">
        <v>1441.991</v>
      </c>
      <c r="J1062" s="345">
        <f t="shared" ref="J1062:J1067" si="162">I1062*H1062</f>
        <v>135547.15400000001</v>
      </c>
      <c r="K1062" s="320">
        <f>J1062*1.2</f>
        <v>162656.58480000001</v>
      </c>
      <c r="L1062" s="342">
        <v>162656.58480000001</v>
      </c>
      <c r="M1062" s="373">
        <v>45513</v>
      </c>
      <c r="N1062" s="342">
        <f>+Table7[[#This Row],[стойност с ДДС]]-Table7[[#This Row],[направено плащане]]</f>
        <v>0</v>
      </c>
      <c r="O1062" s="346"/>
    </row>
    <row r="1063" spans="1:15" ht="20.100000000000001" customHeight="1" x14ac:dyDescent="0.25">
      <c r="A1063" s="206" t="s">
        <v>99</v>
      </c>
      <c r="B1063" s="378" t="s">
        <v>1567</v>
      </c>
      <c r="C1063" s="371">
        <v>45506</v>
      </c>
      <c r="D1063" s="337"/>
      <c r="E1063" s="328" t="s">
        <v>54</v>
      </c>
      <c r="F1063" s="409"/>
      <c r="G1063" s="322"/>
      <c r="H1063" s="324">
        <v>123021.73299999999</v>
      </c>
      <c r="I1063" s="325">
        <v>0.6</v>
      </c>
      <c r="J1063" s="325">
        <f t="shared" si="162"/>
        <v>73813.039799999999</v>
      </c>
      <c r="K1063" s="318">
        <f>J1063*1.2</f>
        <v>88575.647759999993</v>
      </c>
      <c r="L1063" s="322">
        <v>88575.647759999993</v>
      </c>
      <c r="M1063" s="371">
        <v>45513</v>
      </c>
      <c r="N1063" s="322">
        <f>+Table7[[#This Row],[стойност с ДДС]]-Table7[[#This Row],[направено плащане]]</f>
        <v>0</v>
      </c>
      <c r="O1063" s="327"/>
    </row>
    <row r="1064" spans="1:15" ht="20.100000000000001" customHeight="1" x14ac:dyDescent="0.25">
      <c r="A1064" s="206" t="s">
        <v>235</v>
      </c>
      <c r="B1064" s="381" t="s">
        <v>1568</v>
      </c>
      <c r="C1064" s="373">
        <v>45505</v>
      </c>
      <c r="D1064" s="343"/>
      <c r="E1064" s="347" t="s">
        <v>263</v>
      </c>
      <c r="F1064" s="412"/>
      <c r="G1064" s="342"/>
      <c r="H1064" s="344">
        <v>0</v>
      </c>
      <c r="I1064" s="345">
        <v>0</v>
      </c>
      <c r="J1064" s="345">
        <f t="shared" si="162"/>
        <v>0</v>
      </c>
      <c r="K1064" s="320">
        <f>J1064*1.2</f>
        <v>0</v>
      </c>
      <c r="L1064" s="342"/>
      <c r="M1064" s="373"/>
      <c r="N1064" s="342">
        <f>+Table7[[#This Row],[стойност с ДДС]]-Table7[[#This Row],[направено плащане]]</f>
        <v>0</v>
      </c>
      <c r="O1064" s="346"/>
    </row>
    <row r="1065" spans="1:15" ht="20.100000000000001" customHeight="1" x14ac:dyDescent="0.25">
      <c r="A1065" s="206" t="s">
        <v>1396</v>
      </c>
      <c r="B1065" s="381" t="s">
        <v>1569</v>
      </c>
      <c r="C1065" s="373">
        <v>45506</v>
      </c>
      <c r="D1065" s="343"/>
      <c r="E1065" s="352" t="s">
        <v>422</v>
      </c>
      <c r="F1065" s="412"/>
      <c r="G1065" s="342"/>
      <c r="H1065" s="344">
        <v>1</v>
      </c>
      <c r="I1065" s="345">
        <v>21.41</v>
      </c>
      <c r="J1065" s="345">
        <f t="shared" si="162"/>
        <v>21.41</v>
      </c>
      <c r="K1065" s="320">
        <f>J1065*1.2</f>
        <v>25.692</v>
      </c>
      <c r="L1065" s="342">
        <v>25.692</v>
      </c>
      <c r="M1065" s="373">
        <v>45510</v>
      </c>
      <c r="N1065" s="342">
        <f>+Table7[[#This Row],[стойност с ДДС]]-Table7[[#This Row],[направено плащане]]</f>
        <v>0</v>
      </c>
      <c r="O1065" s="346"/>
    </row>
    <row r="1066" spans="1:15" ht="20.100000000000001" customHeight="1" x14ac:dyDescent="0.25">
      <c r="A1066" s="206" t="s">
        <v>226</v>
      </c>
      <c r="B1066" s="381" t="s">
        <v>1570</v>
      </c>
      <c r="C1066" s="373">
        <v>45499</v>
      </c>
      <c r="D1066" s="343"/>
      <c r="E1066" s="347" t="s">
        <v>131</v>
      </c>
      <c r="F1066" s="412" t="s">
        <v>1501</v>
      </c>
      <c r="G1066" s="342"/>
      <c r="H1066" s="344">
        <v>60</v>
      </c>
      <c r="I1066" s="345">
        <v>51.4</v>
      </c>
      <c r="J1066" s="345">
        <f t="shared" si="162"/>
        <v>3084</v>
      </c>
      <c r="K1066" s="320">
        <f>J1066*1.2</f>
        <v>3700.7999999999997</v>
      </c>
      <c r="L1066" s="342">
        <v>3700.7999999999997</v>
      </c>
      <c r="M1066" s="373">
        <v>45504</v>
      </c>
      <c r="N1066" s="342">
        <f>+Table7[[#This Row],[стойност с ДДС]]-Table7[[#This Row],[направено плащане]]</f>
        <v>0</v>
      </c>
      <c r="O1066" s="346"/>
    </row>
    <row r="1067" spans="1:15" ht="20.100000000000001" customHeight="1" x14ac:dyDescent="0.25">
      <c r="A1067" s="206" t="s">
        <v>159</v>
      </c>
      <c r="B1067" s="381" t="s">
        <v>1571</v>
      </c>
      <c r="C1067" s="373">
        <v>45505</v>
      </c>
      <c r="D1067" s="343"/>
      <c r="E1067" s="347" t="s">
        <v>131</v>
      </c>
      <c r="F1067" s="412"/>
      <c r="G1067" s="342"/>
      <c r="H1067" s="344">
        <v>500</v>
      </c>
      <c r="I1067" s="345">
        <f>29.39928*1.9563</f>
        <v>57.513811464</v>
      </c>
      <c r="J1067" s="345">
        <f t="shared" si="162"/>
        <v>28756.905731999999</v>
      </c>
      <c r="K1067" s="320"/>
      <c r="L1067" s="342"/>
      <c r="M1067" s="373"/>
      <c r="N1067" s="342">
        <f>+Table7[[#This Row],[стойност с ДДС]]-Table7[[#This Row],[направено плащане]]</f>
        <v>0</v>
      </c>
      <c r="O1067" s="346"/>
    </row>
    <row r="1068" spans="1:15" ht="20.100000000000001" customHeight="1" x14ac:dyDescent="0.3">
      <c r="A1068" s="206" t="s">
        <v>341</v>
      </c>
      <c r="B1068" s="381" t="s">
        <v>1572</v>
      </c>
      <c r="C1068" s="373">
        <v>45505</v>
      </c>
      <c r="D1068" s="343"/>
      <c r="E1068" s="332" t="s">
        <v>343</v>
      </c>
      <c r="F1068" s="412"/>
      <c r="G1068" s="342"/>
      <c r="H1068" s="344">
        <v>1</v>
      </c>
      <c r="I1068" s="345">
        <v>200</v>
      </c>
      <c r="J1068" s="345">
        <f>I1068*H1068</f>
        <v>200</v>
      </c>
      <c r="K1068" s="320">
        <f>J1068*1.2</f>
        <v>240</v>
      </c>
      <c r="L1068" s="342">
        <v>240</v>
      </c>
      <c r="M1068" s="373">
        <v>45513</v>
      </c>
      <c r="N1068" s="342">
        <f>+Table7[[#This Row],[стойност с ДДС]]-Table7[[#This Row],[направено плащане]]</f>
        <v>0</v>
      </c>
      <c r="O1068" s="346"/>
    </row>
    <row r="1069" spans="1:15" ht="20.100000000000001" customHeight="1" x14ac:dyDescent="0.3">
      <c r="A1069" s="206" t="s">
        <v>341</v>
      </c>
      <c r="B1069" s="378" t="s">
        <v>1572</v>
      </c>
      <c r="C1069" s="371">
        <v>45504</v>
      </c>
      <c r="D1069" s="337"/>
      <c r="E1069" s="332" t="s">
        <v>343</v>
      </c>
      <c r="F1069" s="409"/>
      <c r="G1069" s="322"/>
      <c r="H1069" s="324">
        <v>52322</v>
      </c>
      <c r="I1069" s="325">
        <v>0.05</v>
      </c>
      <c r="J1069" s="325">
        <f>I1069*H1069</f>
        <v>2616.1000000000004</v>
      </c>
      <c r="K1069" s="318">
        <f>J1069*1.2</f>
        <v>3139.32</v>
      </c>
      <c r="L1069" s="322">
        <v>3139.32</v>
      </c>
      <c r="M1069" s="371">
        <v>45513</v>
      </c>
      <c r="N1069" s="322">
        <f>+Table7[[#This Row],[стойност с ДДС]]-Table7[[#This Row],[направено плащане]]</f>
        <v>0</v>
      </c>
      <c r="O1069" s="327"/>
    </row>
    <row r="1070" spans="1:15" ht="20.100000000000001" customHeight="1" x14ac:dyDescent="0.3">
      <c r="A1070" s="206" t="s">
        <v>341</v>
      </c>
      <c r="B1070" s="378" t="s">
        <v>1572</v>
      </c>
      <c r="C1070" s="371">
        <v>45504</v>
      </c>
      <c r="D1070" s="337"/>
      <c r="E1070" s="332" t="s">
        <v>343</v>
      </c>
      <c r="F1070" s="409"/>
      <c r="G1070" s="322"/>
      <c r="H1070" s="324">
        <v>36084</v>
      </c>
      <c r="I1070" s="325">
        <v>0.02</v>
      </c>
      <c r="J1070" s="325">
        <f t="shared" ref="J1070:J1071" si="163">I1070*H1070</f>
        <v>721.68000000000006</v>
      </c>
      <c r="K1070" s="318">
        <f t="shared" ref="K1070:K1071" si="164">J1070*1.2</f>
        <v>866.01600000000008</v>
      </c>
      <c r="L1070" s="322">
        <v>866.01600000000008</v>
      </c>
      <c r="M1070" s="371">
        <v>45513</v>
      </c>
      <c r="N1070" s="322">
        <f>+Table7[[#This Row],[стойност с ДДС]]-Table7[[#This Row],[направено плащане]]</f>
        <v>0</v>
      </c>
      <c r="O1070" s="327"/>
    </row>
    <row r="1071" spans="1:15" ht="20.100000000000001" customHeight="1" x14ac:dyDescent="0.3">
      <c r="A1071" s="206" t="s">
        <v>341</v>
      </c>
      <c r="B1071" s="378" t="s">
        <v>1572</v>
      </c>
      <c r="C1071" s="371">
        <v>45504</v>
      </c>
      <c r="D1071" s="337"/>
      <c r="E1071" s="332" t="s">
        <v>343</v>
      </c>
      <c r="F1071" s="409"/>
      <c r="G1071" s="322"/>
      <c r="H1071" s="324">
        <v>94265</v>
      </c>
      <c r="I1071" s="325">
        <v>0.04</v>
      </c>
      <c r="J1071" s="325">
        <f t="shared" si="163"/>
        <v>3770.6</v>
      </c>
      <c r="K1071" s="318">
        <f t="shared" si="164"/>
        <v>4524.7199999999993</v>
      </c>
      <c r="L1071" s="322">
        <v>4524.7199999999993</v>
      </c>
      <c r="M1071" s="371">
        <v>45513</v>
      </c>
      <c r="N1071" s="322">
        <f>+Table7[[#This Row],[стойност с ДДС]]-Table7[[#This Row],[направено плащане]]</f>
        <v>0</v>
      </c>
      <c r="O1071" s="327"/>
    </row>
    <row r="1072" spans="1:15" ht="20.100000000000001" customHeight="1" x14ac:dyDescent="0.3">
      <c r="A1072" s="206" t="s">
        <v>341</v>
      </c>
      <c r="B1072" s="378" t="s">
        <v>1572</v>
      </c>
      <c r="C1072" s="371">
        <v>45504</v>
      </c>
      <c r="D1072" s="337"/>
      <c r="E1072" s="332" t="s">
        <v>343</v>
      </c>
      <c r="F1072" s="409" t="s">
        <v>1155</v>
      </c>
      <c r="G1072" s="322"/>
      <c r="H1072" s="324">
        <v>1</v>
      </c>
      <c r="I1072" s="325">
        <v>100</v>
      </c>
      <c r="J1072" s="325">
        <f>I1072*H1072</f>
        <v>100</v>
      </c>
      <c r="K1072" s="318">
        <f>J1072*1.2</f>
        <v>120</v>
      </c>
      <c r="L1072" s="322">
        <v>120</v>
      </c>
      <c r="M1072" s="371">
        <v>45513</v>
      </c>
      <c r="N1072" s="322">
        <f>+Table7[[#This Row],[стойност с ДДС]]-Table7[[#This Row],[направено плащане]]</f>
        <v>0</v>
      </c>
      <c r="O1072" s="327"/>
    </row>
    <row r="1073" spans="1:15" ht="20.100000000000001" customHeight="1" x14ac:dyDescent="0.3">
      <c r="A1073" s="206" t="s">
        <v>341</v>
      </c>
      <c r="B1073" s="378" t="s">
        <v>1573</v>
      </c>
      <c r="C1073" s="371">
        <v>45505</v>
      </c>
      <c r="D1073" s="337"/>
      <c r="E1073" s="332" t="s">
        <v>343</v>
      </c>
      <c r="F1073" s="409" t="s">
        <v>1574</v>
      </c>
      <c r="G1073" s="322"/>
      <c r="H1073" s="324">
        <v>1</v>
      </c>
      <c r="I1073" s="325">
        <v>1700</v>
      </c>
      <c r="J1073" s="325">
        <f t="shared" ref="J1073:J1074" si="165">I1073*H1073</f>
        <v>1700</v>
      </c>
      <c r="K1073" s="318">
        <f t="shared" ref="K1073:K1074" si="166">J1073*1.2</f>
        <v>2040</v>
      </c>
      <c r="L1073" s="322">
        <v>2040</v>
      </c>
      <c r="M1073" s="371">
        <v>45513</v>
      </c>
      <c r="N1073" s="322">
        <f>+Table7[[#This Row],[стойност с ДДС]]-Table7[[#This Row],[направено плащане]]</f>
        <v>0</v>
      </c>
      <c r="O1073" s="327"/>
    </row>
    <row r="1074" spans="1:15" ht="20.100000000000001" customHeight="1" x14ac:dyDescent="0.3">
      <c r="A1074" s="206" t="s">
        <v>341</v>
      </c>
      <c r="B1074" s="378" t="s">
        <v>1573</v>
      </c>
      <c r="C1074" s="371">
        <v>45505</v>
      </c>
      <c r="D1074" s="337"/>
      <c r="E1074" s="332" t="s">
        <v>343</v>
      </c>
      <c r="F1074" s="409" t="s">
        <v>1575</v>
      </c>
      <c r="G1074" s="322"/>
      <c r="H1074" s="324">
        <v>2</v>
      </c>
      <c r="I1074" s="325">
        <v>600</v>
      </c>
      <c r="J1074" s="325">
        <f t="shared" si="165"/>
        <v>1200</v>
      </c>
      <c r="K1074" s="318">
        <f t="shared" si="166"/>
        <v>1440</v>
      </c>
      <c r="L1074" s="322">
        <v>1440</v>
      </c>
      <c r="M1074" s="371">
        <v>45513</v>
      </c>
      <c r="N1074" s="322">
        <f>+Table7[[#This Row],[стойност с ДДС]]-Table7[[#This Row],[направено плащане]]</f>
        <v>0</v>
      </c>
      <c r="O1074" s="327"/>
    </row>
    <row r="1075" spans="1:15" ht="20.100000000000001" customHeight="1" x14ac:dyDescent="0.3">
      <c r="A1075" s="206" t="s">
        <v>914</v>
      </c>
      <c r="B1075" s="381" t="s">
        <v>1576</v>
      </c>
      <c r="C1075" s="373">
        <v>45506</v>
      </c>
      <c r="D1075" s="343"/>
      <c r="E1075" s="332" t="s">
        <v>263</v>
      </c>
      <c r="F1075" s="412"/>
      <c r="G1075" s="342"/>
      <c r="H1075" s="344">
        <v>225</v>
      </c>
      <c r="I1075" s="345">
        <v>68.206999999999994</v>
      </c>
      <c r="J1075" s="345">
        <f>I1075*H1075</f>
        <v>15346.574999999999</v>
      </c>
      <c r="K1075" s="320">
        <f>J1075*1.2</f>
        <v>18415.89</v>
      </c>
      <c r="L1075" s="342">
        <v>18415.89</v>
      </c>
      <c r="M1075" s="373">
        <v>45510</v>
      </c>
      <c r="N1075" s="342">
        <f>+Table7[[#This Row],[стойност с ДДС]]-Table7[[#This Row],[направено плащане]]</f>
        <v>0</v>
      </c>
      <c r="O1075" s="346"/>
    </row>
    <row r="1076" spans="1:15" ht="20.100000000000001" customHeight="1" x14ac:dyDescent="0.3">
      <c r="A1076" s="206" t="s">
        <v>914</v>
      </c>
      <c r="B1076" s="378" t="s">
        <v>1577</v>
      </c>
      <c r="C1076" s="371">
        <v>45506</v>
      </c>
      <c r="D1076" s="337"/>
      <c r="E1076" s="332" t="s">
        <v>263</v>
      </c>
      <c r="F1076" s="409"/>
      <c r="G1076" s="322"/>
      <c r="H1076" s="324">
        <v>225</v>
      </c>
      <c r="I1076" s="325">
        <v>68.206999999999994</v>
      </c>
      <c r="J1076" s="325">
        <f>I1076*H1076</f>
        <v>15346.574999999999</v>
      </c>
      <c r="K1076" s="318">
        <f>J1076*1.2</f>
        <v>18415.89</v>
      </c>
      <c r="L1076" s="322"/>
      <c r="M1076" s="371"/>
      <c r="N1076" s="322">
        <f>+Table7[[#This Row],[стойност с ДДС]]-Table7[[#This Row],[направено плащане]]</f>
        <v>18415.89</v>
      </c>
      <c r="O1076" s="327"/>
    </row>
    <row r="1077" spans="1:15" ht="20.100000000000001" customHeight="1" x14ac:dyDescent="0.25">
      <c r="A1077" s="206" t="s">
        <v>34</v>
      </c>
      <c r="B1077" s="381" t="s">
        <v>1578</v>
      </c>
      <c r="C1077" s="373">
        <v>45509</v>
      </c>
      <c r="D1077" s="343"/>
      <c r="E1077" s="347" t="s">
        <v>131</v>
      </c>
      <c r="F1077" s="412"/>
      <c r="G1077" s="342"/>
      <c r="H1077" s="344">
        <v>24</v>
      </c>
      <c r="I1077" s="345">
        <v>58</v>
      </c>
      <c r="J1077" s="345">
        <f>I1077*H1077</f>
        <v>1392</v>
      </c>
      <c r="K1077" s="320">
        <f>J1077*1.2</f>
        <v>1670.3999999999999</v>
      </c>
      <c r="L1077" s="342">
        <v>1670.3999999999999</v>
      </c>
      <c r="M1077" s="373">
        <v>45513</v>
      </c>
      <c r="N1077" s="342">
        <f>+Table7[[#This Row],[стойност с ДДС]]-Table7[[#This Row],[направено плащане]]</f>
        <v>0</v>
      </c>
      <c r="O1077" s="346"/>
    </row>
    <row r="1078" spans="1:15" ht="20.100000000000001" customHeight="1" x14ac:dyDescent="0.25">
      <c r="A1078" s="206" t="s">
        <v>1461</v>
      </c>
      <c r="B1078" s="381" t="s">
        <v>1579</v>
      </c>
      <c r="C1078" s="373">
        <v>45506</v>
      </c>
      <c r="D1078" s="343"/>
      <c r="E1078" s="347" t="s">
        <v>131</v>
      </c>
      <c r="F1078" s="412"/>
      <c r="G1078" s="342"/>
      <c r="H1078" s="344">
        <v>300</v>
      </c>
      <c r="I1078" s="345">
        <v>51.4</v>
      </c>
      <c r="J1078" s="345">
        <f>I1078*H1078</f>
        <v>15420</v>
      </c>
      <c r="K1078" s="320">
        <v>15420</v>
      </c>
      <c r="L1078" s="342">
        <v>15420</v>
      </c>
      <c r="M1078" s="373">
        <v>45510</v>
      </c>
      <c r="N1078" s="342">
        <f>+Table7[[#This Row],[стойност с ДДС]]-Table7[[#This Row],[направено плащане]]</f>
        <v>0</v>
      </c>
      <c r="O1078" s="346"/>
    </row>
    <row r="1079" spans="1:15" ht="20.100000000000001" customHeight="1" x14ac:dyDescent="0.25">
      <c r="A1079" s="151" t="s">
        <v>1461</v>
      </c>
      <c r="B1079" s="378" t="s">
        <v>1579</v>
      </c>
      <c r="C1079" s="371">
        <v>45506</v>
      </c>
      <c r="D1079" s="337"/>
      <c r="E1079" s="328" t="s">
        <v>131</v>
      </c>
      <c r="F1079" s="409"/>
      <c r="G1079" s="322"/>
      <c r="H1079" s="324">
        <v>300</v>
      </c>
      <c r="I1079" s="325">
        <v>51.15</v>
      </c>
      <c r="J1079" s="325">
        <f t="shared" ref="J1079:J1080" si="167">I1079*H1079</f>
        <v>15345</v>
      </c>
      <c r="K1079" s="318">
        <v>15345</v>
      </c>
      <c r="L1079" s="322">
        <v>15345</v>
      </c>
      <c r="M1079" s="371">
        <v>45510</v>
      </c>
      <c r="N1079" s="322">
        <f>+Table7[[#This Row],[стойност с ДДС]]-Table7[[#This Row],[направено плащане]]</f>
        <v>0</v>
      </c>
      <c r="O1079" s="327"/>
    </row>
    <row r="1080" spans="1:15" ht="20.100000000000001" customHeight="1" x14ac:dyDescent="0.25">
      <c r="A1080" s="206" t="s">
        <v>1461</v>
      </c>
      <c r="B1080" s="381" t="s">
        <v>1579</v>
      </c>
      <c r="C1080" s="373">
        <v>45506</v>
      </c>
      <c r="D1080" s="343"/>
      <c r="E1080" s="347" t="s">
        <v>131</v>
      </c>
      <c r="F1080" s="412"/>
      <c r="G1080" s="342"/>
      <c r="H1080" s="344">
        <v>70</v>
      </c>
      <c r="I1080" s="345">
        <v>51.45</v>
      </c>
      <c r="J1080" s="345">
        <f t="shared" si="167"/>
        <v>3601.5</v>
      </c>
      <c r="K1080" s="320">
        <v>3601.5</v>
      </c>
      <c r="L1080" s="342">
        <v>3601.5</v>
      </c>
      <c r="M1080" s="373">
        <v>45510</v>
      </c>
      <c r="N1080" s="342">
        <f>+Table7[[#This Row],[стойност с ДДС]]-Table7[[#This Row],[направено плащане]]</f>
        <v>0</v>
      </c>
      <c r="O1080" s="346"/>
    </row>
    <row r="1081" spans="1:15" ht="20.100000000000001" customHeight="1" x14ac:dyDescent="0.25">
      <c r="A1081" s="206" t="s">
        <v>226</v>
      </c>
      <c r="B1081" s="381" t="s">
        <v>1580</v>
      </c>
      <c r="C1081" s="373">
        <v>45509</v>
      </c>
      <c r="D1081" s="343"/>
      <c r="E1081" s="347" t="s">
        <v>131</v>
      </c>
      <c r="F1081" s="412"/>
      <c r="G1081" s="342"/>
      <c r="H1081" s="344">
        <v>700</v>
      </c>
      <c r="I1081" s="345">
        <v>57.52</v>
      </c>
      <c r="J1081" s="345">
        <f>I1081*H1081</f>
        <v>40264</v>
      </c>
      <c r="K1081" s="320">
        <f>J1081*1.2</f>
        <v>48316.799999999996</v>
      </c>
      <c r="L1081" s="342">
        <v>48316.799999999996</v>
      </c>
      <c r="M1081" s="373">
        <v>45512</v>
      </c>
      <c r="N1081" s="342">
        <f>+Table7[[#This Row],[стойност с ДДС]]-Table7[[#This Row],[направено плащане]]</f>
        <v>0</v>
      </c>
      <c r="O1081" s="346"/>
    </row>
    <row r="1082" spans="1:15" ht="20.100000000000001" customHeight="1" x14ac:dyDescent="0.25">
      <c r="A1082" s="206" t="s">
        <v>157</v>
      </c>
      <c r="B1082" s="381" t="s">
        <v>1581</v>
      </c>
      <c r="C1082" s="373">
        <v>45509</v>
      </c>
      <c r="D1082" s="343"/>
      <c r="E1082" s="347" t="s">
        <v>131</v>
      </c>
      <c r="F1082" s="412"/>
      <c r="G1082" s="342"/>
      <c r="H1082" s="344">
        <v>200</v>
      </c>
      <c r="I1082" s="345">
        <v>57.3</v>
      </c>
      <c r="J1082" s="345">
        <f>I1082*H1082</f>
        <v>11460</v>
      </c>
      <c r="K1082" s="320">
        <f>J1082*1.2</f>
        <v>13752</v>
      </c>
      <c r="L1082" s="342">
        <v>13752</v>
      </c>
      <c r="M1082" s="373">
        <v>45512</v>
      </c>
      <c r="N1082" s="342">
        <f>+Table7[[#This Row],[стойност с ДДС]]-Table7[[#This Row],[направено плащане]]</f>
        <v>0</v>
      </c>
      <c r="O1082" s="346"/>
    </row>
    <row r="1083" spans="1:15" ht="20.100000000000001" customHeight="1" x14ac:dyDescent="0.25">
      <c r="A1083" s="151" t="s">
        <v>157</v>
      </c>
      <c r="B1083" s="378" t="s">
        <v>1581</v>
      </c>
      <c r="C1083" s="371">
        <v>45509</v>
      </c>
      <c r="D1083" s="337"/>
      <c r="E1083" s="328" t="s">
        <v>131</v>
      </c>
      <c r="F1083" s="409"/>
      <c r="G1083" s="322"/>
      <c r="H1083" s="324">
        <v>118</v>
      </c>
      <c r="I1083" s="325">
        <v>58.8</v>
      </c>
      <c r="J1083" s="325">
        <f t="shared" ref="J1083:J1084" si="168">I1083*H1083</f>
        <v>6938.4</v>
      </c>
      <c r="K1083" s="318">
        <f t="shared" ref="K1083:K1084" si="169">J1083*1.2</f>
        <v>8326.08</v>
      </c>
      <c r="L1083" s="322">
        <v>8326.08</v>
      </c>
      <c r="M1083" s="371">
        <v>45512</v>
      </c>
      <c r="N1083" s="322">
        <f>+Table7[[#This Row],[стойност с ДДС]]-Table7[[#This Row],[направено плащане]]</f>
        <v>0</v>
      </c>
      <c r="O1083" s="327"/>
    </row>
    <row r="1084" spans="1:15" ht="20.100000000000001" customHeight="1" x14ac:dyDescent="0.25">
      <c r="A1084" s="206" t="s">
        <v>157</v>
      </c>
      <c r="B1084" s="381" t="s">
        <v>1581</v>
      </c>
      <c r="C1084" s="373">
        <v>45509</v>
      </c>
      <c r="D1084" s="343"/>
      <c r="E1084" s="347" t="s">
        <v>131</v>
      </c>
      <c r="F1084" s="412"/>
      <c r="G1084" s="342"/>
      <c r="H1084" s="344">
        <v>100</v>
      </c>
      <c r="I1084" s="345">
        <v>58.8</v>
      </c>
      <c r="J1084" s="345">
        <f t="shared" si="168"/>
        <v>5880</v>
      </c>
      <c r="K1084" s="320">
        <f t="shared" si="169"/>
        <v>7056</v>
      </c>
      <c r="L1084" s="342">
        <v>7056</v>
      </c>
      <c r="M1084" s="373">
        <v>45512</v>
      </c>
      <c r="N1084" s="342">
        <f>+Table7[[#This Row],[стойност с ДДС]]-Table7[[#This Row],[направено плащане]]</f>
        <v>0</v>
      </c>
      <c r="O1084" s="346"/>
    </row>
    <row r="1085" spans="1:15" ht="20.100000000000001" customHeight="1" x14ac:dyDescent="0.25">
      <c r="A1085" s="206" t="s">
        <v>157</v>
      </c>
      <c r="B1085" s="378" t="s">
        <v>1582</v>
      </c>
      <c r="C1085" s="371">
        <v>45505</v>
      </c>
      <c r="D1085" s="337"/>
      <c r="E1085" s="347" t="s">
        <v>131</v>
      </c>
      <c r="F1085" s="409"/>
      <c r="G1085" s="322"/>
      <c r="H1085" s="324">
        <v>40</v>
      </c>
      <c r="I1085" s="325">
        <v>57</v>
      </c>
      <c r="J1085" s="325">
        <f t="shared" ref="J1085:J1091" si="170">I1085*H1085</f>
        <v>2280</v>
      </c>
      <c r="K1085" s="318">
        <f>J1085*1.2</f>
        <v>2736</v>
      </c>
      <c r="L1085" s="322"/>
      <c r="M1085" s="371"/>
      <c r="N1085" s="322">
        <f>+Table7[[#This Row],[стойност с ДДС]]-Table7[[#This Row],[направено плащане]]</f>
        <v>2736</v>
      </c>
      <c r="O1085" s="327"/>
    </row>
    <row r="1086" spans="1:15" ht="20.100000000000001" customHeight="1" x14ac:dyDescent="0.25">
      <c r="A1086" s="206" t="s">
        <v>157</v>
      </c>
      <c r="B1086" s="381" t="s">
        <v>1582</v>
      </c>
      <c r="C1086" s="373">
        <v>45505</v>
      </c>
      <c r="D1086" s="343"/>
      <c r="E1086" s="347" t="s">
        <v>131</v>
      </c>
      <c r="F1086" s="412"/>
      <c r="G1086" s="342"/>
      <c r="H1086" s="344">
        <v>10</v>
      </c>
      <c r="I1086" s="345">
        <v>57</v>
      </c>
      <c r="J1086" s="345">
        <f t="shared" si="170"/>
        <v>570</v>
      </c>
      <c r="K1086" s="320">
        <f>J1086*1.2</f>
        <v>684</v>
      </c>
      <c r="L1086" s="342"/>
      <c r="M1086" s="373"/>
      <c r="N1086" s="342">
        <f>+Table7[[#This Row],[стойност с ДДС]]-Table7[[#This Row],[направено плащане]]</f>
        <v>684</v>
      </c>
      <c r="O1086" s="346"/>
    </row>
    <row r="1087" spans="1:15" ht="20.100000000000001" customHeight="1" x14ac:dyDescent="0.25">
      <c r="A1087" s="206" t="s">
        <v>448</v>
      </c>
      <c r="B1087" s="381" t="s">
        <v>1583</v>
      </c>
      <c r="C1087" s="373">
        <v>45504</v>
      </c>
      <c r="D1087" s="343"/>
      <c r="E1087" s="352" t="s">
        <v>450</v>
      </c>
      <c r="F1087" s="412"/>
      <c r="G1087" s="342"/>
      <c r="H1087" s="344">
        <v>150</v>
      </c>
      <c r="I1087" s="345">
        <v>5.5E-2</v>
      </c>
      <c r="J1087" s="345">
        <f t="shared" si="170"/>
        <v>8.25</v>
      </c>
      <c r="K1087" s="320"/>
      <c r="L1087" s="342"/>
      <c r="M1087" s="373"/>
      <c r="N1087" s="342">
        <f>+Table7[[#This Row],[стойност с ДДС]]-Table7[[#This Row],[направено плащане]]</f>
        <v>0</v>
      </c>
      <c r="O1087" s="346"/>
    </row>
    <row r="1088" spans="1:15" ht="20.100000000000001" customHeight="1" x14ac:dyDescent="0.25">
      <c r="A1088" s="151" t="s">
        <v>448</v>
      </c>
      <c r="B1088" s="378" t="s">
        <v>1583</v>
      </c>
      <c r="C1088" s="371">
        <v>45504</v>
      </c>
      <c r="D1088" s="337"/>
      <c r="E1088" s="352" t="s">
        <v>450</v>
      </c>
      <c r="F1088" s="409"/>
      <c r="G1088" s="322"/>
      <c r="H1088" s="324">
        <v>1</v>
      </c>
      <c r="I1088" s="325">
        <v>2</v>
      </c>
      <c r="J1088" s="325">
        <f t="shared" si="170"/>
        <v>2</v>
      </c>
      <c r="K1088" s="318"/>
      <c r="L1088" s="322"/>
      <c r="M1088" s="371"/>
      <c r="N1088" s="322">
        <f>+Table7[[#This Row],[стойност с ДДС]]-Table7[[#This Row],[направено плащане]]</f>
        <v>0</v>
      </c>
      <c r="O1088" s="327"/>
    </row>
    <row r="1089" spans="1:15" ht="20.100000000000001" customHeight="1" x14ac:dyDescent="0.25">
      <c r="A1089" s="151" t="s">
        <v>448</v>
      </c>
      <c r="B1089" s="378" t="s">
        <v>1584</v>
      </c>
      <c r="C1089" s="371">
        <v>45504</v>
      </c>
      <c r="D1089" s="337"/>
      <c r="E1089" s="352" t="s">
        <v>450</v>
      </c>
      <c r="F1089" s="409"/>
      <c r="G1089" s="322"/>
      <c r="H1089" s="324">
        <v>1</v>
      </c>
      <c r="I1089" s="325">
        <v>550</v>
      </c>
      <c r="J1089" s="325">
        <f t="shared" si="170"/>
        <v>550</v>
      </c>
      <c r="K1089" s="318">
        <f>J1089*1.2</f>
        <v>660</v>
      </c>
      <c r="L1089" s="322">
        <v>200</v>
      </c>
      <c r="M1089" s="371">
        <v>45512</v>
      </c>
      <c r="N1089" s="322">
        <f>+Table7[[#This Row],[стойност с ДДС]]-Table7[[#This Row],[направено плащане]]</f>
        <v>460</v>
      </c>
      <c r="O1089" s="327"/>
    </row>
    <row r="1090" spans="1:15" ht="20.100000000000001" customHeight="1" x14ac:dyDescent="0.25">
      <c r="A1090" s="206" t="s">
        <v>448</v>
      </c>
      <c r="B1090" s="381" t="s">
        <v>1584</v>
      </c>
      <c r="C1090" s="373">
        <v>45504</v>
      </c>
      <c r="D1090" s="343"/>
      <c r="E1090" s="347" t="s">
        <v>450</v>
      </c>
      <c r="F1090" s="412"/>
      <c r="G1090" s="342"/>
      <c r="H1090" s="344">
        <v>1</v>
      </c>
      <c r="I1090" s="345">
        <v>200</v>
      </c>
      <c r="J1090" s="345">
        <f t="shared" si="170"/>
        <v>200</v>
      </c>
      <c r="K1090" s="320">
        <f>J1090*1.2</f>
        <v>240</v>
      </c>
      <c r="L1090" s="342">
        <v>98.78</v>
      </c>
      <c r="M1090" s="373">
        <v>45512</v>
      </c>
      <c r="N1090" s="342">
        <f>+Table7[[#This Row],[стойност с ДДС]]-Table7[[#This Row],[направено плащане]]</f>
        <v>141.22</v>
      </c>
      <c r="O1090" s="346"/>
    </row>
    <row r="1091" spans="1:15" ht="20.100000000000001" customHeight="1" x14ac:dyDescent="0.25">
      <c r="A1091" s="206" t="s">
        <v>1258</v>
      </c>
      <c r="B1091" s="381" t="s">
        <v>1585</v>
      </c>
      <c r="C1091" s="373">
        <v>45509</v>
      </c>
      <c r="D1091" s="343"/>
      <c r="E1091" s="347" t="s">
        <v>263</v>
      </c>
      <c r="F1091" s="412"/>
      <c r="G1091" s="342"/>
      <c r="H1091" s="344">
        <v>9300</v>
      </c>
      <c r="I1091" s="345">
        <f>29.1*1.9563</f>
        <v>56.928330000000003</v>
      </c>
      <c r="J1091" s="345">
        <f t="shared" si="170"/>
        <v>529433.46900000004</v>
      </c>
      <c r="K1091" s="320"/>
      <c r="L1091" s="342"/>
      <c r="M1091" s="373"/>
      <c r="N1091" s="342">
        <f>+Table7[[#This Row],[стойност с ДДС]]-Table7[[#This Row],[направено плащане]]</f>
        <v>0</v>
      </c>
      <c r="O1091" s="346"/>
    </row>
    <row r="1092" spans="1:15" ht="20.100000000000001" customHeight="1" x14ac:dyDescent="0.25">
      <c r="A1092" s="151" t="s">
        <v>1258</v>
      </c>
      <c r="B1092" s="378" t="s">
        <v>1585</v>
      </c>
      <c r="C1092" s="371">
        <v>45509</v>
      </c>
      <c r="D1092" s="337"/>
      <c r="E1092" s="347" t="s">
        <v>263</v>
      </c>
      <c r="F1092" s="409"/>
      <c r="G1092" s="322"/>
      <c r="H1092" s="324">
        <v>9300</v>
      </c>
      <c r="I1092" s="325">
        <f>30.3*1.9563</f>
        <v>59.275889999999997</v>
      </c>
      <c r="J1092" s="325">
        <f t="shared" ref="J1092:J1095" si="171">I1092*H1092</f>
        <v>551265.777</v>
      </c>
      <c r="K1092" s="318"/>
      <c r="L1092" s="322"/>
      <c r="M1092" s="371"/>
      <c r="N1092" s="322">
        <f>+Table7[[#This Row],[стойност с ДДС]]-Table7[[#This Row],[направено плащане]]</f>
        <v>0</v>
      </c>
      <c r="O1092" s="327"/>
    </row>
    <row r="1093" spans="1:15" ht="20.100000000000001" customHeight="1" x14ac:dyDescent="0.25">
      <c r="A1093" s="151" t="s">
        <v>1258</v>
      </c>
      <c r="B1093" s="378" t="s">
        <v>1585</v>
      </c>
      <c r="C1093" s="371">
        <v>45509</v>
      </c>
      <c r="D1093" s="337"/>
      <c r="E1093" s="347" t="s">
        <v>263</v>
      </c>
      <c r="F1093" s="409"/>
      <c r="G1093" s="322"/>
      <c r="H1093" s="324">
        <v>3100</v>
      </c>
      <c r="I1093" s="325">
        <f>25.12*1.9563</f>
        <v>49.142256000000003</v>
      </c>
      <c r="J1093" s="325">
        <f t="shared" si="171"/>
        <v>152340.99360000002</v>
      </c>
      <c r="K1093" s="318"/>
      <c r="L1093" s="322"/>
      <c r="M1093" s="371"/>
      <c r="N1093" s="322">
        <f>+Table7[[#This Row],[стойност с ДДС]]-Table7[[#This Row],[направено плащане]]</f>
        <v>0</v>
      </c>
      <c r="O1093" s="327"/>
    </row>
    <row r="1094" spans="1:15" ht="20.100000000000001" customHeight="1" x14ac:dyDescent="0.25">
      <c r="A1094" s="151" t="s">
        <v>1258</v>
      </c>
      <c r="B1094" s="378" t="s">
        <v>1585</v>
      </c>
      <c r="C1094" s="371">
        <v>45509</v>
      </c>
      <c r="D1094" s="337"/>
      <c r="E1094" s="347" t="s">
        <v>263</v>
      </c>
      <c r="F1094" s="409"/>
      <c r="G1094" s="322"/>
      <c r="H1094" s="324">
        <v>6200</v>
      </c>
      <c r="I1094" s="325">
        <f>23.7*1.9563</f>
        <v>46.364309999999996</v>
      </c>
      <c r="J1094" s="325">
        <f t="shared" si="171"/>
        <v>287458.72199999995</v>
      </c>
      <c r="K1094" s="318"/>
      <c r="L1094" s="322"/>
      <c r="M1094" s="371"/>
      <c r="N1094" s="322">
        <f>+Table7[[#This Row],[стойност с ДДС]]-Table7[[#This Row],[направено плащане]]</f>
        <v>0</v>
      </c>
      <c r="O1094" s="327"/>
    </row>
    <row r="1095" spans="1:15" ht="20.100000000000001" customHeight="1" x14ac:dyDescent="0.25">
      <c r="A1095" s="151" t="s">
        <v>1258</v>
      </c>
      <c r="B1095" s="378" t="s">
        <v>1585</v>
      </c>
      <c r="C1095" s="371">
        <v>45509</v>
      </c>
      <c r="D1095" s="337"/>
      <c r="E1095" s="347" t="s">
        <v>263</v>
      </c>
      <c r="F1095" s="409"/>
      <c r="G1095" s="322"/>
      <c r="H1095" s="324">
        <v>12400</v>
      </c>
      <c r="I1095" s="325">
        <f>24.13*1.9563</f>
        <v>47.205518999999995</v>
      </c>
      <c r="J1095" s="325">
        <f t="shared" si="171"/>
        <v>585348.43559999997</v>
      </c>
      <c r="K1095" s="318"/>
      <c r="L1095" s="322"/>
      <c r="M1095" s="371"/>
      <c r="N1095" s="322">
        <f>+Table7[[#This Row],[стойност с ДДС]]-Table7[[#This Row],[направено плащане]]</f>
        <v>0</v>
      </c>
      <c r="O1095" s="327"/>
    </row>
    <row r="1096" spans="1:15" ht="20.100000000000001" customHeight="1" x14ac:dyDescent="0.25">
      <c r="A1096" s="206" t="s">
        <v>1586</v>
      </c>
      <c r="B1096" s="381" t="s">
        <v>1587</v>
      </c>
      <c r="C1096" s="373">
        <v>45506</v>
      </c>
      <c r="D1096" s="343"/>
      <c r="E1096" s="352" t="s">
        <v>622</v>
      </c>
      <c r="F1096" s="412"/>
      <c r="G1096" s="342"/>
      <c r="H1096" s="344">
        <v>1</v>
      </c>
      <c r="I1096" s="345">
        <f>100*1.9563</f>
        <v>195.63</v>
      </c>
      <c r="J1096" s="345">
        <f>I1096*H1096</f>
        <v>195.63</v>
      </c>
      <c r="K1096" s="320">
        <f>J1096*1.2</f>
        <v>234.75599999999997</v>
      </c>
      <c r="L1096" s="342"/>
      <c r="M1096" s="373"/>
      <c r="N1096" s="342">
        <f>+Table7[[#This Row],[стойност с ДДС]]-Table7[[#This Row],[направено плащане]]</f>
        <v>234.75599999999997</v>
      </c>
      <c r="O1096" s="346"/>
    </row>
    <row r="1097" spans="1:15" ht="20.100000000000001" customHeight="1" x14ac:dyDescent="0.25">
      <c r="A1097" s="206" t="s">
        <v>99</v>
      </c>
      <c r="B1097" s="381" t="s">
        <v>1588</v>
      </c>
      <c r="C1097" s="373">
        <v>45509</v>
      </c>
      <c r="D1097" s="343"/>
      <c r="E1097" s="347" t="s">
        <v>328</v>
      </c>
      <c r="F1097" s="412"/>
      <c r="G1097" s="342"/>
      <c r="H1097" s="344">
        <v>1</v>
      </c>
      <c r="I1097" s="345">
        <v>71237.08</v>
      </c>
      <c r="J1097" s="345">
        <f>I1097*H1097</f>
        <v>71237.08</v>
      </c>
      <c r="K1097" s="320">
        <f>J1097*1.2</f>
        <v>85484.495999999999</v>
      </c>
      <c r="L1097" s="342">
        <v>85484.495999999999</v>
      </c>
      <c r="M1097" s="373">
        <v>45526</v>
      </c>
      <c r="N1097" s="342">
        <f>+Table7[[#This Row],[стойност с ДДС]]-Table7[[#This Row],[направено плащане]]</f>
        <v>0</v>
      </c>
      <c r="O1097" s="346"/>
    </row>
    <row r="1098" spans="1:15" ht="20.100000000000001" customHeight="1" x14ac:dyDescent="0.25">
      <c r="A1098" s="206" t="s">
        <v>99</v>
      </c>
      <c r="B1098" s="378" t="s">
        <v>1589</v>
      </c>
      <c r="C1098" s="371">
        <v>45509</v>
      </c>
      <c r="D1098" s="337"/>
      <c r="E1098" s="328" t="s">
        <v>121</v>
      </c>
      <c r="F1098" s="409"/>
      <c r="G1098" s="322"/>
      <c r="H1098" s="324">
        <v>26407.48</v>
      </c>
      <c r="I1098" s="325"/>
      <c r="J1098" s="325">
        <v>27463.81</v>
      </c>
      <c r="K1098" s="318">
        <f>J1098*1.2</f>
        <v>32956.572</v>
      </c>
      <c r="L1098" s="322">
        <v>32956.572</v>
      </c>
      <c r="M1098" s="371">
        <v>45512</v>
      </c>
      <c r="N1098" s="322">
        <f>+Table7[[#This Row],[стойност с ДДС]]-Table7[[#This Row],[направено плащане]]</f>
        <v>0</v>
      </c>
      <c r="O1098" s="327"/>
    </row>
    <row r="1099" spans="1:15" ht="20.100000000000001" customHeight="1" x14ac:dyDescent="0.25">
      <c r="A1099" s="151" t="s">
        <v>99</v>
      </c>
      <c r="B1099" s="378" t="s">
        <v>1589</v>
      </c>
      <c r="C1099" s="371">
        <v>45509</v>
      </c>
      <c r="D1099" s="337"/>
      <c r="E1099" s="328" t="s">
        <v>120</v>
      </c>
      <c r="F1099" s="409"/>
      <c r="G1099" s="322"/>
      <c r="H1099" s="324">
        <v>4129.9669999999996</v>
      </c>
      <c r="I1099" s="325"/>
      <c r="J1099" s="325">
        <v>5390.99</v>
      </c>
      <c r="K1099" s="318">
        <f t="shared" ref="K1099:K1104" si="172">J1099*1.2</f>
        <v>6469.1879999999992</v>
      </c>
      <c r="L1099" s="322">
        <v>6469.1879999999992</v>
      </c>
      <c r="M1099" s="371">
        <v>45512</v>
      </c>
      <c r="N1099" s="322">
        <f>+Table7[[#This Row],[стойност с ДДС]]-Table7[[#This Row],[направено плащане]]</f>
        <v>0</v>
      </c>
      <c r="O1099" s="327"/>
    </row>
    <row r="1100" spans="1:15" ht="20.100000000000001" customHeight="1" x14ac:dyDescent="0.25">
      <c r="A1100" s="151" t="s">
        <v>99</v>
      </c>
      <c r="B1100" s="378" t="s">
        <v>1589</v>
      </c>
      <c r="C1100" s="371">
        <v>45509</v>
      </c>
      <c r="D1100" s="337"/>
      <c r="E1100" s="328" t="s">
        <v>462</v>
      </c>
      <c r="F1100" s="409"/>
      <c r="G1100" s="322"/>
      <c r="H1100" s="324">
        <v>167280.28</v>
      </c>
      <c r="I1100" s="325"/>
      <c r="J1100" s="325">
        <v>34409.56</v>
      </c>
      <c r="K1100" s="318">
        <f t="shared" si="172"/>
        <v>41291.471999999994</v>
      </c>
      <c r="L1100" s="322">
        <v>41291.471999999994</v>
      </c>
      <c r="M1100" s="371">
        <v>45512</v>
      </c>
      <c r="N1100" s="322">
        <f>+Table7[[#This Row],[стойност с ДДС]]-Table7[[#This Row],[направено плащане]]</f>
        <v>0</v>
      </c>
      <c r="O1100" s="327"/>
    </row>
    <row r="1101" spans="1:15" ht="20.100000000000001" customHeight="1" x14ac:dyDescent="0.25">
      <c r="A1101" s="151" t="s">
        <v>99</v>
      </c>
      <c r="B1101" s="378" t="s">
        <v>1589</v>
      </c>
      <c r="C1101" s="371">
        <v>45509</v>
      </c>
      <c r="D1101" s="337"/>
      <c r="E1101" s="328" t="s">
        <v>462</v>
      </c>
      <c r="F1101" s="409"/>
      <c r="G1101" s="322"/>
      <c r="H1101" s="324">
        <v>167280.28</v>
      </c>
      <c r="I1101" s="325"/>
      <c r="J1101" s="325">
        <v>48645.11</v>
      </c>
      <c r="K1101" s="318">
        <f t="shared" si="172"/>
        <v>58374.131999999998</v>
      </c>
      <c r="L1101" s="322">
        <v>58374.131999999998</v>
      </c>
      <c r="M1101" s="371">
        <v>45512</v>
      </c>
      <c r="N1101" s="322">
        <f>+Table7[[#This Row],[стойност с ДДС]]-Table7[[#This Row],[направено плащане]]</f>
        <v>0</v>
      </c>
      <c r="O1101" s="327"/>
    </row>
    <row r="1102" spans="1:15" ht="20.100000000000001" customHeight="1" x14ac:dyDescent="0.25">
      <c r="A1102" s="151" t="s">
        <v>99</v>
      </c>
      <c r="B1102" s="378" t="s">
        <v>1589</v>
      </c>
      <c r="C1102" s="371">
        <v>45509</v>
      </c>
      <c r="D1102" s="337"/>
      <c r="E1102" s="328" t="s">
        <v>464</v>
      </c>
      <c r="F1102" s="409"/>
      <c r="G1102" s="322"/>
      <c r="H1102" s="324">
        <v>44108.546999999999</v>
      </c>
      <c r="I1102" s="325"/>
      <c r="J1102" s="325">
        <v>1164.45</v>
      </c>
      <c r="K1102" s="318">
        <f t="shared" si="172"/>
        <v>1397.34</v>
      </c>
      <c r="L1102" s="322">
        <v>1397.34</v>
      </c>
      <c r="M1102" s="371">
        <v>45512</v>
      </c>
      <c r="N1102" s="322">
        <f>+Table7[[#This Row],[стойност с ДДС]]-Table7[[#This Row],[направено плащане]]</f>
        <v>0</v>
      </c>
      <c r="O1102" s="327"/>
    </row>
    <row r="1103" spans="1:15" ht="20.100000000000001" customHeight="1" x14ac:dyDescent="0.25">
      <c r="A1103" s="151" t="s">
        <v>99</v>
      </c>
      <c r="B1103" s="378" t="s">
        <v>1589</v>
      </c>
      <c r="C1103" s="371">
        <v>45509</v>
      </c>
      <c r="D1103" s="337"/>
      <c r="E1103" s="328" t="s">
        <v>465</v>
      </c>
      <c r="F1103" s="409"/>
      <c r="G1103" s="322"/>
      <c r="H1103" s="324">
        <v>167280.28</v>
      </c>
      <c r="I1103" s="325"/>
      <c r="J1103" s="325">
        <v>-5821.34</v>
      </c>
      <c r="K1103" s="318">
        <f t="shared" si="172"/>
        <v>-6985.6080000000002</v>
      </c>
      <c r="L1103" s="322">
        <v>-6985.6080000000002</v>
      </c>
      <c r="M1103" s="371">
        <v>45512</v>
      </c>
      <c r="N1103" s="322">
        <f>+Table7[[#This Row],[стойност с ДДС]]-Table7[[#This Row],[направено плащане]]</f>
        <v>0</v>
      </c>
      <c r="O1103" s="327"/>
    </row>
    <row r="1104" spans="1:15" ht="20.100000000000001" customHeight="1" x14ac:dyDescent="0.25">
      <c r="A1104" s="206" t="s">
        <v>99</v>
      </c>
      <c r="B1104" s="381" t="s">
        <v>1589</v>
      </c>
      <c r="C1104" s="373">
        <v>45509</v>
      </c>
      <c r="D1104" s="343"/>
      <c r="E1104" s="347" t="s">
        <v>466</v>
      </c>
      <c r="F1104" s="412"/>
      <c r="G1104" s="342"/>
      <c r="H1104" s="344">
        <v>385.5</v>
      </c>
      <c r="I1104" s="345"/>
      <c r="J1104" s="345">
        <v>1272.81</v>
      </c>
      <c r="K1104" s="320">
        <f t="shared" si="172"/>
        <v>1527.3719999999998</v>
      </c>
      <c r="L1104" s="342">
        <v>1527.3719999999998</v>
      </c>
      <c r="M1104" s="373">
        <v>45512</v>
      </c>
      <c r="N1104" s="342">
        <f>+Table7[[#This Row],[стойност с ДДС]]-Table7[[#This Row],[направено плащане]]</f>
        <v>0</v>
      </c>
      <c r="O1104" s="346"/>
    </row>
    <row r="1105" spans="1:15" ht="20.100000000000001" customHeight="1" x14ac:dyDescent="0.25">
      <c r="A1105" s="151" t="s">
        <v>99</v>
      </c>
      <c r="B1105" s="378" t="s">
        <v>1590</v>
      </c>
      <c r="C1105" s="371">
        <v>45509</v>
      </c>
      <c r="D1105" s="337"/>
      <c r="E1105" s="328" t="s">
        <v>458</v>
      </c>
      <c r="F1105" s="409"/>
      <c r="G1105" s="322"/>
      <c r="H1105" s="324">
        <v>7137</v>
      </c>
      <c r="I1105" s="325"/>
      <c r="J1105" s="325">
        <v>174776.89</v>
      </c>
      <c r="K1105" s="318">
        <f t="shared" ref="K1105:K1106" si="173">J1105*1.2</f>
        <v>209732.26800000001</v>
      </c>
      <c r="L1105" s="322">
        <v>209732.26800000001</v>
      </c>
      <c r="M1105" s="371">
        <v>45512</v>
      </c>
      <c r="N1105" s="322">
        <f>+Table7[[#This Row],[стойност с ДДС]]-Table7[[#This Row],[направено плащане]]</f>
        <v>0</v>
      </c>
      <c r="O1105" s="327"/>
    </row>
    <row r="1106" spans="1:15" ht="20.100000000000001" customHeight="1" x14ac:dyDescent="0.25">
      <c r="A1106" s="206" t="s">
        <v>99</v>
      </c>
      <c r="B1106" s="381" t="s">
        <v>1590</v>
      </c>
      <c r="C1106" s="373">
        <v>45509</v>
      </c>
      <c r="D1106" s="343"/>
      <c r="E1106" s="347" t="s">
        <v>460</v>
      </c>
      <c r="F1106" s="412"/>
      <c r="G1106" s="342"/>
      <c r="H1106" s="344">
        <v>578.58000000000004</v>
      </c>
      <c r="I1106" s="345"/>
      <c r="J1106" s="345">
        <v>11399.65</v>
      </c>
      <c r="K1106" s="320">
        <f t="shared" si="173"/>
        <v>13679.58</v>
      </c>
      <c r="L1106" s="342">
        <v>13679.58</v>
      </c>
      <c r="M1106" s="371">
        <v>45512</v>
      </c>
      <c r="N1106" s="342">
        <f>+Table7[[#This Row],[стойност с ДДС]]-Table7[[#This Row],[направено плащане]]</f>
        <v>0</v>
      </c>
      <c r="O1106" s="346"/>
    </row>
    <row r="1107" spans="1:15" ht="20.100000000000001" customHeight="1" x14ac:dyDescent="0.25">
      <c r="A1107" s="206" t="s">
        <v>226</v>
      </c>
      <c r="B1107" s="381" t="s">
        <v>1591</v>
      </c>
      <c r="C1107" s="373">
        <v>45511</v>
      </c>
      <c r="D1107" s="343"/>
      <c r="E1107" s="347" t="s">
        <v>131</v>
      </c>
      <c r="F1107" s="412"/>
      <c r="G1107" s="342"/>
      <c r="H1107" s="344">
        <v>300</v>
      </c>
      <c r="I1107" s="345">
        <v>60</v>
      </c>
      <c r="J1107" s="345">
        <f t="shared" ref="J1107:J1114" si="174">I1107*H1107</f>
        <v>18000</v>
      </c>
      <c r="K1107" s="320">
        <f>J1107*1.2</f>
        <v>21600</v>
      </c>
      <c r="L1107" s="342">
        <v>21600</v>
      </c>
      <c r="M1107" s="373">
        <v>45516</v>
      </c>
      <c r="N1107" s="342">
        <f>+Table7[[#This Row],[стойност с ДДС]]-Table7[[#This Row],[направено плащане]]</f>
        <v>0</v>
      </c>
      <c r="O1107" s="346"/>
    </row>
    <row r="1108" spans="1:15" ht="20.100000000000001" customHeight="1" x14ac:dyDescent="0.25">
      <c r="A1108" s="206" t="s">
        <v>159</v>
      </c>
      <c r="B1108" s="381" t="s">
        <v>1592</v>
      </c>
      <c r="C1108" s="373">
        <v>45510</v>
      </c>
      <c r="D1108" s="343"/>
      <c r="E1108" s="347" t="s">
        <v>131</v>
      </c>
      <c r="F1108" s="412"/>
      <c r="G1108" s="342"/>
      <c r="H1108" s="344">
        <v>7000</v>
      </c>
      <c r="I1108" s="345">
        <f>28.63235*1.9563</f>
        <v>56.013466304999994</v>
      </c>
      <c r="J1108" s="345">
        <f t="shared" si="174"/>
        <v>392094.26413499995</v>
      </c>
      <c r="K1108" s="320">
        <f>J1108*1.2</f>
        <v>470513.11696199991</v>
      </c>
      <c r="L1108" s="342"/>
      <c r="M1108" s="373"/>
      <c r="N1108" s="342">
        <f>+Table7[[#This Row],[стойност с ДДС]]-Table7[[#This Row],[направено плащане]]</f>
        <v>470513.11696199991</v>
      </c>
      <c r="O1108" s="346"/>
    </row>
    <row r="1109" spans="1:15" ht="20.100000000000001" customHeight="1" x14ac:dyDescent="0.25">
      <c r="A1109" s="206" t="s">
        <v>114</v>
      </c>
      <c r="B1109" s="381" t="s">
        <v>1593</v>
      </c>
      <c r="C1109" s="373">
        <v>45511</v>
      </c>
      <c r="D1109" s="343"/>
      <c r="E1109" s="347" t="s">
        <v>131</v>
      </c>
      <c r="F1109" s="412"/>
      <c r="G1109" s="342"/>
      <c r="H1109" s="344">
        <v>70</v>
      </c>
      <c r="I1109" s="345">
        <v>58.6</v>
      </c>
      <c r="J1109" s="345">
        <f t="shared" si="174"/>
        <v>4102</v>
      </c>
      <c r="K1109" s="320">
        <v>4102</v>
      </c>
      <c r="L1109" s="342">
        <v>4106.8999999999996</v>
      </c>
      <c r="M1109" s="373">
        <v>45516</v>
      </c>
      <c r="N1109" s="342">
        <f>+Table7[[#This Row],[стойност с ДДС]]-Table7[[#This Row],[направено плащане]]</f>
        <v>-4.8999999999996362</v>
      </c>
      <c r="O1109" s="346"/>
    </row>
    <row r="1110" spans="1:15" ht="20.100000000000001" customHeight="1" x14ac:dyDescent="0.25">
      <c r="A1110" s="206" t="s">
        <v>157</v>
      </c>
      <c r="B1110" s="381" t="s">
        <v>1594</v>
      </c>
      <c r="C1110" s="373">
        <v>45509</v>
      </c>
      <c r="D1110" s="343"/>
      <c r="E1110" s="347" t="s">
        <v>131</v>
      </c>
      <c r="F1110" s="412"/>
      <c r="G1110" s="342"/>
      <c r="H1110" s="344">
        <v>450</v>
      </c>
      <c r="I1110" s="345">
        <v>58.89</v>
      </c>
      <c r="J1110" s="345">
        <f t="shared" si="174"/>
        <v>26500.5</v>
      </c>
      <c r="K1110" s="320">
        <f>J1110*1.2</f>
        <v>31800.6</v>
      </c>
      <c r="L1110" s="342">
        <v>31800.6</v>
      </c>
      <c r="M1110" s="373">
        <v>45512</v>
      </c>
      <c r="N1110" s="342">
        <f>+Table7[[#This Row],[стойност с ДДС]]-Table7[[#This Row],[направено плащане]]</f>
        <v>0</v>
      </c>
      <c r="O1110" s="346"/>
    </row>
    <row r="1111" spans="1:15" ht="20.100000000000001" customHeight="1" x14ac:dyDescent="0.25">
      <c r="A1111" s="206" t="s">
        <v>579</v>
      </c>
      <c r="B1111" s="381" t="s">
        <v>1595</v>
      </c>
      <c r="C1111" s="373">
        <v>45489</v>
      </c>
      <c r="D1111" s="343"/>
      <c r="E1111" s="352" t="s">
        <v>864</v>
      </c>
      <c r="F1111" s="412"/>
      <c r="G1111" s="342"/>
      <c r="H1111" s="344">
        <v>50000</v>
      </c>
      <c r="I1111" s="345">
        <v>2.5527000000000001E-2</v>
      </c>
      <c r="J1111" s="345">
        <f t="shared" si="174"/>
        <v>1276.3500000000001</v>
      </c>
      <c r="K1111" s="320">
        <v>501.61</v>
      </c>
      <c r="L1111" s="342">
        <v>501.61</v>
      </c>
      <c r="M1111" s="373">
        <v>45513</v>
      </c>
      <c r="N1111" s="342">
        <f>+Table7[[#This Row],[стойност с ДДС]]-Table7[[#This Row],[направено плащане]]</f>
        <v>0</v>
      </c>
      <c r="O1111" s="346"/>
    </row>
    <row r="1112" spans="1:15" ht="20.100000000000001" customHeight="1" x14ac:dyDescent="0.25">
      <c r="A1112" s="206" t="s">
        <v>153</v>
      </c>
      <c r="B1112" s="381" t="s">
        <v>1596</v>
      </c>
      <c r="C1112" s="373">
        <v>45510</v>
      </c>
      <c r="D1112" s="343"/>
      <c r="E1112" s="347" t="s">
        <v>131</v>
      </c>
      <c r="F1112" s="412"/>
      <c r="G1112" s="342"/>
      <c r="H1112" s="344">
        <v>170</v>
      </c>
      <c r="I1112" s="345">
        <v>59</v>
      </c>
      <c r="J1112" s="345">
        <f t="shared" si="174"/>
        <v>10030</v>
      </c>
      <c r="K1112" s="320">
        <f>J1112*1.2</f>
        <v>12036</v>
      </c>
      <c r="L1112" s="342">
        <v>12036</v>
      </c>
      <c r="M1112" s="373">
        <v>45516</v>
      </c>
      <c r="N1112" s="342">
        <f>+Table7[[#This Row],[стойност с ДДС]]-Table7[[#This Row],[направено плащане]]</f>
        <v>0</v>
      </c>
      <c r="O1112" s="346"/>
    </row>
    <row r="1113" spans="1:15" ht="20.100000000000001" customHeight="1" x14ac:dyDescent="0.25">
      <c r="A1113" s="206" t="s">
        <v>1394</v>
      </c>
      <c r="B1113" s="381" t="s">
        <v>1597</v>
      </c>
      <c r="C1113" s="373">
        <v>45511</v>
      </c>
      <c r="D1113" s="343"/>
      <c r="E1113" s="347" t="s">
        <v>131</v>
      </c>
      <c r="F1113" s="412"/>
      <c r="G1113" s="342"/>
      <c r="H1113" s="344">
        <v>320</v>
      </c>
      <c r="I1113" s="345">
        <f>30.67751*1.9563</f>
        <v>60.014412813</v>
      </c>
      <c r="J1113" s="345">
        <f t="shared" si="174"/>
        <v>19204.61210016</v>
      </c>
      <c r="K1113" s="320">
        <v>19204.61210016</v>
      </c>
      <c r="L1113" s="342">
        <v>19204.61210016</v>
      </c>
      <c r="M1113" s="373">
        <v>45517</v>
      </c>
      <c r="N1113" s="342">
        <f>+Table7[[#This Row],[стойност с ДДС]]-Table7[[#This Row],[направено плащане]]</f>
        <v>0</v>
      </c>
      <c r="O1113" s="346"/>
    </row>
    <row r="1114" spans="1:15" ht="20.100000000000001" customHeight="1" x14ac:dyDescent="0.25">
      <c r="A1114" s="206" t="s">
        <v>157</v>
      </c>
      <c r="B1114" s="381" t="s">
        <v>1615</v>
      </c>
      <c r="C1114" s="373">
        <v>45510</v>
      </c>
      <c r="D1114" s="343"/>
      <c r="E1114" s="347" t="s">
        <v>131</v>
      </c>
      <c r="F1114" s="412"/>
      <c r="G1114" s="342"/>
      <c r="H1114" s="344">
        <v>5</v>
      </c>
      <c r="I1114" s="345">
        <v>58.5</v>
      </c>
      <c r="J1114" s="345">
        <f t="shared" si="174"/>
        <v>292.5</v>
      </c>
      <c r="K1114" s="320">
        <f>J1114*1.2</f>
        <v>351</v>
      </c>
      <c r="L1114" s="342">
        <v>351</v>
      </c>
      <c r="M1114" s="373">
        <v>45513</v>
      </c>
      <c r="N1114" s="342">
        <f>+Table7[[#This Row],[стойност с ДДС]]-Table7[[#This Row],[направено плащане]]</f>
        <v>0</v>
      </c>
      <c r="O1114" s="346"/>
    </row>
    <row r="1115" spans="1:15" ht="20.100000000000001" customHeight="1" x14ac:dyDescent="0.25">
      <c r="A1115" s="206" t="s">
        <v>157</v>
      </c>
      <c r="B1115" s="378" t="s">
        <v>1600</v>
      </c>
      <c r="C1115" s="371">
        <v>45511</v>
      </c>
      <c r="D1115" s="337"/>
      <c r="E1115" s="347" t="s">
        <v>131</v>
      </c>
      <c r="F1115" s="409"/>
      <c r="G1115" s="322"/>
      <c r="H1115" s="324">
        <v>50</v>
      </c>
      <c r="I1115" s="325">
        <v>57.49</v>
      </c>
      <c r="J1115" s="325">
        <f>I1115*H1115</f>
        <v>2874.5</v>
      </c>
      <c r="K1115" s="318">
        <f>J1115*1.2</f>
        <v>3449.4</v>
      </c>
      <c r="L1115" s="322">
        <v>3449.4</v>
      </c>
      <c r="M1115" s="371">
        <v>45516</v>
      </c>
      <c r="N1115" s="322">
        <f>+Table7[[#This Row],[стойност с ДДС]]-Table7[[#This Row],[направено плащане]]</f>
        <v>0</v>
      </c>
      <c r="O1115" s="327"/>
    </row>
    <row r="1116" spans="1:15" ht="20.100000000000001" customHeight="1" x14ac:dyDescent="0.25">
      <c r="A1116" s="151"/>
      <c r="B1116" s="378"/>
      <c r="C1116" s="371"/>
      <c r="D1116" s="337"/>
      <c r="E1116" s="355" t="s">
        <v>623</v>
      </c>
      <c r="F1116" s="409"/>
      <c r="G1116" s="322"/>
      <c r="H1116" s="324"/>
      <c r="I1116" s="325"/>
      <c r="J1116" s="325">
        <v>1119.6400000000001</v>
      </c>
      <c r="K1116" s="318">
        <f t="shared" ref="K1116:K1117" si="175">J1116*1.2</f>
        <v>1343.568</v>
      </c>
      <c r="L1116" s="322">
        <v>2190.35</v>
      </c>
      <c r="M1116" s="371">
        <v>45516</v>
      </c>
      <c r="N1116" s="322">
        <f>+Table7[[#This Row],[стойност с ДДС]]-Table7[[#This Row],[направено плащане]]</f>
        <v>-846.78199999999993</v>
      </c>
      <c r="O1116" s="327"/>
    </row>
    <row r="1117" spans="1:15" ht="20.100000000000001" customHeight="1" x14ac:dyDescent="0.25">
      <c r="A1117" s="206"/>
      <c r="B1117" s="381"/>
      <c r="C1117" s="373"/>
      <c r="D1117" s="343"/>
      <c r="E1117" s="352" t="s">
        <v>623</v>
      </c>
      <c r="F1117" s="412"/>
      <c r="G1117" s="342"/>
      <c r="H1117" s="344"/>
      <c r="I1117" s="345"/>
      <c r="J1117" s="345">
        <v>3000</v>
      </c>
      <c r="K1117" s="320">
        <f t="shared" si="175"/>
        <v>3600</v>
      </c>
      <c r="L1117" s="342">
        <v>5868.9</v>
      </c>
      <c r="M1117" s="373">
        <v>45516</v>
      </c>
      <c r="N1117" s="342">
        <f>+Table7[[#This Row],[стойност с ДДС]]-Table7[[#This Row],[направено плащане]]</f>
        <v>-2268.8999999999996</v>
      </c>
      <c r="O1117" s="346"/>
    </row>
    <row r="1118" spans="1:15" ht="20.100000000000001" customHeight="1" x14ac:dyDescent="0.25">
      <c r="A1118" s="206" t="s">
        <v>1608</v>
      </c>
      <c r="B1118" s="381" t="s">
        <v>1609</v>
      </c>
      <c r="C1118" s="373">
        <v>45516</v>
      </c>
      <c r="D1118" s="343"/>
      <c r="E1118" s="347" t="s">
        <v>131</v>
      </c>
      <c r="F1118" s="412"/>
      <c r="G1118" s="342"/>
      <c r="H1118" s="344">
        <v>40</v>
      </c>
      <c r="I1118" s="345">
        <v>52.9</v>
      </c>
      <c r="J1118" s="345">
        <f>I1118*H1118</f>
        <v>2116</v>
      </c>
      <c r="K1118" s="320">
        <v>2120.41</v>
      </c>
      <c r="L1118" s="342">
        <v>2120.41</v>
      </c>
      <c r="M1118" s="373">
        <v>45517</v>
      </c>
      <c r="N1118" s="342">
        <f>+Table7[[#This Row],[стойност с ДДС]]-Table7[[#This Row],[направено плащане]]</f>
        <v>0</v>
      </c>
      <c r="O1118" s="346"/>
    </row>
    <row r="1119" spans="1:15" ht="20.100000000000001" customHeight="1" x14ac:dyDescent="0.25">
      <c r="A1119" s="206" t="s">
        <v>1258</v>
      </c>
      <c r="B1119" s="381" t="s">
        <v>1610</v>
      </c>
      <c r="C1119" s="373"/>
      <c r="D1119" s="343"/>
      <c r="E1119" s="347" t="s">
        <v>263</v>
      </c>
      <c r="F1119" s="412"/>
      <c r="G1119" s="342"/>
      <c r="H1119" s="344">
        <v>9000</v>
      </c>
      <c r="I1119" s="345">
        <f>29.1*1.9563</f>
        <v>56.928330000000003</v>
      </c>
      <c r="J1119" s="345">
        <f>I1119*H1119</f>
        <v>512354.97000000003</v>
      </c>
      <c r="K1119" s="320">
        <v>512354.97</v>
      </c>
      <c r="L1119" s="342">
        <v>512354.97</v>
      </c>
      <c r="M1119" s="373">
        <v>45526</v>
      </c>
      <c r="N1119" s="342">
        <f>+Table7[[#This Row],[стойност с ДДС]]-Table7[[#This Row],[направено плащане]]</f>
        <v>0</v>
      </c>
      <c r="O1119" s="346"/>
    </row>
    <row r="1120" spans="1:15" ht="20.100000000000001" customHeight="1" x14ac:dyDescent="0.25">
      <c r="A1120" s="206" t="s">
        <v>1258</v>
      </c>
      <c r="B1120" s="381" t="s">
        <v>1611</v>
      </c>
      <c r="C1120" s="371"/>
      <c r="D1120" s="337"/>
      <c r="E1120" s="347" t="s">
        <v>263</v>
      </c>
      <c r="F1120" s="409"/>
      <c r="G1120" s="322"/>
      <c r="H1120" s="324">
        <v>9000</v>
      </c>
      <c r="I1120" s="325">
        <f>30.3*1.9563</f>
        <v>59.275889999999997</v>
      </c>
      <c r="J1120" s="325">
        <f t="shared" ref="J1120:J1123" si="176">I1120*H1120</f>
        <v>533483.01</v>
      </c>
      <c r="K1120" s="318">
        <v>533483.01</v>
      </c>
      <c r="L1120" s="322">
        <v>533483.01</v>
      </c>
      <c r="M1120" s="371">
        <v>45526</v>
      </c>
      <c r="N1120" s="322">
        <f>+Table7[[#This Row],[стойност с ДДС]]-Table7[[#This Row],[направено плащане]]</f>
        <v>0</v>
      </c>
      <c r="O1120" s="327"/>
    </row>
    <row r="1121" spans="1:15" ht="20.100000000000001" customHeight="1" x14ac:dyDescent="0.25">
      <c r="A1121" s="206" t="s">
        <v>1258</v>
      </c>
      <c r="B1121" s="381" t="s">
        <v>1612</v>
      </c>
      <c r="C1121" s="371"/>
      <c r="D1121" s="337"/>
      <c r="E1121" s="347" t="s">
        <v>263</v>
      </c>
      <c r="F1121" s="409"/>
      <c r="G1121" s="322"/>
      <c r="H1121" s="324">
        <v>3000</v>
      </c>
      <c r="I1121" s="325">
        <f>25.12*1.9563</f>
        <v>49.142256000000003</v>
      </c>
      <c r="J1121" s="325">
        <f t="shared" si="176"/>
        <v>147426.76800000001</v>
      </c>
      <c r="K1121" s="318">
        <v>147426.76999999999</v>
      </c>
      <c r="L1121" s="322">
        <v>147426.76999999999</v>
      </c>
      <c r="M1121" s="371">
        <v>45526</v>
      </c>
      <c r="N1121" s="322">
        <f>+Table7[[#This Row],[стойност с ДДС]]-Table7[[#This Row],[направено плащане]]</f>
        <v>0</v>
      </c>
      <c r="O1121" s="327"/>
    </row>
    <row r="1122" spans="1:15" ht="20.100000000000001" customHeight="1" x14ac:dyDescent="0.25">
      <c r="A1122" s="206" t="s">
        <v>1258</v>
      </c>
      <c r="B1122" s="381" t="s">
        <v>1613</v>
      </c>
      <c r="C1122" s="371"/>
      <c r="D1122" s="337"/>
      <c r="E1122" s="347" t="s">
        <v>263</v>
      </c>
      <c r="F1122" s="409"/>
      <c r="G1122" s="322"/>
      <c r="H1122" s="324">
        <v>6000</v>
      </c>
      <c r="I1122" s="325">
        <f>23.7*1.9563</f>
        <v>46.364309999999996</v>
      </c>
      <c r="J1122" s="325">
        <f t="shared" si="176"/>
        <v>278185.86</v>
      </c>
      <c r="K1122" s="318">
        <v>278185.86</v>
      </c>
      <c r="L1122" s="322">
        <v>278185.86</v>
      </c>
      <c r="M1122" s="371">
        <v>45526</v>
      </c>
      <c r="N1122" s="322">
        <f>+Table7[[#This Row],[стойност с ДДС]]-Table7[[#This Row],[направено плащане]]</f>
        <v>0</v>
      </c>
      <c r="O1122" s="327"/>
    </row>
    <row r="1123" spans="1:15" ht="20.100000000000001" customHeight="1" x14ac:dyDescent="0.25">
      <c r="A1123" s="206" t="s">
        <v>1258</v>
      </c>
      <c r="B1123" s="381" t="s">
        <v>1614</v>
      </c>
      <c r="C1123" s="371"/>
      <c r="D1123" s="337"/>
      <c r="E1123" s="347" t="s">
        <v>263</v>
      </c>
      <c r="F1123" s="409"/>
      <c r="G1123" s="322"/>
      <c r="H1123" s="324">
        <v>12000</v>
      </c>
      <c r="I1123" s="325">
        <f>24.13*1.9563</f>
        <v>47.205518999999995</v>
      </c>
      <c r="J1123" s="325">
        <f t="shared" si="176"/>
        <v>566466.22799999989</v>
      </c>
      <c r="K1123" s="318">
        <v>566466.23</v>
      </c>
      <c r="L1123" s="322">
        <v>566466.23</v>
      </c>
      <c r="M1123" s="371">
        <v>45526</v>
      </c>
      <c r="N1123" s="322">
        <f>+Table7[[#This Row],[стойност с ДДС]]-Table7[[#This Row],[направено плащане]]</f>
        <v>0</v>
      </c>
      <c r="O1123" s="327"/>
    </row>
    <row r="1124" spans="1:15" ht="20.100000000000001" customHeight="1" x14ac:dyDescent="0.25">
      <c r="A1124" s="151" t="s">
        <v>159</v>
      </c>
      <c r="B1124" s="378" t="s">
        <v>1621</v>
      </c>
      <c r="C1124" s="371"/>
      <c r="D1124" s="337"/>
      <c r="E1124" s="347" t="s">
        <v>263</v>
      </c>
      <c r="F1124" s="409"/>
      <c r="G1124" s="322"/>
      <c r="H1124" s="324">
        <v>11200</v>
      </c>
      <c r="I1124" s="325">
        <f>28.1*1.9563</f>
        <v>54.972030000000004</v>
      </c>
      <c r="J1124" s="325">
        <f t="shared" ref="J1124:J1125" si="177">I1124*H1124</f>
        <v>615686.73600000003</v>
      </c>
      <c r="K1124" s="318">
        <v>615686.74</v>
      </c>
      <c r="L1124" s="322">
        <v>615686.74</v>
      </c>
      <c r="M1124" s="371">
        <v>45519</v>
      </c>
      <c r="N1124" s="322">
        <f>+Table7[[#This Row],[стойност с ДДС]]-Table7[[#This Row],[направено плащане]]</f>
        <v>0</v>
      </c>
      <c r="O1124" s="327"/>
    </row>
    <row r="1125" spans="1:15" ht="20.100000000000001" customHeight="1" x14ac:dyDescent="0.25">
      <c r="A1125" s="206" t="s">
        <v>1616</v>
      </c>
      <c r="B1125" s="378" t="s">
        <v>1618</v>
      </c>
      <c r="C1125" s="373" t="s">
        <v>1617</v>
      </c>
      <c r="D1125" s="343"/>
      <c r="E1125" s="347" t="s">
        <v>131</v>
      </c>
      <c r="F1125" s="412"/>
      <c r="G1125" s="342"/>
      <c r="H1125" s="344">
        <v>100</v>
      </c>
      <c r="I1125" s="345">
        <f>35.279*1.9563</f>
        <v>69.016307699999999</v>
      </c>
      <c r="J1125" s="345">
        <f t="shared" si="177"/>
        <v>6901.6307699999998</v>
      </c>
      <c r="K1125" s="320">
        <f t="shared" ref="K1125" si="178">J1125*1.2</f>
        <v>8281.9569240000001</v>
      </c>
      <c r="L1125" s="342"/>
      <c r="M1125" s="373"/>
      <c r="N1125" s="342">
        <f>+Table7[[#This Row],[стойност с ДДС]]-Table7[[#This Row],[направено плащане]]</f>
        <v>8281.9569240000001</v>
      </c>
      <c r="O1125" s="346"/>
    </row>
    <row r="1126" spans="1:15" ht="20.100000000000001" customHeight="1" x14ac:dyDescent="0.25">
      <c r="A1126" s="206" t="s">
        <v>1616</v>
      </c>
      <c r="B1126" s="378" t="s">
        <v>1618</v>
      </c>
      <c r="C1126" s="373" t="s">
        <v>1617</v>
      </c>
      <c r="D1126" s="343"/>
      <c r="E1126" s="347" t="s">
        <v>131</v>
      </c>
      <c r="F1126" s="412"/>
      <c r="G1126" s="342"/>
      <c r="H1126" s="344">
        <v>40</v>
      </c>
      <c r="I1126" s="345">
        <f>35.535*1.9563</f>
        <v>69.51712049999999</v>
      </c>
      <c r="J1126" s="345">
        <f t="shared" ref="J1126:J1131" si="179">I1126*H1126</f>
        <v>2780.6848199999995</v>
      </c>
      <c r="K1126" s="320">
        <f t="shared" ref="K1126:K1131" si="180">J1126*1.2</f>
        <v>3336.8217839999993</v>
      </c>
      <c r="L1126" s="342"/>
      <c r="M1126" s="373"/>
      <c r="N1126" s="342">
        <f>+Table7[[#This Row],[стойност с ДДС]]-Table7[[#This Row],[направено плащане]]</f>
        <v>3336.8217839999993</v>
      </c>
      <c r="O1126" s="346"/>
    </row>
    <row r="1127" spans="1:15" ht="20.100000000000001" customHeight="1" x14ac:dyDescent="0.25">
      <c r="A1127" s="206" t="s">
        <v>1616</v>
      </c>
      <c r="B1127" s="378" t="s">
        <v>1618</v>
      </c>
      <c r="C1127" s="373" t="s">
        <v>1617</v>
      </c>
      <c r="D1127" s="343"/>
      <c r="E1127" s="347" t="s">
        <v>131</v>
      </c>
      <c r="F1127" s="412"/>
      <c r="G1127" s="342"/>
      <c r="H1127" s="344">
        <v>50</v>
      </c>
      <c r="I1127" s="345">
        <f>35.279*1.9563</f>
        <v>69.016307699999999</v>
      </c>
      <c r="J1127" s="345">
        <f t="shared" si="179"/>
        <v>3450.8153849999999</v>
      </c>
      <c r="K1127" s="320">
        <f t="shared" si="180"/>
        <v>4140.978462</v>
      </c>
      <c r="L1127" s="342"/>
      <c r="M1127" s="373"/>
      <c r="N1127" s="342">
        <f>+Table7[[#This Row],[стойност с ДДС]]-Table7[[#This Row],[направено плащане]]</f>
        <v>4140.978462</v>
      </c>
      <c r="O1127" s="346"/>
    </row>
    <row r="1128" spans="1:15" ht="20.100000000000001" customHeight="1" x14ac:dyDescent="0.25">
      <c r="A1128" s="206" t="s">
        <v>1616</v>
      </c>
      <c r="B1128" s="378" t="s">
        <v>1618</v>
      </c>
      <c r="C1128" s="373" t="s">
        <v>1617</v>
      </c>
      <c r="D1128" s="343"/>
      <c r="E1128" s="347" t="s">
        <v>131</v>
      </c>
      <c r="F1128" s="412"/>
      <c r="G1128" s="342"/>
      <c r="H1128" s="344">
        <v>50</v>
      </c>
      <c r="I1128" s="345">
        <f>35.279*1.9563</f>
        <v>69.016307699999999</v>
      </c>
      <c r="J1128" s="345">
        <f t="shared" si="179"/>
        <v>3450.8153849999999</v>
      </c>
      <c r="K1128" s="320">
        <f t="shared" si="180"/>
        <v>4140.978462</v>
      </c>
      <c r="L1128" s="342"/>
      <c r="M1128" s="373"/>
      <c r="N1128" s="342">
        <f>+Table7[[#This Row],[стойност с ДДС]]-Table7[[#This Row],[направено плащане]]</f>
        <v>4140.978462</v>
      </c>
      <c r="O1128" s="346"/>
    </row>
    <row r="1129" spans="1:15" ht="20.100000000000001" customHeight="1" x14ac:dyDescent="0.25">
      <c r="A1129" s="206" t="s">
        <v>105</v>
      </c>
      <c r="B1129" s="381" t="s">
        <v>1619</v>
      </c>
      <c r="C1129" s="373">
        <v>45516</v>
      </c>
      <c r="D1129" s="343"/>
      <c r="E1129" s="347" t="s">
        <v>131</v>
      </c>
      <c r="F1129" s="412"/>
      <c r="G1129" s="342"/>
      <c r="H1129" s="344">
        <v>100</v>
      </c>
      <c r="I1129" s="345">
        <v>69.5</v>
      </c>
      <c r="J1129" s="345">
        <f t="shared" si="179"/>
        <v>6950</v>
      </c>
      <c r="K1129" s="320">
        <f t="shared" si="180"/>
        <v>8340</v>
      </c>
      <c r="L1129" s="342"/>
      <c r="M1129" s="373"/>
      <c r="N1129" s="342">
        <f>+Table7[[#This Row],[стойност с ДДС]]-Table7[[#This Row],[направено плащане]]</f>
        <v>8340</v>
      </c>
      <c r="O1129" s="346"/>
    </row>
    <row r="1130" spans="1:15" ht="20.100000000000001" customHeight="1" x14ac:dyDescent="0.25">
      <c r="A1130" s="206" t="s">
        <v>105</v>
      </c>
      <c r="B1130" s="381" t="s">
        <v>1619</v>
      </c>
      <c r="C1130" s="373">
        <v>45516</v>
      </c>
      <c r="D1130" s="343"/>
      <c r="E1130" s="347" t="s">
        <v>131</v>
      </c>
      <c r="F1130" s="412"/>
      <c r="G1130" s="342"/>
      <c r="H1130" s="344">
        <v>10</v>
      </c>
      <c r="I1130" s="345">
        <v>69.5</v>
      </c>
      <c r="J1130" s="345">
        <f t="shared" si="179"/>
        <v>695</v>
      </c>
      <c r="K1130" s="320">
        <f t="shared" si="180"/>
        <v>834</v>
      </c>
      <c r="L1130" s="342"/>
      <c r="M1130" s="373"/>
      <c r="N1130" s="342">
        <f>+Table7[[#This Row],[стойност с ДДС]]-Table7[[#This Row],[направено плащане]]</f>
        <v>834</v>
      </c>
      <c r="O1130" s="346"/>
    </row>
    <row r="1131" spans="1:15" ht="20.100000000000001" customHeight="1" x14ac:dyDescent="0.25">
      <c r="A1131" s="206" t="s">
        <v>37</v>
      </c>
      <c r="B1131" s="381" t="s">
        <v>1620</v>
      </c>
      <c r="C1131" s="373">
        <v>45516</v>
      </c>
      <c r="D1131" s="343"/>
      <c r="E1131" s="347" t="s">
        <v>131</v>
      </c>
      <c r="F1131" s="412"/>
      <c r="G1131" s="342"/>
      <c r="H1131" s="344">
        <v>500</v>
      </c>
      <c r="I1131" s="345">
        <v>65</v>
      </c>
      <c r="J1131" s="345">
        <f t="shared" si="179"/>
        <v>32500</v>
      </c>
      <c r="K1131" s="320">
        <f t="shared" si="180"/>
        <v>39000</v>
      </c>
      <c r="L1131" s="342"/>
      <c r="M1131" s="373"/>
      <c r="N1131" s="342">
        <f>+Table7[[#This Row],[стойност с ДДС]]-Table7[[#This Row],[направено плащане]]</f>
        <v>39000</v>
      </c>
      <c r="O1131" s="346"/>
    </row>
    <row r="1132" spans="1:15" ht="20.100000000000001" customHeight="1" x14ac:dyDescent="0.25">
      <c r="A1132" s="151" t="s">
        <v>37</v>
      </c>
      <c r="B1132" s="378" t="s">
        <v>1620</v>
      </c>
      <c r="C1132" s="371">
        <v>45516</v>
      </c>
      <c r="D1132" s="337"/>
      <c r="E1132" s="328" t="s">
        <v>131</v>
      </c>
      <c r="F1132" s="409"/>
      <c r="G1132" s="322"/>
      <c r="H1132" s="324">
        <v>500</v>
      </c>
      <c r="I1132" s="325">
        <v>67</v>
      </c>
      <c r="J1132" s="325">
        <f t="shared" ref="J1132:J1136" si="181">I1132*H1132</f>
        <v>33500</v>
      </c>
      <c r="K1132" s="318">
        <f t="shared" ref="K1132:K1136" si="182">J1132*1.2</f>
        <v>40200</v>
      </c>
      <c r="L1132" s="322"/>
      <c r="M1132" s="371"/>
      <c r="N1132" s="322">
        <f>+Table7[[#This Row],[стойност с ДДС]]-Table7[[#This Row],[направено плащане]]</f>
        <v>40200</v>
      </c>
      <c r="O1132" s="327"/>
    </row>
    <row r="1133" spans="1:15" ht="20.100000000000001" customHeight="1" x14ac:dyDescent="0.25">
      <c r="A1133" s="151" t="s">
        <v>37</v>
      </c>
      <c r="B1133" s="378" t="s">
        <v>1620</v>
      </c>
      <c r="C1133" s="371">
        <v>45516</v>
      </c>
      <c r="D1133" s="337"/>
      <c r="E1133" s="328" t="s">
        <v>131</v>
      </c>
      <c r="F1133" s="409"/>
      <c r="G1133" s="322"/>
      <c r="H1133" s="324">
        <v>4</v>
      </c>
      <c r="I1133" s="325">
        <v>68</v>
      </c>
      <c r="J1133" s="325">
        <f t="shared" si="181"/>
        <v>272</v>
      </c>
      <c r="K1133" s="318">
        <f t="shared" si="182"/>
        <v>326.39999999999998</v>
      </c>
      <c r="L1133" s="322"/>
      <c r="M1133" s="371"/>
      <c r="N1133" s="322">
        <f>+Table7[[#This Row],[стойност с ДДС]]-Table7[[#This Row],[направено плащане]]</f>
        <v>326.39999999999998</v>
      </c>
      <c r="O1133" s="327"/>
    </row>
    <row r="1134" spans="1:15" ht="20.100000000000001" customHeight="1" x14ac:dyDescent="0.25">
      <c r="A1134" s="151" t="s">
        <v>37</v>
      </c>
      <c r="B1134" s="378" t="s">
        <v>1620</v>
      </c>
      <c r="C1134" s="371">
        <v>45516</v>
      </c>
      <c r="D1134" s="337"/>
      <c r="E1134" s="328" t="s">
        <v>131</v>
      </c>
      <c r="F1134" s="409"/>
      <c r="G1134" s="322"/>
      <c r="H1134" s="324">
        <v>500</v>
      </c>
      <c r="I1134" s="325">
        <v>68.5</v>
      </c>
      <c r="J1134" s="325">
        <f t="shared" si="181"/>
        <v>34250</v>
      </c>
      <c r="K1134" s="318">
        <f t="shared" si="182"/>
        <v>41100</v>
      </c>
      <c r="L1134" s="322"/>
      <c r="M1134" s="371"/>
      <c r="N1134" s="322">
        <f>+Table7[[#This Row],[стойност с ДДС]]-Table7[[#This Row],[направено плащане]]</f>
        <v>41100</v>
      </c>
      <c r="O1134" s="327"/>
    </row>
    <row r="1135" spans="1:15" ht="20.100000000000001" customHeight="1" x14ac:dyDescent="0.25">
      <c r="A1135" s="151" t="s">
        <v>37</v>
      </c>
      <c r="B1135" s="378" t="s">
        <v>1620</v>
      </c>
      <c r="C1135" s="371">
        <v>45516</v>
      </c>
      <c r="D1135" s="337"/>
      <c r="E1135" s="328" t="s">
        <v>131</v>
      </c>
      <c r="F1135" s="409"/>
      <c r="G1135" s="322"/>
      <c r="H1135" s="324">
        <v>200</v>
      </c>
      <c r="I1135" s="325">
        <v>70</v>
      </c>
      <c r="J1135" s="325">
        <f t="shared" si="181"/>
        <v>14000</v>
      </c>
      <c r="K1135" s="318">
        <f t="shared" si="182"/>
        <v>16800</v>
      </c>
      <c r="L1135" s="322"/>
      <c r="M1135" s="371"/>
      <c r="N1135" s="322">
        <f>+Table7[[#This Row],[стойност с ДДС]]-Table7[[#This Row],[направено плащане]]</f>
        <v>16800</v>
      </c>
      <c r="O1135" s="327"/>
    </row>
    <row r="1136" spans="1:15" ht="20.100000000000001" customHeight="1" x14ac:dyDescent="0.25">
      <c r="A1136" s="206" t="s">
        <v>37</v>
      </c>
      <c r="B1136" s="381" t="s">
        <v>1620</v>
      </c>
      <c r="C1136" s="373">
        <v>45516</v>
      </c>
      <c r="D1136" s="343"/>
      <c r="E1136" s="347" t="s">
        <v>131</v>
      </c>
      <c r="F1136" s="412"/>
      <c r="G1136" s="342"/>
      <c r="H1136" s="344">
        <v>200</v>
      </c>
      <c r="I1136" s="345">
        <v>73</v>
      </c>
      <c r="J1136" s="345">
        <f t="shared" si="181"/>
        <v>14600</v>
      </c>
      <c r="K1136" s="320">
        <f t="shared" si="182"/>
        <v>17520</v>
      </c>
      <c r="L1136" s="342"/>
      <c r="M1136" s="373"/>
      <c r="N1136" s="342">
        <f>+Table7[[#This Row],[стойност с ДДС]]-Table7[[#This Row],[направено плащане]]</f>
        <v>17520</v>
      </c>
      <c r="O1136" s="346"/>
    </row>
    <row r="1137" spans="1:15" ht="20.100000000000001" customHeight="1" x14ac:dyDescent="0.25">
      <c r="A1137" s="206" t="s">
        <v>37</v>
      </c>
      <c r="B1137" s="381" t="s">
        <v>1620</v>
      </c>
      <c r="C1137" s="371">
        <v>45516</v>
      </c>
      <c r="D1137" s="343"/>
      <c r="E1137" s="347" t="s">
        <v>131</v>
      </c>
      <c r="F1137" s="412"/>
      <c r="G1137" s="342"/>
      <c r="H1137" s="344">
        <v>200</v>
      </c>
      <c r="I1137" s="345">
        <v>73</v>
      </c>
      <c r="J1137" s="345">
        <f t="shared" ref="J1137" si="183">I1137*H1137</f>
        <v>14600</v>
      </c>
      <c r="K1137" s="320">
        <f t="shared" ref="K1137" si="184">J1137*1.2</f>
        <v>17520</v>
      </c>
      <c r="L1137" s="342"/>
      <c r="M1137" s="373"/>
      <c r="N1137" s="342">
        <f>+Table7[[#This Row],[стойност с ДДС]]-Table7[[#This Row],[направено плащане]]</f>
        <v>17520</v>
      </c>
      <c r="O1137" s="346"/>
    </row>
    <row r="1138" spans="1:15" ht="20.100000000000001" customHeight="1" x14ac:dyDescent="0.25">
      <c r="A1138" s="206" t="s">
        <v>527</v>
      </c>
      <c r="B1138" s="381" t="s">
        <v>1666</v>
      </c>
      <c r="C1138" s="373">
        <v>45520</v>
      </c>
      <c r="D1138" s="343"/>
      <c r="E1138" s="352" t="s">
        <v>786</v>
      </c>
      <c r="F1138" s="412"/>
      <c r="G1138" s="342"/>
      <c r="H1138" s="344">
        <v>1</v>
      </c>
      <c r="I1138" s="345">
        <f>1056*1.9563</f>
        <v>2065.8528000000001</v>
      </c>
      <c r="J1138" s="345">
        <f>I1138*H1138</f>
        <v>2065.8528000000001</v>
      </c>
      <c r="K1138" s="320">
        <v>2065.85</v>
      </c>
      <c r="L1138" s="342">
        <v>2065.85</v>
      </c>
      <c r="M1138" s="373">
        <v>45537</v>
      </c>
      <c r="N1138" s="342">
        <f>+Table7[[#This Row],[стойност с ДДС]]-Table7[[#This Row],[направено плащане]]</f>
        <v>0</v>
      </c>
      <c r="O1138" s="346"/>
    </row>
    <row r="1139" spans="1:15" ht="20.100000000000001" customHeight="1" x14ac:dyDescent="0.25">
      <c r="A1139" s="151"/>
      <c r="B1139" s="378"/>
      <c r="C1139" s="371">
        <v>45522</v>
      </c>
      <c r="D1139" s="337"/>
      <c r="E1139" s="355" t="s">
        <v>623</v>
      </c>
      <c r="F1139" s="409" t="s">
        <v>2</v>
      </c>
      <c r="G1139" s="322"/>
      <c r="H1139" s="324">
        <v>1</v>
      </c>
      <c r="I1139" s="325"/>
      <c r="J1139" s="325">
        <f t="shared" ref="J1139:J1140" si="185">I1139*H1139</f>
        <v>0</v>
      </c>
      <c r="K1139" s="318">
        <v>2590.1</v>
      </c>
      <c r="L1139" s="322">
        <v>2590.1</v>
      </c>
      <c r="M1139" s="371">
        <v>45524</v>
      </c>
      <c r="N1139" s="322">
        <f>+Table7[[#This Row],[стойност с ДДС]]-Table7[[#This Row],[направено плащане]]</f>
        <v>0</v>
      </c>
      <c r="O1139" s="327"/>
    </row>
    <row r="1140" spans="1:15" ht="20.100000000000001" customHeight="1" x14ac:dyDescent="0.25">
      <c r="A1140" s="206"/>
      <c r="B1140" s="381"/>
      <c r="C1140" s="371">
        <v>45522</v>
      </c>
      <c r="D1140" s="343"/>
      <c r="E1140" s="352" t="s">
        <v>623</v>
      </c>
      <c r="F1140" s="412" t="s">
        <v>1624</v>
      </c>
      <c r="G1140" s="342"/>
      <c r="H1140" s="344">
        <v>1</v>
      </c>
      <c r="I1140" s="345"/>
      <c r="J1140" s="345">
        <f t="shared" si="185"/>
        <v>0</v>
      </c>
      <c r="K1140" s="320">
        <v>3388.37</v>
      </c>
      <c r="L1140" s="342">
        <v>3388.37</v>
      </c>
      <c r="M1140" s="373">
        <v>45524</v>
      </c>
      <c r="N1140" s="342">
        <f>+Table7[[#This Row],[стойност с ДДС]]-Table7[[#This Row],[направено плащане]]</f>
        <v>0</v>
      </c>
      <c r="O1140" s="346"/>
    </row>
    <row r="1141" spans="1:15" ht="20.100000000000001" customHeight="1" x14ac:dyDescent="0.25">
      <c r="A1141" s="206" t="s">
        <v>1626</v>
      </c>
      <c r="B1141" s="381" t="s">
        <v>1627</v>
      </c>
      <c r="C1141" s="373">
        <v>45518</v>
      </c>
      <c r="D1141" s="343"/>
      <c r="E1141" s="352" t="s">
        <v>422</v>
      </c>
      <c r="F1141" s="412"/>
      <c r="G1141" s="342"/>
      <c r="H1141" s="344">
        <v>1</v>
      </c>
      <c r="I1141" s="345"/>
      <c r="J1141" s="345">
        <v>365.69</v>
      </c>
      <c r="K1141" s="320">
        <f>J1141*1.2</f>
        <v>438.82799999999997</v>
      </c>
      <c r="L1141" s="342"/>
      <c r="M1141" s="373"/>
      <c r="N1141" s="342">
        <f>+Table7[[#This Row],[стойност с ДДС]]-Table7[[#This Row],[направено плащане]]</f>
        <v>438.82799999999997</v>
      </c>
      <c r="O1141" s="346"/>
    </row>
    <row r="1142" spans="1:15" ht="20.100000000000001" customHeight="1" x14ac:dyDescent="0.25">
      <c r="A1142" s="206" t="s">
        <v>773</v>
      </c>
      <c r="B1142" s="381" t="s">
        <v>774</v>
      </c>
      <c r="C1142" s="373">
        <v>45519</v>
      </c>
      <c r="D1142" s="343"/>
      <c r="E1142" s="352" t="s">
        <v>622</v>
      </c>
      <c r="F1142" s="412"/>
      <c r="G1142" s="342"/>
      <c r="H1142" s="344">
        <v>1</v>
      </c>
      <c r="I1142" s="345">
        <v>213</v>
      </c>
      <c r="J1142" s="345">
        <f>I1142*H1142</f>
        <v>213</v>
      </c>
      <c r="K1142" s="320">
        <v>418.49</v>
      </c>
      <c r="L1142" s="342">
        <v>418.49</v>
      </c>
      <c r="M1142" s="373" t="s">
        <v>1629</v>
      </c>
      <c r="N1142" s="342">
        <f>+Table7[[#This Row],[стойност с ДДС]]-Table7[[#This Row],[направено плащане]]</f>
        <v>0</v>
      </c>
      <c r="O1142" s="346"/>
    </row>
    <row r="1143" spans="1:15" ht="20.100000000000001" customHeight="1" x14ac:dyDescent="0.25">
      <c r="A1143" s="206" t="s">
        <v>420</v>
      </c>
      <c r="B1143" s="381" t="s">
        <v>1628</v>
      </c>
      <c r="C1143" s="373">
        <v>45523</v>
      </c>
      <c r="D1143" s="343"/>
      <c r="E1143" s="347" t="s">
        <v>422</v>
      </c>
      <c r="F1143" s="412"/>
      <c r="G1143" s="342"/>
      <c r="H1143" s="344">
        <v>1</v>
      </c>
      <c r="I1143" s="345"/>
      <c r="J1143" s="345"/>
      <c r="K1143" s="320">
        <v>556.79</v>
      </c>
      <c r="L1143" s="342">
        <v>556.79</v>
      </c>
      <c r="M1143" s="373" t="s">
        <v>1629</v>
      </c>
      <c r="N1143" s="342">
        <f>+Table7[[#This Row],[стойност с ДДС]]-Table7[[#This Row],[направено плащане]]</f>
        <v>0</v>
      </c>
      <c r="O1143" s="346"/>
    </row>
    <row r="1144" spans="1:15" ht="20.100000000000001" customHeight="1" x14ac:dyDescent="0.25">
      <c r="A1144" s="151" t="s">
        <v>268</v>
      </c>
      <c r="B1144" s="384" t="s">
        <v>1630</v>
      </c>
      <c r="C1144" s="376">
        <v>45526</v>
      </c>
      <c r="D1144" s="357"/>
      <c r="E1144" s="358" t="s">
        <v>263</v>
      </c>
      <c r="F1144" s="413" t="s">
        <v>1631</v>
      </c>
      <c r="G1144" s="356"/>
      <c r="H1144" s="359">
        <v>-1</v>
      </c>
      <c r="I1144" s="360">
        <v>40746.458299999998</v>
      </c>
      <c r="J1144" s="360">
        <f>I1144*H1144</f>
        <v>-40746.458299999998</v>
      </c>
      <c r="K1144" s="361">
        <f t="shared" ref="K1144:K1172" si="186">J1144*1.2</f>
        <v>-48895.749959999994</v>
      </c>
      <c r="L1144" s="356"/>
      <c r="M1144" s="376"/>
      <c r="N1144" s="356">
        <f>+Table7[[#This Row],[стойност с ДДС]]-Table7[[#This Row],[направено плащане]]</f>
        <v>-48895.749959999994</v>
      </c>
      <c r="O1144" s="362"/>
    </row>
    <row r="1145" spans="1:15" ht="20.100000000000001" customHeight="1" x14ac:dyDescent="0.25">
      <c r="A1145" s="151" t="s">
        <v>268</v>
      </c>
      <c r="B1145" s="384" t="s">
        <v>1632</v>
      </c>
      <c r="C1145" s="376">
        <v>45526</v>
      </c>
      <c r="D1145" s="357"/>
      <c r="E1145" s="358" t="s">
        <v>263</v>
      </c>
      <c r="F1145" s="413" t="s">
        <v>1633</v>
      </c>
      <c r="G1145" s="356"/>
      <c r="H1145" s="359">
        <v>-1</v>
      </c>
      <c r="I1145" s="360">
        <v>40746.46</v>
      </c>
      <c r="J1145" s="360">
        <f t="shared" ref="J1145:J1173" si="187">I1145*H1145</f>
        <v>-40746.46</v>
      </c>
      <c r="K1145" s="361">
        <f t="shared" si="186"/>
        <v>-48895.752</v>
      </c>
      <c r="L1145" s="356"/>
      <c r="M1145" s="376"/>
      <c r="N1145" s="356">
        <f>+Table7[[#This Row],[стойност с ДДС]]-Table7[[#This Row],[направено плащане]]</f>
        <v>-48895.752</v>
      </c>
      <c r="O1145" s="362"/>
    </row>
    <row r="1146" spans="1:15" ht="20.100000000000001" customHeight="1" x14ac:dyDescent="0.25">
      <c r="A1146" s="151" t="s">
        <v>268</v>
      </c>
      <c r="B1146" s="384" t="s">
        <v>1634</v>
      </c>
      <c r="C1146" s="376">
        <v>45526</v>
      </c>
      <c r="D1146" s="357"/>
      <c r="E1146" s="358" t="s">
        <v>263</v>
      </c>
      <c r="F1146" s="413" t="s">
        <v>1635</v>
      </c>
      <c r="G1146" s="356"/>
      <c r="H1146" s="359">
        <v>-1</v>
      </c>
      <c r="I1146" s="360">
        <v>122239.375</v>
      </c>
      <c r="J1146" s="360">
        <f t="shared" si="187"/>
        <v>-122239.375</v>
      </c>
      <c r="K1146" s="361">
        <f t="shared" si="186"/>
        <v>-146687.25</v>
      </c>
      <c r="L1146" s="356"/>
      <c r="M1146" s="376"/>
      <c r="N1146" s="356">
        <f>+Table7[[#This Row],[стойност с ДДС]]-Table7[[#This Row],[направено плащане]]</f>
        <v>-146687.25</v>
      </c>
      <c r="O1146" s="362"/>
    </row>
    <row r="1147" spans="1:15" ht="20.100000000000001" customHeight="1" x14ac:dyDescent="0.25">
      <c r="A1147" s="151" t="s">
        <v>268</v>
      </c>
      <c r="B1147" s="384" t="s">
        <v>1636</v>
      </c>
      <c r="C1147" s="376">
        <v>45526</v>
      </c>
      <c r="D1147" s="357"/>
      <c r="E1147" s="358" t="s">
        <v>263</v>
      </c>
      <c r="F1147" s="413" t="s">
        <v>1637</v>
      </c>
      <c r="G1147" s="356"/>
      <c r="H1147" s="359">
        <v>-1</v>
      </c>
      <c r="I1147" s="360">
        <v>40746.458299999998</v>
      </c>
      <c r="J1147" s="360">
        <f t="shared" si="187"/>
        <v>-40746.458299999998</v>
      </c>
      <c r="K1147" s="361">
        <f t="shared" si="186"/>
        <v>-48895.749959999994</v>
      </c>
      <c r="L1147" s="356"/>
      <c r="M1147" s="376"/>
      <c r="N1147" s="356">
        <f>+Table7[[#This Row],[стойност с ДДС]]-Table7[[#This Row],[направено плащане]]</f>
        <v>-48895.749959999994</v>
      </c>
      <c r="O1147" s="362"/>
    </row>
    <row r="1148" spans="1:15" ht="20.100000000000001" customHeight="1" x14ac:dyDescent="0.25">
      <c r="A1148" s="151" t="s">
        <v>268</v>
      </c>
      <c r="B1148" s="384" t="s">
        <v>1638</v>
      </c>
      <c r="C1148" s="376">
        <v>45526</v>
      </c>
      <c r="D1148" s="357"/>
      <c r="E1148" s="358" t="s">
        <v>263</v>
      </c>
      <c r="F1148" s="413" t="s">
        <v>1639</v>
      </c>
      <c r="G1148" s="356"/>
      <c r="H1148" s="359">
        <v>-1</v>
      </c>
      <c r="I1148" s="360">
        <v>40756.25</v>
      </c>
      <c r="J1148" s="360">
        <f t="shared" si="187"/>
        <v>-40756.25</v>
      </c>
      <c r="K1148" s="361">
        <f t="shared" si="186"/>
        <v>-48907.5</v>
      </c>
      <c r="L1148" s="356"/>
      <c r="M1148" s="376"/>
      <c r="N1148" s="356">
        <f>+Table7[[#This Row],[стойност с ДДС]]-Table7[[#This Row],[направено плащане]]</f>
        <v>-48907.5</v>
      </c>
      <c r="O1148" s="362"/>
    </row>
    <row r="1149" spans="1:15" ht="20.100000000000001" customHeight="1" x14ac:dyDescent="0.25">
      <c r="A1149" s="151" t="s">
        <v>268</v>
      </c>
      <c r="B1149" s="384" t="s">
        <v>1640</v>
      </c>
      <c r="C1149" s="376">
        <v>45526</v>
      </c>
      <c r="D1149" s="357"/>
      <c r="E1149" s="358" t="s">
        <v>263</v>
      </c>
      <c r="F1149" s="413" t="s">
        <v>1641</v>
      </c>
      <c r="G1149" s="356"/>
      <c r="H1149" s="359">
        <v>-1</v>
      </c>
      <c r="I1149" s="360">
        <v>40756.25</v>
      </c>
      <c r="J1149" s="360">
        <f t="shared" si="187"/>
        <v>-40756.25</v>
      </c>
      <c r="K1149" s="361">
        <f t="shared" si="186"/>
        <v>-48907.5</v>
      </c>
      <c r="L1149" s="356"/>
      <c r="M1149" s="376"/>
      <c r="N1149" s="356">
        <f>+Table7[[#This Row],[стойност с ДДС]]-Table7[[#This Row],[направено плащане]]</f>
        <v>-48907.5</v>
      </c>
      <c r="O1149" s="363"/>
    </row>
    <row r="1150" spans="1:15" ht="20.100000000000001" customHeight="1" x14ac:dyDescent="0.25">
      <c r="A1150" s="151" t="s">
        <v>268</v>
      </c>
      <c r="B1150" s="384" t="s">
        <v>1644</v>
      </c>
      <c r="C1150" s="376">
        <v>45526</v>
      </c>
      <c r="D1150" s="357"/>
      <c r="E1150" s="358" t="s">
        <v>263</v>
      </c>
      <c r="F1150" s="413"/>
      <c r="G1150" s="356"/>
      <c r="H1150" s="359">
        <v>1500</v>
      </c>
      <c r="I1150" s="360">
        <v>47.722230000000003</v>
      </c>
      <c r="J1150" s="360">
        <f t="shared" ref="J1150:J1161" si="188">I1150*H1150</f>
        <v>71583.345000000001</v>
      </c>
      <c r="K1150" s="361">
        <f t="shared" ref="K1150:K1161" si="189">J1150*1.2</f>
        <v>85900.013999999996</v>
      </c>
      <c r="L1150" s="356">
        <v>85900.013999999996</v>
      </c>
      <c r="M1150" s="376">
        <v>45548</v>
      </c>
      <c r="N1150" s="356">
        <f>+Table7[[#This Row],[стойност с ДДС]]-Table7[[#This Row],[направено плащане]]</f>
        <v>0</v>
      </c>
      <c r="O1150" s="363"/>
    </row>
    <row r="1151" spans="1:15" ht="20.100000000000001" customHeight="1" x14ac:dyDescent="0.25">
      <c r="A1151" s="151" t="s">
        <v>268</v>
      </c>
      <c r="B1151" s="384" t="s">
        <v>1645</v>
      </c>
      <c r="C1151" s="376">
        <v>45526</v>
      </c>
      <c r="D1151" s="357"/>
      <c r="E1151" s="358" t="s">
        <v>263</v>
      </c>
      <c r="F1151" s="413"/>
      <c r="G1151" s="356"/>
      <c r="H1151" s="359">
        <v>1500</v>
      </c>
      <c r="I1151" s="360">
        <v>48.993499999999997</v>
      </c>
      <c r="J1151" s="360">
        <f t="shared" si="188"/>
        <v>73490.25</v>
      </c>
      <c r="K1151" s="361">
        <f t="shared" si="189"/>
        <v>88188.3</v>
      </c>
      <c r="L1151" s="356">
        <v>88188.3</v>
      </c>
      <c r="M1151" s="376">
        <v>45548</v>
      </c>
      <c r="N1151" s="356">
        <f>+Table7[[#This Row],[стойност с ДДС]]-Table7[[#This Row],[направено плащане]]</f>
        <v>0</v>
      </c>
      <c r="O1151" s="363"/>
    </row>
    <row r="1152" spans="1:15" ht="20.100000000000001" customHeight="1" x14ac:dyDescent="0.25">
      <c r="A1152" s="151" t="s">
        <v>268</v>
      </c>
      <c r="B1152" s="384" t="s">
        <v>1646</v>
      </c>
      <c r="C1152" s="376">
        <v>45526</v>
      </c>
      <c r="D1152" s="357"/>
      <c r="E1152" s="358" t="s">
        <v>263</v>
      </c>
      <c r="F1152" s="413"/>
      <c r="G1152" s="356"/>
      <c r="H1152" s="359">
        <v>4500</v>
      </c>
      <c r="I1152" s="360">
        <v>52.357599999999998</v>
      </c>
      <c r="J1152" s="360">
        <f t="shared" si="188"/>
        <v>235609.19999999998</v>
      </c>
      <c r="K1152" s="361">
        <f t="shared" si="189"/>
        <v>282731.03999999998</v>
      </c>
      <c r="L1152" s="356">
        <v>282731.03999999998</v>
      </c>
      <c r="M1152" s="376">
        <v>45548</v>
      </c>
      <c r="N1152" s="356">
        <f>+Table7[[#This Row],[стойност с ДДС]]-Table7[[#This Row],[направено плащане]]</f>
        <v>0</v>
      </c>
      <c r="O1152" s="363"/>
    </row>
    <row r="1153" spans="1:15" ht="20.100000000000001" customHeight="1" x14ac:dyDescent="0.25">
      <c r="A1153" s="151" t="s">
        <v>268</v>
      </c>
      <c r="B1153" s="384" t="s">
        <v>1647</v>
      </c>
      <c r="C1153" s="376">
        <v>45526</v>
      </c>
      <c r="D1153" s="357"/>
      <c r="E1153" s="358" t="s">
        <v>263</v>
      </c>
      <c r="F1153" s="413"/>
      <c r="G1153" s="356"/>
      <c r="H1153" s="359">
        <v>1500</v>
      </c>
      <c r="I1153" s="360">
        <v>54.078699999999998</v>
      </c>
      <c r="J1153" s="360">
        <f t="shared" si="188"/>
        <v>81118.05</v>
      </c>
      <c r="K1153" s="361">
        <f t="shared" si="189"/>
        <v>97341.66</v>
      </c>
      <c r="L1153" s="356">
        <v>97341.66</v>
      </c>
      <c r="M1153" s="376">
        <v>45548</v>
      </c>
      <c r="N1153" s="356">
        <f>+Table7[[#This Row],[стойност с ДДС]]-Table7[[#This Row],[направено плащане]]</f>
        <v>0</v>
      </c>
      <c r="O1153" s="363"/>
    </row>
    <row r="1154" spans="1:15" ht="20.100000000000001" customHeight="1" x14ac:dyDescent="0.25">
      <c r="A1154" s="151" t="s">
        <v>268</v>
      </c>
      <c r="B1154" s="384" t="s">
        <v>1648</v>
      </c>
      <c r="C1154" s="376">
        <v>45526</v>
      </c>
      <c r="D1154" s="357"/>
      <c r="E1154" s="358" t="s">
        <v>263</v>
      </c>
      <c r="F1154" s="413"/>
      <c r="G1154" s="356"/>
      <c r="H1154" s="359">
        <v>1500</v>
      </c>
      <c r="I1154" s="360">
        <v>50.655999999999999</v>
      </c>
      <c r="J1154" s="360">
        <f t="shared" si="188"/>
        <v>75984</v>
      </c>
      <c r="K1154" s="361">
        <f t="shared" si="189"/>
        <v>91180.800000000003</v>
      </c>
      <c r="L1154" s="356">
        <v>91180.800000000003</v>
      </c>
      <c r="M1154" s="376">
        <v>45548</v>
      </c>
      <c r="N1154" s="356">
        <f>+Table7[[#This Row],[стойност с ДДС]]-Table7[[#This Row],[направено плащане]]</f>
        <v>0</v>
      </c>
      <c r="O1154" s="363"/>
    </row>
    <row r="1155" spans="1:15" ht="20.100000000000001" customHeight="1" x14ac:dyDescent="0.25">
      <c r="A1155" s="151" t="s">
        <v>268</v>
      </c>
      <c r="B1155" s="384" t="s">
        <v>1649</v>
      </c>
      <c r="C1155" s="376">
        <v>45526</v>
      </c>
      <c r="D1155" s="364"/>
      <c r="E1155" s="358" t="s">
        <v>263</v>
      </c>
      <c r="F1155" s="413"/>
      <c r="G1155" s="356"/>
      <c r="H1155" s="359">
        <v>1500</v>
      </c>
      <c r="I1155" s="360">
        <v>51.438299999999998</v>
      </c>
      <c r="J1155" s="360">
        <f t="shared" si="188"/>
        <v>77157.45</v>
      </c>
      <c r="K1155" s="361">
        <f t="shared" si="189"/>
        <v>92588.939999999988</v>
      </c>
      <c r="L1155" s="356">
        <v>92588.939999999988</v>
      </c>
      <c r="M1155" s="376">
        <v>45548</v>
      </c>
      <c r="N1155" s="356">
        <f>+Table7[[#This Row],[стойност с ДДС]]-Table7[[#This Row],[направено плащане]]</f>
        <v>0</v>
      </c>
      <c r="O1155" s="362"/>
    </row>
    <row r="1156" spans="1:15" ht="20.100000000000001" customHeight="1" x14ac:dyDescent="0.25">
      <c r="A1156" s="151" t="s">
        <v>268</v>
      </c>
      <c r="B1156" s="384" t="s">
        <v>1650</v>
      </c>
      <c r="C1156" s="376">
        <v>45526</v>
      </c>
      <c r="D1156" s="364"/>
      <c r="E1156" s="358" t="s">
        <v>263</v>
      </c>
      <c r="F1156" s="413"/>
      <c r="G1156" s="356"/>
      <c r="H1156" s="359">
        <v>3000</v>
      </c>
      <c r="I1156" s="360">
        <v>58.674900000000001</v>
      </c>
      <c r="J1156" s="360">
        <f t="shared" si="188"/>
        <v>176024.7</v>
      </c>
      <c r="K1156" s="361">
        <f t="shared" si="189"/>
        <v>211229.64</v>
      </c>
      <c r="L1156" s="356">
        <v>211229.64</v>
      </c>
      <c r="M1156" s="376">
        <v>45527</v>
      </c>
      <c r="N1156" s="356">
        <f>+Table7[[#This Row],[стойност с ДДС]]-Table7[[#This Row],[направено плащане]]</f>
        <v>0</v>
      </c>
      <c r="O1156" s="362"/>
    </row>
    <row r="1157" spans="1:15" ht="20.100000000000001" customHeight="1" x14ac:dyDescent="0.25">
      <c r="A1157" s="151" t="s">
        <v>268</v>
      </c>
      <c r="B1157" s="384" t="s">
        <v>1643</v>
      </c>
      <c r="C1157" s="376">
        <v>45526</v>
      </c>
      <c r="D1157" s="364"/>
      <c r="E1157" s="358" t="s">
        <v>263</v>
      </c>
      <c r="F1157" s="413"/>
      <c r="G1157" s="356"/>
      <c r="H1157" s="359">
        <v>3000</v>
      </c>
      <c r="I1157" s="360">
        <v>58.674900000000001</v>
      </c>
      <c r="J1157" s="360">
        <f t="shared" si="188"/>
        <v>176024.7</v>
      </c>
      <c r="K1157" s="361">
        <f t="shared" si="189"/>
        <v>211229.64</v>
      </c>
      <c r="L1157" s="356">
        <v>211229.64</v>
      </c>
      <c r="M1157" s="376">
        <v>45548</v>
      </c>
      <c r="N1157" s="356">
        <f>+Table7[[#This Row],[стойност с ДДС]]-Table7[[#This Row],[направено плащане]]</f>
        <v>0</v>
      </c>
      <c r="O1157" s="362"/>
    </row>
    <row r="1158" spans="1:15" ht="20.100000000000001" customHeight="1" x14ac:dyDescent="0.25">
      <c r="A1158" s="151" t="s">
        <v>268</v>
      </c>
      <c r="B1158" s="384" t="s">
        <v>1651</v>
      </c>
      <c r="C1158" s="376">
        <v>45526</v>
      </c>
      <c r="D1158" s="365"/>
      <c r="E1158" s="358" t="s">
        <v>263</v>
      </c>
      <c r="F1158" s="411"/>
      <c r="G1158" s="327"/>
      <c r="H1158" s="359">
        <v>1500</v>
      </c>
      <c r="I1158" s="360">
        <v>55.741199999999999</v>
      </c>
      <c r="J1158" s="325">
        <f t="shared" si="188"/>
        <v>83611.8</v>
      </c>
      <c r="K1158" s="322">
        <f t="shared" si="189"/>
        <v>100334.16</v>
      </c>
      <c r="L1158" s="327">
        <v>100334.16</v>
      </c>
      <c r="M1158" s="376">
        <v>45527</v>
      </c>
      <c r="N1158" s="327">
        <f>+Table7[[#This Row],[стойност с ДДС]]-Table7[[#This Row],[направено плащане]]</f>
        <v>0</v>
      </c>
      <c r="O1158" s="366"/>
    </row>
    <row r="1159" spans="1:15" ht="20.100000000000001" customHeight="1" x14ac:dyDescent="0.25">
      <c r="A1159" s="151" t="s">
        <v>268</v>
      </c>
      <c r="B1159" s="384" t="s">
        <v>1642</v>
      </c>
      <c r="C1159" s="376">
        <v>45526</v>
      </c>
      <c r="D1159" s="364"/>
      <c r="E1159" s="358" t="s">
        <v>263</v>
      </c>
      <c r="F1159" s="413"/>
      <c r="G1159" s="356"/>
      <c r="H1159" s="359">
        <v>1500</v>
      </c>
      <c r="I1159" s="360">
        <v>55.741199999999999</v>
      </c>
      <c r="J1159" s="360">
        <f t="shared" si="188"/>
        <v>83611.8</v>
      </c>
      <c r="K1159" s="361">
        <f t="shared" si="189"/>
        <v>100334.16</v>
      </c>
      <c r="L1159" s="356">
        <v>100334.16</v>
      </c>
      <c r="M1159" s="376">
        <v>45548</v>
      </c>
      <c r="N1159" s="356">
        <f>+Table7[[#This Row],[стойност с ДДС]]-Table7[[#This Row],[направено плащане]]</f>
        <v>0</v>
      </c>
      <c r="O1159" s="362"/>
    </row>
    <row r="1160" spans="1:15" ht="20.100000000000001" customHeight="1" x14ac:dyDescent="0.25">
      <c r="A1160" s="151" t="s">
        <v>268</v>
      </c>
      <c r="B1160" s="384" t="s">
        <v>1652</v>
      </c>
      <c r="C1160" s="376">
        <v>45526</v>
      </c>
      <c r="D1160" s="365"/>
      <c r="E1160" s="358" t="s">
        <v>263</v>
      </c>
      <c r="F1160" s="411"/>
      <c r="G1160" s="327"/>
      <c r="H1160" s="359">
        <v>1500</v>
      </c>
      <c r="I1160" s="360">
        <v>47.722299999999997</v>
      </c>
      <c r="J1160" s="325">
        <f t="shared" si="188"/>
        <v>71583.45</v>
      </c>
      <c r="K1160" s="322">
        <f t="shared" si="189"/>
        <v>85900.14</v>
      </c>
      <c r="L1160" s="327">
        <v>85900.14</v>
      </c>
      <c r="M1160" s="376">
        <v>45527</v>
      </c>
      <c r="N1160" s="327">
        <f>+Table7[[#This Row],[стойност с ДДС]]-Table7[[#This Row],[направено плащане]]</f>
        <v>0</v>
      </c>
      <c r="O1160" s="366"/>
    </row>
    <row r="1161" spans="1:15" ht="20.100000000000001" customHeight="1" x14ac:dyDescent="0.25">
      <c r="A1161" s="151" t="s">
        <v>268</v>
      </c>
      <c r="B1161" s="384" t="s">
        <v>1653</v>
      </c>
      <c r="C1161" s="376">
        <v>45526</v>
      </c>
      <c r="D1161" s="367"/>
      <c r="E1161" s="358" t="s">
        <v>263</v>
      </c>
      <c r="F1161" s="411"/>
      <c r="G1161" s="327"/>
      <c r="H1161" s="359">
        <v>1500</v>
      </c>
      <c r="I1161" s="351">
        <v>47.722299999999997</v>
      </c>
      <c r="J1161" s="351">
        <f t="shared" si="188"/>
        <v>71583.45</v>
      </c>
      <c r="K1161" s="322">
        <f t="shared" si="189"/>
        <v>85900.14</v>
      </c>
      <c r="L1161" s="327">
        <v>85900.14</v>
      </c>
      <c r="M1161" s="376">
        <v>45527</v>
      </c>
      <c r="N1161" s="327">
        <f>+Table7[[#This Row],[стойност с ДДС]]-Table7[[#This Row],[направено плащане]]</f>
        <v>0</v>
      </c>
      <c r="O1161" s="366"/>
    </row>
    <row r="1162" spans="1:15" ht="20.100000000000001" customHeight="1" x14ac:dyDescent="0.25">
      <c r="A1162" s="151" t="s">
        <v>268</v>
      </c>
      <c r="B1162" s="384">
        <v>20000001102</v>
      </c>
      <c r="C1162" s="376">
        <v>45526</v>
      </c>
      <c r="D1162" s="364"/>
      <c r="E1162" s="358" t="s">
        <v>263</v>
      </c>
      <c r="F1162" s="413"/>
      <c r="G1162" s="356"/>
      <c r="H1162" s="359">
        <v>4500</v>
      </c>
      <c r="I1162" s="360">
        <v>52.357599999999998</v>
      </c>
      <c r="J1162" s="360">
        <f t="shared" si="187"/>
        <v>235609.19999999998</v>
      </c>
      <c r="K1162" s="361">
        <f t="shared" si="186"/>
        <v>282731.03999999998</v>
      </c>
      <c r="L1162" s="356">
        <v>282731.03999999998</v>
      </c>
      <c r="M1162" s="376">
        <v>45527</v>
      </c>
      <c r="N1162" s="327">
        <f>+Table7[[#This Row],[стойност с ДДС]]-Table7[[#This Row],[направено плащане]]</f>
        <v>0</v>
      </c>
      <c r="O1162" s="362"/>
    </row>
    <row r="1163" spans="1:15" ht="20.100000000000001" customHeight="1" x14ac:dyDescent="0.25">
      <c r="A1163" s="151" t="s">
        <v>268</v>
      </c>
      <c r="B1163" s="384">
        <v>20000001103</v>
      </c>
      <c r="C1163" s="376">
        <v>45526</v>
      </c>
      <c r="D1163" s="364"/>
      <c r="E1163" s="358" t="s">
        <v>263</v>
      </c>
      <c r="F1163" s="413"/>
      <c r="G1163" s="356"/>
      <c r="H1163" s="359">
        <v>1500</v>
      </c>
      <c r="I1163" s="360">
        <v>54.078699999999998</v>
      </c>
      <c r="J1163" s="360">
        <f t="shared" si="187"/>
        <v>81118.05</v>
      </c>
      <c r="K1163" s="361">
        <f t="shared" si="186"/>
        <v>97341.66</v>
      </c>
      <c r="L1163" s="356">
        <v>97341.66</v>
      </c>
      <c r="M1163" s="376">
        <v>45527</v>
      </c>
      <c r="N1163" s="327">
        <f>+Table7[[#This Row],[стойност с ДДС]]-Table7[[#This Row],[направено плащане]]</f>
        <v>0</v>
      </c>
      <c r="O1163" s="362"/>
    </row>
    <row r="1164" spans="1:15" ht="20.100000000000001" customHeight="1" x14ac:dyDescent="0.25">
      <c r="A1164" s="151" t="s">
        <v>268</v>
      </c>
      <c r="B1164" s="384">
        <v>20000001104</v>
      </c>
      <c r="C1164" s="376">
        <v>45526</v>
      </c>
      <c r="D1164" s="364"/>
      <c r="E1164" s="358" t="s">
        <v>263</v>
      </c>
      <c r="F1164" s="413"/>
      <c r="G1164" s="356"/>
      <c r="H1164" s="359">
        <v>1500</v>
      </c>
      <c r="I1164" s="360">
        <v>50.655999999999999</v>
      </c>
      <c r="J1164" s="360">
        <f t="shared" si="187"/>
        <v>75984</v>
      </c>
      <c r="K1164" s="361">
        <f t="shared" si="186"/>
        <v>91180.800000000003</v>
      </c>
      <c r="L1164" s="356">
        <v>91180.800000000003</v>
      </c>
      <c r="M1164" s="376">
        <v>45527</v>
      </c>
      <c r="N1164" s="327">
        <f>+Table7[[#This Row],[стойност с ДДС]]-Table7[[#This Row],[направено плащане]]</f>
        <v>0</v>
      </c>
      <c r="O1164" s="362"/>
    </row>
    <row r="1165" spans="1:15" ht="20.100000000000001" customHeight="1" x14ac:dyDescent="0.25">
      <c r="A1165" s="151" t="s">
        <v>268</v>
      </c>
      <c r="B1165" s="384">
        <v>20000001105</v>
      </c>
      <c r="C1165" s="376">
        <v>45526</v>
      </c>
      <c r="D1165" s="364"/>
      <c r="E1165" s="358" t="s">
        <v>263</v>
      </c>
      <c r="F1165" s="413"/>
      <c r="G1165" s="356"/>
      <c r="H1165" s="359">
        <v>1500</v>
      </c>
      <c r="I1165" s="360">
        <v>51.438299999999998</v>
      </c>
      <c r="J1165" s="360">
        <f t="shared" si="187"/>
        <v>77157.45</v>
      </c>
      <c r="K1165" s="361">
        <f t="shared" si="186"/>
        <v>92588.939999999988</v>
      </c>
      <c r="L1165" s="356">
        <v>92588.939999999988</v>
      </c>
      <c r="M1165" s="376">
        <v>45527</v>
      </c>
      <c r="N1165" s="327">
        <f>+Table7[[#This Row],[стойност с ДДС]]-Table7[[#This Row],[направено плащане]]</f>
        <v>0</v>
      </c>
      <c r="O1165" s="362"/>
    </row>
    <row r="1166" spans="1:15" ht="20.100000000000001" customHeight="1" x14ac:dyDescent="0.25">
      <c r="A1166" s="151" t="s">
        <v>118</v>
      </c>
      <c r="B1166" s="385" t="s">
        <v>1655</v>
      </c>
      <c r="C1166" s="376">
        <v>45510</v>
      </c>
      <c r="D1166" s="364"/>
      <c r="E1166" s="358" t="s">
        <v>131</v>
      </c>
      <c r="F1166" s="413"/>
      <c r="G1166" s="356"/>
      <c r="H1166" s="359">
        <v>80</v>
      </c>
      <c r="I1166" s="360">
        <v>62.8</v>
      </c>
      <c r="J1166" s="360">
        <f t="shared" si="187"/>
        <v>5024</v>
      </c>
      <c r="K1166" s="361">
        <f t="shared" si="186"/>
        <v>6028.8</v>
      </c>
      <c r="L1166" s="356"/>
      <c r="M1166" s="376"/>
      <c r="N1166" s="327">
        <f>+Table7[[#This Row],[стойност с ДДС]]-Table7[[#This Row],[направено плащане]]</f>
        <v>6028.8</v>
      </c>
      <c r="O1166" s="362"/>
    </row>
    <row r="1167" spans="1:15" ht="20.100000000000001" customHeight="1" x14ac:dyDescent="0.25">
      <c r="A1167" s="206" t="s">
        <v>101</v>
      </c>
      <c r="B1167" s="389" t="s">
        <v>1656</v>
      </c>
      <c r="C1167" s="377">
        <v>45520</v>
      </c>
      <c r="D1167" s="364"/>
      <c r="E1167" s="358" t="s">
        <v>131</v>
      </c>
      <c r="F1167" s="413"/>
      <c r="G1167" s="356"/>
      <c r="H1167" s="359">
        <v>50</v>
      </c>
      <c r="I1167" s="360">
        <v>70.010000000000005</v>
      </c>
      <c r="J1167" s="360">
        <f t="shared" si="187"/>
        <v>3500.5000000000005</v>
      </c>
      <c r="K1167" s="361">
        <f t="shared" si="186"/>
        <v>4200.6000000000004</v>
      </c>
      <c r="L1167" s="356"/>
      <c r="M1167" s="376"/>
      <c r="N1167" s="327">
        <f>+Table7[[#This Row],[стойност с ДДС]]-Table7[[#This Row],[направено плащане]]</f>
        <v>4200.6000000000004</v>
      </c>
      <c r="O1167" s="362"/>
    </row>
    <row r="1168" spans="1:15" ht="20.100000000000001" customHeight="1" x14ac:dyDescent="0.25">
      <c r="A1168" s="151" t="s">
        <v>118</v>
      </c>
      <c r="B1168" s="385" t="s">
        <v>1657</v>
      </c>
      <c r="C1168" s="376">
        <v>45534</v>
      </c>
      <c r="D1168" s="364"/>
      <c r="E1168" s="358" t="s">
        <v>131</v>
      </c>
      <c r="F1168" s="413"/>
      <c r="G1168" s="356"/>
      <c r="H1168" s="359">
        <v>50</v>
      </c>
      <c r="I1168" s="360">
        <v>64</v>
      </c>
      <c r="J1168" s="360">
        <f t="shared" si="187"/>
        <v>3200</v>
      </c>
      <c r="K1168" s="361">
        <f t="shared" si="186"/>
        <v>3840</v>
      </c>
      <c r="L1168" s="356">
        <v>3840</v>
      </c>
      <c r="M1168" s="376">
        <v>45539</v>
      </c>
      <c r="N1168" s="327">
        <f>+Table7[[#This Row],[стойност с ДДС]]-Table7[[#This Row],[направено плащане]]</f>
        <v>0</v>
      </c>
      <c r="O1168" s="362"/>
    </row>
    <row r="1169" spans="1:15" ht="20.100000000000001" customHeight="1" x14ac:dyDescent="0.25">
      <c r="A1169" s="151" t="s">
        <v>157</v>
      </c>
      <c r="B1169" s="385" t="s">
        <v>1662</v>
      </c>
      <c r="C1169" s="376">
        <v>45532</v>
      </c>
      <c r="D1169" s="357"/>
      <c r="E1169" s="358" t="s">
        <v>131</v>
      </c>
      <c r="F1169" s="413"/>
      <c r="G1169" s="356"/>
      <c r="H1169" s="359">
        <v>100</v>
      </c>
      <c r="I1169" s="360">
        <v>64</v>
      </c>
      <c r="J1169" s="360">
        <f t="shared" si="187"/>
        <v>6400</v>
      </c>
      <c r="K1169" s="361">
        <f t="shared" si="186"/>
        <v>7680</v>
      </c>
      <c r="L1169" s="356">
        <v>7680</v>
      </c>
      <c r="M1169" s="376">
        <v>45538</v>
      </c>
      <c r="N1169" s="327">
        <f>+Table7[[#This Row],[стойност с ДДС]]-Table7[[#This Row],[направено плащане]]</f>
        <v>0</v>
      </c>
      <c r="O1169" s="362"/>
    </row>
    <row r="1170" spans="1:15" ht="20.100000000000001" customHeight="1" x14ac:dyDescent="0.25">
      <c r="A1170" s="151" t="s">
        <v>157</v>
      </c>
      <c r="B1170" s="385" t="s">
        <v>1662</v>
      </c>
      <c r="C1170" s="376">
        <v>45532</v>
      </c>
      <c r="D1170" s="357"/>
      <c r="E1170" s="358" t="s">
        <v>131</v>
      </c>
      <c r="F1170" s="413"/>
      <c r="G1170" s="356"/>
      <c r="H1170" s="359">
        <v>125</v>
      </c>
      <c r="I1170" s="360">
        <v>65</v>
      </c>
      <c r="J1170" s="360">
        <f t="shared" si="187"/>
        <v>8125</v>
      </c>
      <c r="K1170" s="361">
        <f t="shared" si="186"/>
        <v>9750</v>
      </c>
      <c r="L1170" s="356">
        <v>9750</v>
      </c>
      <c r="M1170" s="376">
        <v>45538</v>
      </c>
      <c r="N1170" s="327">
        <f>+Table7[[#This Row],[стойност с ДДС]]-Table7[[#This Row],[направено плащане]]</f>
        <v>0</v>
      </c>
      <c r="O1170" s="362"/>
    </row>
    <row r="1171" spans="1:15" ht="20.100000000000001" customHeight="1" x14ac:dyDescent="0.25">
      <c r="A1171" s="151" t="s">
        <v>914</v>
      </c>
      <c r="B1171" s="385" t="s">
        <v>1658</v>
      </c>
      <c r="C1171" s="376">
        <v>45537</v>
      </c>
      <c r="D1171" s="357"/>
      <c r="E1171" s="358" t="s">
        <v>263</v>
      </c>
      <c r="F1171" s="413"/>
      <c r="G1171" s="356"/>
      <c r="H1171" s="359">
        <v>225</v>
      </c>
      <c r="I1171" s="360">
        <v>69.367000000000004</v>
      </c>
      <c r="J1171" s="360">
        <f t="shared" si="187"/>
        <v>15607.575000000001</v>
      </c>
      <c r="K1171" s="361">
        <f t="shared" si="186"/>
        <v>18729.09</v>
      </c>
      <c r="L1171" s="356">
        <v>18729.09</v>
      </c>
      <c r="M1171" s="376">
        <v>45551</v>
      </c>
      <c r="N1171" s="327">
        <f>+Table7[[#This Row],[стойност с ДДС]]-Table7[[#This Row],[направено плащане]]</f>
        <v>0</v>
      </c>
      <c r="O1171" s="362"/>
    </row>
    <row r="1172" spans="1:15" ht="20.100000000000001" customHeight="1" x14ac:dyDescent="0.25">
      <c r="A1172" s="151" t="s">
        <v>914</v>
      </c>
      <c r="B1172" s="385" t="s">
        <v>1659</v>
      </c>
      <c r="C1172" s="376">
        <v>45537</v>
      </c>
      <c r="D1172" s="357"/>
      <c r="E1172" s="358" t="s">
        <v>263</v>
      </c>
      <c r="F1172" s="413"/>
      <c r="G1172" s="356"/>
      <c r="H1172" s="359">
        <v>225</v>
      </c>
      <c r="I1172" s="360">
        <v>69.367000000000004</v>
      </c>
      <c r="J1172" s="360">
        <f t="shared" si="187"/>
        <v>15607.575000000001</v>
      </c>
      <c r="K1172" s="361">
        <f t="shared" si="186"/>
        <v>18729.09</v>
      </c>
      <c r="L1172" s="356">
        <v>18729.09</v>
      </c>
      <c r="M1172" s="376">
        <v>45539</v>
      </c>
      <c r="N1172" s="327">
        <f>+Table7[[#This Row],[стойност с ДДС]]-Table7[[#This Row],[направено плащане]]</f>
        <v>0</v>
      </c>
      <c r="O1172" s="362"/>
    </row>
    <row r="1173" spans="1:15" ht="20.100000000000001" customHeight="1" x14ac:dyDescent="0.25">
      <c r="A1173" s="151" t="s">
        <v>413</v>
      </c>
      <c r="B1173" s="385" t="s">
        <v>1660</v>
      </c>
      <c r="C1173" s="376">
        <v>45535</v>
      </c>
      <c r="D1173" s="357"/>
      <c r="E1173" s="391" t="s">
        <v>415</v>
      </c>
      <c r="F1173" s="413"/>
      <c r="G1173" s="356"/>
      <c r="H1173" s="359">
        <v>1533.88</v>
      </c>
      <c r="I1173" s="360">
        <v>1.9562999999999999</v>
      </c>
      <c r="J1173" s="360">
        <f t="shared" si="187"/>
        <v>3000.7294440000001</v>
      </c>
      <c r="K1173" s="361">
        <v>3000.7294440000001</v>
      </c>
      <c r="L1173" s="356">
        <v>3000.7294440000001</v>
      </c>
      <c r="M1173" s="376">
        <v>45548</v>
      </c>
      <c r="N1173" s="327">
        <f>+Table7[[#This Row],[стойност с ДДС]]-Table7[[#This Row],[направено плащане]]</f>
        <v>0</v>
      </c>
      <c r="O1173" s="362"/>
    </row>
    <row r="1174" spans="1:15" ht="20.100000000000001" customHeight="1" x14ac:dyDescent="0.25">
      <c r="A1174" s="151" t="s">
        <v>579</v>
      </c>
      <c r="B1174" s="385" t="s">
        <v>1661</v>
      </c>
      <c r="C1174" s="376">
        <v>45534</v>
      </c>
      <c r="D1174" s="357"/>
      <c r="E1174" s="391" t="s">
        <v>450</v>
      </c>
      <c r="F1174" s="413"/>
      <c r="G1174" s="356"/>
      <c r="H1174" s="359">
        <v>4.79</v>
      </c>
      <c r="I1174" s="360">
        <v>0.39240000000000003</v>
      </c>
      <c r="J1174" s="360">
        <v>1.88</v>
      </c>
      <c r="K1174" s="361">
        <v>1.88</v>
      </c>
      <c r="L1174" s="356">
        <v>1.88</v>
      </c>
      <c r="M1174" s="376">
        <v>45538</v>
      </c>
      <c r="N1174" s="327">
        <f>+Table7[[#This Row],[стойност с ДДС]]-Table7[[#This Row],[направено плащане]]</f>
        <v>0</v>
      </c>
      <c r="O1174" s="362"/>
    </row>
    <row r="1175" spans="1:15" ht="18.75" x14ac:dyDescent="0.3">
      <c r="A1175" s="116" t="s">
        <v>1667</v>
      </c>
      <c r="B1175" s="394" t="s">
        <v>1668</v>
      </c>
      <c r="C1175" s="117">
        <v>45538</v>
      </c>
      <c r="D1175" s="116"/>
      <c r="E1175" s="402" t="s">
        <v>422</v>
      </c>
      <c r="F1175" s="414"/>
      <c r="G1175" s="116"/>
      <c r="H1175" s="141">
        <v>1</v>
      </c>
      <c r="I1175" s="142"/>
      <c r="J1175" s="130">
        <f>ROUND(+H1175*I1175,2)</f>
        <v>0</v>
      </c>
      <c r="K1175" s="130">
        <v>871.04</v>
      </c>
      <c r="L1175" s="129"/>
      <c r="M1175" s="152"/>
      <c r="N1175" s="327">
        <f>+Table7[[#This Row],[стойност с ДДС]]-Table7[[#This Row],[направено плащане]]</f>
        <v>871.04</v>
      </c>
      <c r="O1175" s="209"/>
    </row>
    <row r="1176" spans="1:15" ht="18.75" x14ac:dyDescent="0.3">
      <c r="A1176" s="116" t="s">
        <v>1667</v>
      </c>
      <c r="B1176" s="393" t="s">
        <v>1669</v>
      </c>
      <c r="C1176" s="110">
        <v>45537</v>
      </c>
      <c r="D1176" s="97"/>
      <c r="E1176" s="402" t="s">
        <v>422</v>
      </c>
      <c r="F1176" s="415"/>
      <c r="G1176" s="97"/>
      <c r="H1176" s="113">
        <v>1</v>
      </c>
      <c r="I1176" s="114"/>
      <c r="J1176" s="115">
        <f t="shared" ref="J1176:J1178" si="190">ROUND(+H1176*I1176,2)</f>
        <v>0</v>
      </c>
      <c r="K1176" s="115">
        <v>435.52</v>
      </c>
      <c r="L1176" s="104"/>
      <c r="M1176" s="107"/>
      <c r="N1176" s="327">
        <f>+Table7[[#This Row],[стойност с ДДС]]-Table7[[#This Row],[направено плащане]]</f>
        <v>435.52</v>
      </c>
      <c r="O1176" s="208"/>
    </row>
    <row r="1177" spans="1:15" ht="18.75" x14ac:dyDescent="0.3">
      <c r="A1177" s="116" t="s">
        <v>1667</v>
      </c>
      <c r="B1177" s="393" t="s">
        <v>1670</v>
      </c>
      <c r="C1177" s="110">
        <v>45537</v>
      </c>
      <c r="D1177" s="97"/>
      <c r="E1177" s="402" t="s">
        <v>422</v>
      </c>
      <c r="F1177" s="415"/>
      <c r="G1177" s="97"/>
      <c r="H1177" s="113">
        <v>1</v>
      </c>
      <c r="I1177" s="114"/>
      <c r="J1177" s="115">
        <f t="shared" si="190"/>
        <v>0</v>
      </c>
      <c r="K1177" s="115">
        <v>60</v>
      </c>
      <c r="L1177" s="104"/>
      <c r="M1177" s="107"/>
      <c r="N1177" s="327">
        <f>+Table7[[#This Row],[стойност с ДДС]]-Table7[[#This Row],[направено плащане]]</f>
        <v>60</v>
      </c>
      <c r="O1177" s="208"/>
    </row>
    <row r="1178" spans="1:15" ht="18.75" x14ac:dyDescent="0.3">
      <c r="A1178" s="116" t="s">
        <v>1667</v>
      </c>
      <c r="B1178" s="393" t="s">
        <v>1671</v>
      </c>
      <c r="C1178" s="110">
        <v>45538</v>
      </c>
      <c r="D1178" s="97"/>
      <c r="E1178" s="402" t="s">
        <v>422</v>
      </c>
      <c r="F1178" s="415"/>
      <c r="G1178" s="97"/>
      <c r="H1178" s="113">
        <v>1</v>
      </c>
      <c r="I1178" s="114"/>
      <c r="J1178" s="115">
        <f t="shared" si="190"/>
        <v>0</v>
      </c>
      <c r="K1178" s="115">
        <v>120</v>
      </c>
      <c r="L1178" s="104"/>
      <c r="M1178" s="107"/>
      <c r="N1178" s="327">
        <f>+Table7[[#This Row],[стойност с ДДС]]-Table7[[#This Row],[направено плащане]]</f>
        <v>120</v>
      </c>
      <c r="O1178" s="208"/>
    </row>
    <row r="1179" spans="1:15" ht="20.100000000000001" customHeight="1" x14ac:dyDescent="0.25">
      <c r="A1179" s="151" t="s">
        <v>780</v>
      </c>
      <c r="B1179" s="385" t="s">
        <v>1672</v>
      </c>
      <c r="C1179" s="376">
        <v>45538</v>
      </c>
      <c r="D1179" s="357"/>
      <c r="E1179" s="402" t="s">
        <v>422</v>
      </c>
      <c r="F1179" s="413"/>
      <c r="G1179" s="356"/>
      <c r="H1179" s="113">
        <v>1</v>
      </c>
      <c r="I1179" s="360"/>
      <c r="J1179" s="360">
        <f t="shared" ref="J1179:J1180" si="191">I1179*H1179</f>
        <v>0</v>
      </c>
      <c r="K1179" s="361">
        <v>21</v>
      </c>
      <c r="L1179" s="356"/>
      <c r="M1179" s="376"/>
      <c r="N1179" s="327">
        <f>+Table7[[#This Row],[стойност с ДДС]]-Table7[[#This Row],[направено плащане]]</f>
        <v>21</v>
      </c>
      <c r="O1179" s="362"/>
    </row>
    <row r="1180" spans="1:15" ht="20.100000000000001" customHeight="1" x14ac:dyDescent="0.25">
      <c r="A1180" s="151" t="s">
        <v>101</v>
      </c>
      <c r="B1180" s="385" t="s">
        <v>1673</v>
      </c>
      <c r="C1180" s="376">
        <v>45535</v>
      </c>
      <c r="D1180" s="357"/>
      <c r="E1180" s="358" t="s">
        <v>131</v>
      </c>
      <c r="F1180" s="413"/>
      <c r="G1180" s="356"/>
      <c r="H1180" s="359">
        <v>100</v>
      </c>
      <c r="I1180" s="360">
        <v>60</v>
      </c>
      <c r="J1180" s="360">
        <f t="shared" si="191"/>
        <v>6000</v>
      </c>
      <c r="K1180" s="361">
        <f t="shared" ref="K1180" si="192">J1180*1.2</f>
        <v>7200</v>
      </c>
      <c r="L1180" s="356">
        <v>7200</v>
      </c>
      <c r="M1180" s="376">
        <v>45540</v>
      </c>
      <c r="N1180" s="327">
        <f>+Table7[[#This Row],[стойност с ДДС]]-Table7[[#This Row],[направено плащане]]</f>
        <v>0</v>
      </c>
      <c r="O1180" s="362"/>
    </row>
    <row r="1181" spans="1:15" ht="20.100000000000001" customHeight="1" x14ac:dyDescent="0.25">
      <c r="A1181" s="206" t="s">
        <v>37</v>
      </c>
      <c r="B1181" s="389" t="s">
        <v>1674</v>
      </c>
      <c r="C1181" s="377">
        <v>45537</v>
      </c>
      <c r="D1181" s="369"/>
      <c r="E1181" s="358" t="s">
        <v>131</v>
      </c>
      <c r="F1181" s="416">
        <v>161108</v>
      </c>
      <c r="G1181" s="368"/>
      <c r="H1181" s="359">
        <v>200</v>
      </c>
      <c r="I1181" s="360">
        <v>62.5</v>
      </c>
      <c r="J1181" s="360">
        <f t="shared" ref="J1181" si="193">I1181*H1181</f>
        <v>12500</v>
      </c>
      <c r="K1181" s="361">
        <f t="shared" ref="K1181" si="194">J1181*1.2</f>
        <v>15000</v>
      </c>
      <c r="L1181" s="356">
        <v>15000</v>
      </c>
      <c r="M1181" s="376">
        <v>45540</v>
      </c>
      <c r="N1181" s="327">
        <f>+Table7[[#This Row],[стойност с ДДС]]-Table7[[#This Row],[направено плащане]]</f>
        <v>0</v>
      </c>
      <c r="O1181" s="370"/>
    </row>
    <row r="1182" spans="1:15" ht="20.100000000000001" customHeight="1" x14ac:dyDescent="0.25">
      <c r="A1182" s="206" t="s">
        <v>235</v>
      </c>
      <c r="B1182" s="403">
        <v>961681</v>
      </c>
      <c r="C1182" s="377"/>
      <c r="D1182" s="369"/>
      <c r="E1182" s="404" t="s">
        <v>263</v>
      </c>
      <c r="F1182" s="416"/>
      <c r="G1182" s="368"/>
      <c r="H1182" s="405">
        <v>0</v>
      </c>
      <c r="I1182" s="406"/>
      <c r="J1182" s="406">
        <f t="shared" ref="J1182:J1189" si="195">I1182*H1182</f>
        <v>0</v>
      </c>
      <c r="K1182" s="407">
        <f t="shared" ref="K1182:K1189" si="196">J1182*1.2</f>
        <v>0</v>
      </c>
      <c r="L1182" s="368"/>
      <c r="M1182" s="377"/>
      <c r="N1182" s="368">
        <f>+Table7[[#This Row],[стойност с ДДС]]-Table7[[#This Row],[направено плащане]]</f>
        <v>0</v>
      </c>
      <c r="O1182" s="370"/>
    </row>
    <row r="1183" spans="1:15" ht="20.100000000000001" customHeight="1" x14ac:dyDescent="0.25">
      <c r="A1183" s="206" t="s">
        <v>1396</v>
      </c>
      <c r="B1183" s="403">
        <v>8001967259</v>
      </c>
      <c r="C1183" s="377">
        <v>45538</v>
      </c>
      <c r="D1183" s="369"/>
      <c r="E1183" s="408" t="s">
        <v>422</v>
      </c>
      <c r="F1183" s="416"/>
      <c r="G1183" s="368"/>
      <c r="H1183" s="405">
        <v>1</v>
      </c>
      <c r="I1183" s="406">
        <v>25.97</v>
      </c>
      <c r="J1183" s="406">
        <f t="shared" si="195"/>
        <v>25.97</v>
      </c>
      <c r="K1183" s="407">
        <f t="shared" si="196"/>
        <v>31.163999999999998</v>
      </c>
      <c r="L1183" s="368"/>
      <c r="M1183" s="377"/>
      <c r="N1183" s="368">
        <f>+Table7[[#This Row],[стойност с ДДС]]-Table7[[#This Row],[направено плащане]]</f>
        <v>31.163999999999998</v>
      </c>
      <c r="O1183" s="370"/>
    </row>
    <row r="1184" spans="1:15" ht="20.100000000000001" customHeight="1" x14ac:dyDescent="0.25">
      <c r="A1184" s="206" t="s">
        <v>1396</v>
      </c>
      <c r="B1184" s="384">
        <v>8001967260</v>
      </c>
      <c r="C1184" s="376">
        <v>45538</v>
      </c>
      <c r="D1184" s="357"/>
      <c r="E1184" s="408" t="s">
        <v>422</v>
      </c>
      <c r="F1184" s="413"/>
      <c r="G1184" s="356"/>
      <c r="H1184" s="359">
        <v>1</v>
      </c>
      <c r="I1184" s="360">
        <v>158.12</v>
      </c>
      <c r="J1184" s="360">
        <f t="shared" si="195"/>
        <v>158.12</v>
      </c>
      <c r="K1184" s="361">
        <f t="shared" si="196"/>
        <v>189.744</v>
      </c>
      <c r="L1184" s="356"/>
      <c r="M1184" s="376"/>
      <c r="N1184" s="356">
        <f>+Table7[[#This Row],[стойност с ДДС]]-Table7[[#This Row],[направено плащане]]</f>
        <v>189.744</v>
      </c>
      <c r="O1184" s="362"/>
    </row>
    <row r="1185" spans="1:15" ht="20.100000000000001" customHeight="1" x14ac:dyDescent="0.25">
      <c r="A1185" s="206" t="s">
        <v>118</v>
      </c>
      <c r="B1185" s="389" t="s">
        <v>1675</v>
      </c>
      <c r="C1185" s="377">
        <v>45537</v>
      </c>
      <c r="D1185" s="369"/>
      <c r="E1185" s="404" t="s">
        <v>131</v>
      </c>
      <c r="F1185" s="416"/>
      <c r="G1185" s="368"/>
      <c r="H1185" s="405">
        <v>50</v>
      </c>
      <c r="I1185" s="406">
        <v>61</v>
      </c>
      <c r="J1185" s="406">
        <f t="shared" si="195"/>
        <v>3050</v>
      </c>
      <c r="K1185" s="407">
        <f t="shared" si="196"/>
        <v>3660</v>
      </c>
      <c r="L1185" s="368">
        <v>3660</v>
      </c>
      <c r="M1185" s="377">
        <v>45540</v>
      </c>
      <c r="N1185" s="368">
        <f>+Table7[[#This Row],[стойност с ДДС]]-Table7[[#This Row],[направено плащане]]</f>
        <v>0</v>
      </c>
      <c r="O1185" s="370"/>
    </row>
    <row r="1186" spans="1:15" ht="20.100000000000001" customHeight="1" x14ac:dyDescent="0.25">
      <c r="A1186" s="206" t="s">
        <v>101</v>
      </c>
      <c r="B1186" s="403">
        <v>2527</v>
      </c>
      <c r="C1186" s="377">
        <v>45537</v>
      </c>
      <c r="D1186" s="369"/>
      <c r="E1186" s="404" t="s">
        <v>131</v>
      </c>
      <c r="F1186" s="416"/>
      <c r="G1186" s="368"/>
      <c r="H1186" s="405">
        <v>100</v>
      </c>
      <c r="I1186" s="406">
        <v>63</v>
      </c>
      <c r="J1186" s="406">
        <f t="shared" si="195"/>
        <v>6300</v>
      </c>
      <c r="K1186" s="407">
        <f t="shared" si="196"/>
        <v>7560</v>
      </c>
      <c r="L1186" s="368">
        <v>7560</v>
      </c>
      <c r="M1186" s="377">
        <v>45540</v>
      </c>
      <c r="N1186" s="368">
        <f>+Table7[[#This Row],[стойност с ДДС]]-Table7[[#This Row],[направено плащане]]</f>
        <v>0</v>
      </c>
      <c r="O1186" s="370"/>
    </row>
    <row r="1187" spans="1:15" ht="20.100000000000001" customHeight="1" x14ac:dyDescent="0.25">
      <c r="A1187" s="206" t="s">
        <v>99</v>
      </c>
      <c r="B1187" s="403">
        <v>40000684</v>
      </c>
      <c r="C1187" s="377">
        <v>45539</v>
      </c>
      <c r="D1187" s="369"/>
      <c r="E1187" s="408" t="s">
        <v>343</v>
      </c>
      <c r="F1187" s="416"/>
      <c r="G1187" s="368"/>
      <c r="H1187" s="405">
        <v>94</v>
      </c>
      <c r="I1187" s="406">
        <v>1395.4749999999999</v>
      </c>
      <c r="J1187" s="406">
        <f t="shared" si="195"/>
        <v>131174.65</v>
      </c>
      <c r="K1187" s="407">
        <f t="shared" si="196"/>
        <v>157409.57999999999</v>
      </c>
      <c r="L1187" s="368">
        <v>157409.57999999999</v>
      </c>
      <c r="M1187" s="377">
        <v>45544</v>
      </c>
      <c r="N1187" s="368">
        <f>+Table7[[#This Row],[стойност с ДДС]]-Table7[[#This Row],[направено плащане]]</f>
        <v>0</v>
      </c>
      <c r="O1187" s="370"/>
    </row>
    <row r="1188" spans="1:15" ht="20.100000000000001" customHeight="1" x14ac:dyDescent="0.25">
      <c r="A1188" s="206" t="s">
        <v>99</v>
      </c>
      <c r="B1188" s="403">
        <v>40000684</v>
      </c>
      <c r="C1188" s="376">
        <v>45539</v>
      </c>
      <c r="D1188" s="369"/>
      <c r="E1188" s="408" t="s">
        <v>343</v>
      </c>
      <c r="F1188" s="416"/>
      <c r="G1188" s="368"/>
      <c r="H1188" s="405">
        <v>49276</v>
      </c>
      <c r="I1188" s="406">
        <v>0.33</v>
      </c>
      <c r="J1188" s="406">
        <f t="shared" si="195"/>
        <v>16261.08</v>
      </c>
      <c r="K1188" s="407">
        <f t="shared" si="196"/>
        <v>19513.295999999998</v>
      </c>
      <c r="L1188" s="368">
        <v>19513.295999999998</v>
      </c>
      <c r="M1188" s="377">
        <v>45544</v>
      </c>
      <c r="N1188" s="368">
        <f>+Table7[[#This Row],[стойност с ДДС]]-Table7[[#This Row],[направено плащане]]</f>
        <v>0</v>
      </c>
      <c r="O1188" s="370"/>
    </row>
    <row r="1189" spans="1:15" ht="20.100000000000001" customHeight="1" x14ac:dyDescent="0.25">
      <c r="A1189" s="206" t="s">
        <v>99</v>
      </c>
      <c r="B1189" s="384">
        <v>40000673</v>
      </c>
      <c r="C1189" s="377">
        <v>45539</v>
      </c>
      <c r="D1189" s="357"/>
      <c r="E1189" s="404" t="s">
        <v>121</v>
      </c>
      <c r="F1189" s="413"/>
      <c r="G1189" s="356"/>
      <c r="H1189" s="359">
        <v>400</v>
      </c>
      <c r="I1189" s="360">
        <v>1.0900000000000001</v>
      </c>
      <c r="J1189" s="360">
        <f t="shared" si="195"/>
        <v>436.00000000000006</v>
      </c>
      <c r="K1189" s="361">
        <f t="shared" si="196"/>
        <v>523.20000000000005</v>
      </c>
      <c r="L1189" s="356">
        <v>523.20000000000005</v>
      </c>
      <c r="M1189" s="377">
        <v>45544</v>
      </c>
      <c r="N1189" s="356">
        <f>+Table7[[#This Row],[стойност с ДДС]]-Table7[[#This Row],[направено плащане]]</f>
        <v>0</v>
      </c>
      <c r="O1189" s="362"/>
    </row>
    <row r="1190" spans="1:15" ht="20.100000000000001" customHeight="1" x14ac:dyDescent="0.25">
      <c r="A1190" s="151" t="s">
        <v>99</v>
      </c>
      <c r="B1190" s="384">
        <v>40000673</v>
      </c>
      <c r="C1190" s="376">
        <v>45539</v>
      </c>
      <c r="D1190" s="357"/>
      <c r="E1190" s="358" t="s">
        <v>120</v>
      </c>
      <c r="F1190" s="413"/>
      <c r="G1190" s="356"/>
      <c r="H1190" s="359">
        <v>2635.9870000000001</v>
      </c>
      <c r="I1190" s="360">
        <v>1.0900000000000001</v>
      </c>
      <c r="J1190" s="360">
        <f t="shared" ref="J1190:J1191" si="197">I1190*H1190</f>
        <v>2873.2258300000003</v>
      </c>
      <c r="K1190" s="361">
        <f t="shared" ref="K1190:K1191" si="198">J1190*1.2</f>
        <v>3447.8709960000001</v>
      </c>
      <c r="L1190" s="356">
        <v>3447.8709960000001</v>
      </c>
      <c r="M1190" s="377">
        <v>45544</v>
      </c>
      <c r="N1190" s="356">
        <f>+Table7[[#This Row],[стойност с ДДС]]-Table7[[#This Row],[направено плащане]]</f>
        <v>0</v>
      </c>
      <c r="O1190" s="362"/>
    </row>
    <row r="1191" spans="1:15" ht="20.100000000000001" customHeight="1" x14ac:dyDescent="0.25">
      <c r="A1191" s="206" t="s">
        <v>99</v>
      </c>
      <c r="B1191" s="403">
        <v>40000673</v>
      </c>
      <c r="C1191" s="377">
        <v>45539</v>
      </c>
      <c r="D1191" s="369"/>
      <c r="E1191" s="404" t="s">
        <v>54</v>
      </c>
      <c r="F1191" s="416"/>
      <c r="G1191" s="368"/>
      <c r="H1191" s="405">
        <v>68281.432000000001</v>
      </c>
      <c r="I1191" s="406">
        <v>0.6</v>
      </c>
      <c r="J1191" s="406">
        <f t="shared" si="197"/>
        <v>40968.859199999999</v>
      </c>
      <c r="K1191" s="407">
        <f t="shared" si="198"/>
        <v>49162.63104</v>
      </c>
      <c r="L1191" s="368">
        <v>49162.63104</v>
      </c>
      <c r="M1191" s="377">
        <v>45544</v>
      </c>
      <c r="N1191" s="368">
        <f>+Table7[[#This Row],[стойност с ДДС]]-Table7[[#This Row],[направено плащане]]</f>
        <v>0</v>
      </c>
      <c r="O1191" s="370"/>
    </row>
    <row r="1192" spans="1:15" ht="20.100000000000001" customHeight="1" x14ac:dyDescent="0.25">
      <c r="A1192" s="206" t="s">
        <v>159</v>
      </c>
      <c r="B1192" s="403" t="s">
        <v>1676</v>
      </c>
      <c r="C1192" s="377">
        <v>45539</v>
      </c>
      <c r="D1192" s="369"/>
      <c r="E1192" s="404" t="s">
        <v>131</v>
      </c>
      <c r="F1192" s="416"/>
      <c r="G1192" s="368"/>
      <c r="H1192" s="405">
        <v>21700</v>
      </c>
      <c r="I1192" s="406">
        <f>28.1*1.9563</f>
        <v>54.972030000000004</v>
      </c>
      <c r="J1192" s="406">
        <f>I1192*H1192</f>
        <v>1192893.051</v>
      </c>
      <c r="K1192" s="407"/>
      <c r="L1192" s="368"/>
      <c r="M1192" s="377"/>
      <c r="N1192" s="368">
        <f>+Table7[[#This Row],[стойност с ДДС]]-Table7[[#This Row],[направено плащане]]</f>
        <v>0</v>
      </c>
      <c r="O1192" s="370"/>
    </row>
    <row r="1193" spans="1:15" ht="20.100000000000001" customHeight="1" x14ac:dyDescent="0.25">
      <c r="A1193" s="206" t="s">
        <v>543</v>
      </c>
      <c r="B1193" s="403">
        <v>500190411</v>
      </c>
      <c r="C1193" s="377">
        <v>45544</v>
      </c>
      <c r="D1193" s="369"/>
      <c r="E1193" s="408" t="s">
        <v>422</v>
      </c>
      <c r="F1193" s="416" t="s">
        <v>1677</v>
      </c>
      <c r="G1193" s="368"/>
      <c r="H1193" s="405">
        <v>1</v>
      </c>
      <c r="I1193" s="406">
        <v>30</v>
      </c>
      <c r="J1193" s="406">
        <f>I1193*H1193</f>
        <v>30</v>
      </c>
      <c r="K1193" s="407">
        <f>J1193*1.2</f>
        <v>36</v>
      </c>
      <c r="L1193" s="407">
        <f>K1193*1.2</f>
        <v>43.199999999999996</v>
      </c>
      <c r="M1193" s="377">
        <v>45545</v>
      </c>
      <c r="N1193" s="368">
        <f>+Table7[[#This Row],[стойност с ДДС]]-Table7[[#This Row],[направено плащане]]</f>
        <v>-7.1999999999999957</v>
      </c>
      <c r="O1193" s="370"/>
    </row>
    <row r="1194" spans="1:15" ht="20.100000000000001" customHeight="1" x14ac:dyDescent="0.25">
      <c r="A1194" s="206" t="s">
        <v>37</v>
      </c>
      <c r="B1194" s="403">
        <v>8000002236</v>
      </c>
      <c r="C1194" s="377">
        <v>45540</v>
      </c>
      <c r="D1194" s="369"/>
      <c r="E1194" s="404" t="s">
        <v>131</v>
      </c>
      <c r="F1194" s="416">
        <v>161460</v>
      </c>
      <c r="G1194" s="368"/>
      <c r="H1194" s="405">
        <v>1500</v>
      </c>
      <c r="I1194" s="406">
        <v>59</v>
      </c>
      <c r="J1194" s="406">
        <f>I1194*H1194</f>
        <v>88500</v>
      </c>
      <c r="K1194" s="407">
        <f>J1194*1.2</f>
        <v>106200</v>
      </c>
      <c r="L1194" s="368">
        <v>106200</v>
      </c>
      <c r="M1194" s="376">
        <v>45546</v>
      </c>
      <c r="N1194" s="368">
        <f>+Table7[[#This Row],[стойност с ДДС]]-Table7[[#This Row],[направено плащане]]</f>
        <v>0</v>
      </c>
      <c r="O1194" s="370"/>
    </row>
    <row r="1195" spans="1:15" ht="20.100000000000001" customHeight="1" x14ac:dyDescent="0.25">
      <c r="A1195" s="151" t="s">
        <v>37</v>
      </c>
      <c r="B1195" s="384">
        <v>8000002236</v>
      </c>
      <c r="C1195" s="376">
        <v>45540</v>
      </c>
      <c r="D1195" s="357"/>
      <c r="E1195" s="358" t="s">
        <v>131</v>
      </c>
      <c r="F1195" s="413">
        <v>161471</v>
      </c>
      <c r="G1195" s="356"/>
      <c r="H1195" s="359">
        <v>900</v>
      </c>
      <c r="I1195" s="360">
        <v>58.6</v>
      </c>
      <c r="J1195" s="360">
        <f t="shared" ref="J1195:J1196" si="199">I1195*H1195</f>
        <v>52740</v>
      </c>
      <c r="K1195" s="361">
        <f t="shared" ref="K1195:K1196" si="200">J1195*1.2</f>
        <v>63288</v>
      </c>
      <c r="L1195" s="356">
        <v>63288</v>
      </c>
      <c r="M1195" s="376">
        <v>45546</v>
      </c>
      <c r="N1195" s="356">
        <f>+Table7[[#This Row],[стойност с ДДС]]-Table7[[#This Row],[направено плащане]]</f>
        <v>0</v>
      </c>
      <c r="O1195" s="362"/>
    </row>
    <row r="1196" spans="1:15" ht="20.100000000000001" customHeight="1" x14ac:dyDescent="0.25">
      <c r="A1196" s="206" t="s">
        <v>37</v>
      </c>
      <c r="B1196" s="403">
        <v>8000002236</v>
      </c>
      <c r="C1196" s="377">
        <v>45540</v>
      </c>
      <c r="D1196" s="369"/>
      <c r="E1196" s="404" t="s">
        <v>131</v>
      </c>
      <c r="F1196" s="416">
        <v>161479</v>
      </c>
      <c r="G1196" s="368"/>
      <c r="H1196" s="405">
        <v>900</v>
      </c>
      <c r="I1196" s="406">
        <v>58</v>
      </c>
      <c r="J1196" s="406">
        <f t="shared" si="199"/>
        <v>52200</v>
      </c>
      <c r="K1196" s="407">
        <f t="shared" si="200"/>
        <v>62640</v>
      </c>
      <c r="L1196" s="368">
        <v>62640</v>
      </c>
      <c r="M1196" s="376">
        <v>45546</v>
      </c>
      <c r="N1196" s="368">
        <f>+Table7[[#This Row],[стойност с ДДС]]-Table7[[#This Row],[направено плащане]]</f>
        <v>0</v>
      </c>
      <c r="O1196" s="370"/>
    </row>
    <row r="1197" spans="1:15" ht="20.100000000000001" customHeight="1" x14ac:dyDescent="0.25">
      <c r="A1197" s="206" t="s">
        <v>159</v>
      </c>
      <c r="B1197" s="403" t="s">
        <v>1678</v>
      </c>
      <c r="C1197" s="377">
        <v>45543</v>
      </c>
      <c r="D1197" s="369"/>
      <c r="E1197" s="404" t="s">
        <v>131</v>
      </c>
      <c r="F1197" s="416">
        <v>161606</v>
      </c>
      <c r="G1197" s="368"/>
      <c r="H1197" s="405">
        <v>850</v>
      </c>
      <c r="I1197" s="406">
        <f>30.42187*1.9563</f>
        <v>59.514304280999994</v>
      </c>
      <c r="J1197" s="406">
        <f t="shared" ref="J1197:J1199" si="201">I1197*H1197</f>
        <v>50587.158638849993</v>
      </c>
      <c r="K1197" s="407">
        <v>50587.158638849993</v>
      </c>
      <c r="L1197" s="368">
        <v>50587.158638849993</v>
      </c>
      <c r="M1197" s="377">
        <v>45547</v>
      </c>
      <c r="N1197" s="368">
        <f>+Table7[[#This Row],[стойност с ДДС]]-Table7[[#This Row],[направено плащане]]</f>
        <v>0</v>
      </c>
      <c r="O1197" s="370"/>
    </row>
    <row r="1198" spans="1:15" ht="20.100000000000001" customHeight="1" x14ac:dyDescent="0.25">
      <c r="A1198" s="151" t="s">
        <v>159</v>
      </c>
      <c r="B1198" s="384" t="s">
        <v>1678</v>
      </c>
      <c r="C1198" s="376">
        <v>45543</v>
      </c>
      <c r="D1198" s="357"/>
      <c r="E1198" s="358" t="s">
        <v>131</v>
      </c>
      <c r="F1198" s="413">
        <v>161616</v>
      </c>
      <c r="G1198" s="356"/>
      <c r="H1198" s="359">
        <v>300</v>
      </c>
      <c r="I1198" s="360">
        <f>30.16622*1.9563</f>
        <v>59.014176185999993</v>
      </c>
      <c r="J1198" s="406">
        <f t="shared" si="201"/>
        <v>17704.252855799998</v>
      </c>
      <c r="K1198" s="407">
        <v>17704.252855799998</v>
      </c>
      <c r="L1198" s="368">
        <v>17704.252855799998</v>
      </c>
      <c r="M1198" s="377">
        <v>45547</v>
      </c>
      <c r="N1198" s="368">
        <f>+Table7[[#This Row],[стойност с ДДС]]-Table7[[#This Row],[направено плащане]]</f>
        <v>0</v>
      </c>
      <c r="O1198" s="362"/>
    </row>
    <row r="1199" spans="1:15" ht="20.100000000000001" customHeight="1" x14ac:dyDescent="0.25">
      <c r="A1199" s="206" t="s">
        <v>159</v>
      </c>
      <c r="B1199" s="403" t="s">
        <v>1678</v>
      </c>
      <c r="C1199" s="377">
        <v>45543</v>
      </c>
      <c r="D1199" s="369"/>
      <c r="E1199" s="404" t="s">
        <v>131</v>
      </c>
      <c r="F1199" s="416">
        <v>161657</v>
      </c>
      <c r="G1199" s="368"/>
      <c r="H1199" s="405">
        <v>50</v>
      </c>
      <c r="I1199" s="406">
        <f>29.88501*1.9563</f>
        <v>58.464045063</v>
      </c>
      <c r="J1199" s="406">
        <f t="shared" si="201"/>
        <v>2923.2022531500002</v>
      </c>
      <c r="K1199" s="407">
        <v>2923.2022531500002</v>
      </c>
      <c r="L1199" s="368">
        <v>2923.2022531500002</v>
      </c>
      <c r="M1199" s="377">
        <v>45547</v>
      </c>
      <c r="N1199" s="368">
        <f>+Table7[[#This Row],[стойност с ДДС]]-Table7[[#This Row],[направено плащане]]</f>
        <v>0</v>
      </c>
      <c r="O1199" s="370"/>
    </row>
    <row r="1200" spans="1:15" ht="20.100000000000001" customHeight="1" x14ac:dyDescent="0.25">
      <c r="A1200" s="206" t="s">
        <v>118</v>
      </c>
      <c r="B1200" s="403">
        <v>3800</v>
      </c>
      <c r="C1200" s="377">
        <v>45538</v>
      </c>
      <c r="D1200" s="369"/>
      <c r="E1200" s="404" t="s">
        <v>131</v>
      </c>
      <c r="F1200" s="416">
        <v>161367</v>
      </c>
      <c r="G1200" s="368"/>
      <c r="H1200" s="405">
        <v>100</v>
      </c>
      <c r="I1200" s="406">
        <v>63</v>
      </c>
      <c r="J1200" s="406">
        <f t="shared" ref="J1200:J1205" si="202">I1200*H1200</f>
        <v>6300</v>
      </c>
      <c r="K1200" s="407">
        <f t="shared" ref="K1200:K1205" si="203">J1200*1.2</f>
        <v>7560</v>
      </c>
      <c r="L1200" s="368">
        <v>7560</v>
      </c>
      <c r="M1200" s="377">
        <v>45545</v>
      </c>
      <c r="N1200" s="368">
        <f>+Table7[[#This Row],[стойност с ДДС]]-Table7[[#This Row],[направено плащане]]</f>
        <v>0</v>
      </c>
      <c r="O1200" s="370"/>
    </row>
    <row r="1201" spans="1:15" ht="20.100000000000001" customHeight="1" x14ac:dyDescent="0.25">
      <c r="A1201" s="206" t="s">
        <v>118</v>
      </c>
      <c r="B1201" s="384">
        <v>3818</v>
      </c>
      <c r="C1201" s="376">
        <v>45540</v>
      </c>
      <c r="D1201" s="357"/>
      <c r="E1201" s="404" t="s">
        <v>131</v>
      </c>
      <c r="F1201" s="413" t="s">
        <v>1679</v>
      </c>
      <c r="G1201" s="356"/>
      <c r="H1201" s="359">
        <v>50</v>
      </c>
      <c r="I1201" s="360">
        <v>60</v>
      </c>
      <c r="J1201" s="360">
        <f t="shared" si="202"/>
        <v>3000</v>
      </c>
      <c r="K1201" s="361">
        <f t="shared" si="203"/>
        <v>3600</v>
      </c>
      <c r="L1201" s="356">
        <v>3600</v>
      </c>
      <c r="M1201" s="377">
        <v>45547</v>
      </c>
      <c r="N1201" s="356">
        <f>+Table7[[#This Row],[стойност с ДДС]]-Table7[[#This Row],[направено плащане]]</f>
        <v>0</v>
      </c>
      <c r="O1201" s="362"/>
    </row>
    <row r="1202" spans="1:15" ht="20.100000000000001" customHeight="1" x14ac:dyDescent="0.25">
      <c r="A1202" s="206" t="s">
        <v>118</v>
      </c>
      <c r="B1202" s="403">
        <v>3818</v>
      </c>
      <c r="C1202" s="377">
        <v>45540</v>
      </c>
      <c r="D1202" s="369"/>
      <c r="E1202" s="404" t="s">
        <v>131</v>
      </c>
      <c r="F1202" s="416" t="s">
        <v>1680</v>
      </c>
      <c r="G1202" s="368"/>
      <c r="H1202" s="405">
        <v>40</v>
      </c>
      <c r="I1202" s="406">
        <v>59</v>
      </c>
      <c r="J1202" s="406">
        <f t="shared" si="202"/>
        <v>2360</v>
      </c>
      <c r="K1202" s="407">
        <f t="shared" si="203"/>
        <v>2832</v>
      </c>
      <c r="L1202" s="368">
        <v>2832</v>
      </c>
      <c r="M1202" s="377">
        <v>45547</v>
      </c>
      <c r="N1202" s="368">
        <f>+Table7[[#This Row],[стойност с ДДС]]-Table7[[#This Row],[направено плащане]]</f>
        <v>0</v>
      </c>
      <c r="O1202" s="370"/>
    </row>
    <row r="1203" spans="1:15" ht="20.100000000000001" customHeight="1" x14ac:dyDescent="0.25">
      <c r="A1203" s="206" t="s">
        <v>118</v>
      </c>
      <c r="B1203" s="384">
        <v>3833</v>
      </c>
      <c r="C1203" s="376">
        <v>45542</v>
      </c>
      <c r="D1203" s="357"/>
      <c r="E1203" s="404" t="s">
        <v>131</v>
      </c>
      <c r="F1203" s="413" t="s">
        <v>1681</v>
      </c>
      <c r="G1203" s="356"/>
      <c r="H1203" s="359">
        <v>30</v>
      </c>
      <c r="I1203" s="360">
        <v>57</v>
      </c>
      <c r="J1203" s="360">
        <f t="shared" si="202"/>
        <v>1710</v>
      </c>
      <c r="K1203" s="361">
        <f t="shared" si="203"/>
        <v>2052</v>
      </c>
      <c r="L1203" s="356">
        <v>2052</v>
      </c>
      <c r="M1203" s="377">
        <v>45547</v>
      </c>
      <c r="N1203" s="356">
        <f>+Table7[[#This Row],[стойност с ДДС]]-Table7[[#This Row],[направено плащане]]</f>
        <v>0</v>
      </c>
      <c r="O1203" s="362"/>
    </row>
    <row r="1204" spans="1:15" ht="20.100000000000001" customHeight="1" x14ac:dyDescent="0.25">
      <c r="A1204" s="206" t="s">
        <v>118</v>
      </c>
      <c r="B1204" s="403">
        <v>3829</v>
      </c>
      <c r="C1204" s="377">
        <v>45541</v>
      </c>
      <c r="D1204" s="369"/>
      <c r="E1204" s="404" t="s">
        <v>131</v>
      </c>
      <c r="F1204" s="416" t="s">
        <v>1682</v>
      </c>
      <c r="G1204" s="368"/>
      <c r="H1204" s="405">
        <v>100</v>
      </c>
      <c r="I1204" s="406">
        <v>59</v>
      </c>
      <c r="J1204" s="406">
        <f t="shared" si="202"/>
        <v>5900</v>
      </c>
      <c r="K1204" s="407">
        <f t="shared" si="203"/>
        <v>7080</v>
      </c>
      <c r="L1204" s="368">
        <v>7080</v>
      </c>
      <c r="M1204" s="377">
        <v>45547</v>
      </c>
      <c r="N1204" s="368">
        <f>+Table7[[#This Row],[стойност с ДДС]]-Table7[[#This Row],[направено плащане]]</f>
        <v>0</v>
      </c>
      <c r="O1204" s="370"/>
    </row>
    <row r="1205" spans="1:15" ht="20.100000000000001" customHeight="1" x14ac:dyDescent="0.25">
      <c r="A1205" s="206" t="s">
        <v>118</v>
      </c>
      <c r="B1205" s="403">
        <v>3829</v>
      </c>
      <c r="C1205" s="377">
        <v>45541</v>
      </c>
      <c r="D1205" s="369"/>
      <c r="E1205" s="404" t="s">
        <v>131</v>
      </c>
      <c r="F1205" s="416" t="s">
        <v>1683</v>
      </c>
      <c r="G1205" s="368"/>
      <c r="H1205" s="405">
        <v>100</v>
      </c>
      <c r="I1205" s="406">
        <v>59.5</v>
      </c>
      <c r="J1205" s="406">
        <f t="shared" si="202"/>
        <v>5950</v>
      </c>
      <c r="K1205" s="407">
        <f t="shared" si="203"/>
        <v>7140</v>
      </c>
      <c r="L1205" s="368">
        <v>7140</v>
      </c>
      <c r="M1205" s="377">
        <v>45547</v>
      </c>
      <c r="N1205" s="368">
        <f>+Table7[[#This Row],[стойност с ДДС]]-Table7[[#This Row],[направено плащане]]</f>
        <v>0</v>
      </c>
      <c r="O1205" s="370"/>
    </row>
    <row r="1206" spans="1:15" ht="20.100000000000001" customHeight="1" x14ac:dyDescent="0.25">
      <c r="A1206" s="206" t="s">
        <v>448</v>
      </c>
      <c r="B1206" s="403">
        <v>2739</v>
      </c>
      <c r="C1206" s="377">
        <v>45535</v>
      </c>
      <c r="D1206" s="369"/>
      <c r="E1206" s="404" t="s">
        <v>263</v>
      </c>
      <c r="F1206" s="416"/>
      <c r="G1206" s="368"/>
      <c r="H1206" s="405"/>
      <c r="I1206" s="406"/>
      <c r="J1206" s="406">
        <v>294.75</v>
      </c>
      <c r="K1206" s="407">
        <v>294.75</v>
      </c>
      <c r="L1206" s="368">
        <v>294.75</v>
      </c>
      <c r="M1206" s="377">
        <v>45545</v>
      </c>
      <c r="N1206" s="368">
        <f>+Table7[[#This Row],[стойност с ДДС]]-Table7[[#This Row],[направено плащане]]</f>
        <v>0</v>
      </c>
      <c r="O1206" s="370"/>
    </row>
    <row r="1207" spans="1:15" ht="20.100000000000001" customHeight="1" x14ac:dyDescent="0.25">
      <c r="A1207" s="206" t="s">
        <v>268</v>
      </c>
      <c r="B1207" s="403">
        <v>2000001135</v>
      </c>
      <c r="C1207" s="377">
        <v>45540</v>
      </c>
      <c r="D1207" s="369"/>
      <c r="E1207" s="404" t="s">
        <v>263</v>
      </c>
      <c r="F1207" s="416"/>
      <c r="G1207" s="368"/>
      <c r="H1207" s="405"/>
      <c r="I1207" s="406"/>
      <c r="J1207" s="406">
        <f t="shared" ref="J1207:J1214" si="204">I1207*H1207</f>
        <v>0</v>
      </c>
      <c r="K1207" s="407">
        <f t="shared" ref="K1207:K1216" si="205">J1207*1.2</f>
        <v>0</v>
      </c>
      <c r="L1207" s="368"/>
      <c r="M1207" s="377"/>
      <c r="N1207" s="368">
        <f>+Table7[[#This Row],[стойност с ДДС]]-Table7[[#This Row],[направено плащане]]</f>
        <v>0</v>
      </c>
      <c r="O1207" s="370"/>
    </row>
    <row r="1208" spans="1:15" ht="20.100000000000001" customHeight="1" x14ac:dyDescent="0.25">
      <c r="A1208" s="206" t="s">
        <v>268</v>
      </c>
      <c r="B1208" s="403" t="s">
        <v>1684</v>
      </c>
      <c r="C1208" s="377">
        <v>45540</v>
      </c>
      <c r="D1208" s="369"/>
      <c r="E1208" s="404" t="s">
        <v>263</v>
      </c>
      <c r="F1208" s="416"/>
      <c r="G1208" s="368"/>
      <c r="H1208" s="405"/>
      <c r="I1208" s="406"/>
      <c r="J1208" s="406">
        <f t="shared" si="204"/>
        <v>0</v>
      </c>
      <c r="K1208" s="407">
        <f t="shared" si="205"/>
        <v>0</v>
      </c>
      <c r="L1208" s="368"/>
      <c r="M1208" s="377"/>
      <c r="N1208" s="368">
        <f>+Table7[[#This Row],[стойност с ДДС]]-Table7[[#This Row],[направено плащане]]</f>
        <v>0</v>
      </c>
      <c r="O1208" s="370"/>
    </row>
    <row r="1209" spans="1:15" ht="20.100000000000001" customHeight="1" x14ac:dyDescent="0.25">
      <c r="A1209" s="206" t="s">
        <v>268</v>
      </c>
      <c r="B1209" s="403" t="s">
        <v>1685</v>
      </c>
      <c r="C1209" s="377">
        <v>45540</v>
      </c>
      <c r="D1209" s="369"/>
      <c r="E1209" s="404" t="s">
        <v>263</v>
      </c>
      <c r="F1209" s="416"/>
      <c r="G1209" s="368"/>
      <c r="H1209" s="405"/>
      <c r="I1209" s="406"/>
      <c r="J1209" s="406">
        <f t="shared" si="204"/>
        <v>0</v>
      </c>
      <c r="K1209" s="407">
        <f t="shared" si="205"/>
        <v>0</v>
      </c>
      <c r="L1209" s="368"/>
      <c r="M1209" s="377"/>
      <c r="N1209" s="368">
        <f>+Table7[[#This Row],[стойност с ДДС]]-Table7[[#This Row],[направено плащане]]</f>
        <v>0</v>
      </c>
      <c r="O1209" s="370"/>
    </row>
    <row r="1210" spans="1:15" ht="20.100000000000001" customHeight="1" x14ac:dyDescent="0.25">
      <c r="A1210" s="206" t="s">
        <v>268</v>
      </c>
      <c r="B1210" s="403">
        <v>2000001136</v>
      </c>
      <c r="C1210" s="377">
        <v>45540</v>
      </c>
      <c r="D1210" s="369"/>
      <c r="E1210" s="404" t="s">
        <v>263</v>
      </c>
      <c r="F1210" s="416"/>
      <c r="G1210" s="368"/>
      <c r="H1210" s="405"/>
      <c r="I1210" s="406"/>
      <c r="J1210" s="406">
        <f t="shared" si="204"/>
        <v>0</v>
      </c>
      <c r="K1210" s="407">
        <f t="shared" si="205"/>
        <v>0</v>
      </c>
      <c r="L1210" s="368"/>
      <c r="M1210" s="377"/>
      <c r="N1210" s="368">
        <f>+Table7[[#This Row],[стойност с ДДС]]-Table7[[#This Row],[направено плащане]]</f>
        <v>0</v>
      </c>
      <c r="O1210" s="370"/>
    </row>
    <row r="1211" spans="1:15" ht="20.100000000000001" customHeight="1" x14ac:dyDescent="0.25">
      <c r="A1211" s="206" t="s">
        <v>268</v>
      </c>
      <c r="B1211" s="403">
        <v>2000001138</v>
      </c>
      <c r="C1211" s="377">
        <v>45540</v>
      </c>
      <c r="D1211" s="369"/>
      <c r="E1211" s="404" t="s">
        <v>263</v>
      </c>
      <c r="F1211" s="416"/>
      <c r="G1211" s="368"/>
      <c r="H1211" s="405"/>
      <c r="I1211" s="406"/>
      <c r="J1211" s="406">
        <f t="shared" si="204"/>
        <v>0</v>
      </c>
      <c r="K1211" s="407">
        <f t="shared" si="205"/>
        <v>0</v>
      </c>
      <c r="L1211" s="368"/>
      <c r="M1211" s="377"/>
      <c r="N1211" s="368">
        <f>+Table7[[#This Row],[стойност с ДДС]]-Table7[[#This Row],[направено плащане]]</f>
        <v>0</v>
      </c>
      <c r="O1211" s="370"/>
    </row>
    <row r="1212" spans="1:15" ht="20.100000000000001" customHeight="1" x14ac:dyDescent="0.25">
      <c r="A1212" s="206" t="s">
        <v>268</v>
      </c>
      <c r="B1212" s="403">
        <v>2000001134</v>
      </c>
      <c r="C1212" s="377">
        <v>45540</v>
      </c>
      <c r="D1212" s="369"/>
      <c r="E1212" s="404" t="s">
        <v>263</v>
      </c>
      <c r="F1212" s="416"/>
      <c r="G1212" s="368"/>
      <c r="H1212" s="405"/>
      <c r="I1212" s="406"/>
      <c r="J1212" s="406">
        <f t="shared" si="204"/>
        <v>0</v>
      </c>
      <c r="K1212" s="407">
        <f t="shared" si="205"/>
        <v>0</v>
      </c>
      <c r="L1212" s="368"/>
      <c r="M1212" s="377"/>
      <c r="N1212" s="368">
        <f>+Table7[[#This Row],[стойност с ДДС]]-Table7[[#This Row],[направено плащане]]</f>
        <v>0</v>
      </c>
      <c r="O1212" s="370"/>
    </row>
    <row r="1213" spans="1:15" ht="20.100000000000001" customHeight="1" x14ac:dyDescent="0.25">
      <c r="A1213" s="206" t="s">
        <v>268</v>
      </c>
      <c r="B1213" s="403" t="s">
        <v>1686</v>
      </c>
      <c r="C1213" s="377">
        <v>45540</v>
      </c>
      <c r="D1213" s="369"/>
      <c r="E1213" s="404" t="s">
        <v>263</v>
      </c>
      <c r="F1213" s="416"/>
      <c r="G1213" s="368"/>
      <c r="H1213" s="405"/>
      <c r="I1213" s="406"/>
      <c r="J1213" s="406">
        <f t="shared" si="204"/>
        <v>0</v>
      </c>
      <c r="K1213" s="407">
        <f t="shared" si="205"/>
        <v>0</v>
      </c>
      <c r="L1213" s="368"/>
      <c r="M1213" s="377"/>
      <c r="N1213" s="368">
        <f>+Table7[[#This Row],[стойност с ДДС]]-Table7[[#This Row],[направено плащане]]</f>
        <v>0</v>
      </c>
      <c r="O1213" s="370"/>
    </row>
    <row r="1214" spans="1:15" ht="20.100000000000001" customHeight="1" x14ac:dyDescent="0.25">
      <c r="A1214" s="206" t="s">
        <v>268</v>
      </c>
      <c r="B1214" s="403">
        <v>2000000139</v>
      </c>
      <c r="C1214" s="377">
        <v>45540</v>
      </c>
      <c r="D1214" s="369"/>
      <c r="E1214" s="404" t="s">
        <v>263</v>
      </c>
      <c r="F1214" s="416"/>
      <c r="G1214" s="368"/>
      <c r="H1214" s="405"/>
      <c r="I1214" s="406"/>
      <c r="J1214" s="406">
        <f t="shared" si="204"/>
        <v>0</v>
      </c>
      <c r="K1214" s="407">
        <f t="shared" si="205"/>
        <v>0</v>
      </c>
      <c r="L1214" s="368"/>
      <c r="M1214" s="377"/>
      <c r="N1214" s="368">
        <f>+Table7[[#This Row],[стойност с ДДС]]-Table7[[#This Row],[направено плащане]]</f>
        <v>0</v>
      </c>
      <c r="O1214" s="370"/>
    </row>
    <row r="1215" spans="1:15" ht="20.100000000000001" customHeight="1" x14ac:dyDescent="0.3">
      <c r="A1215" s="206" t="s">
        <v>99</v>
      </c>
      <c r="B1215" s="403">
        <v>8000004918</v>
      </c>
      <c r="C1215" s="377">
        <v>45540</v>
      </c>
      <c r="D1215" s="369"/>
      <c r="E1215" s="8" t="s">
        <v>458</v>
      </c>
      <c r="F1215" s="416"/>
      <c r="G1215" s="368"/>
      <c r="H1215" s="405">
        <v>7132</v>
      </c>
      <c r="I1215" s="406"/>
      <c r="J1215" s="406">
        <v>174651.01</v>
      </c>
      <c r="K1215" s="407">
        <f t="shared" si="205"/>
        <v>209581.212</v>
      </c>
      <c r="L1215" s="368">
        <v>209581.212</v>
      </c>
      <c r="M1215" s="376">
        <v>45546</v>
      </c>
      <c r="N1215" s="368">
        <f>+Table7[[#This Row],[стойност с ДДС]]-Table7[[#This Row],[направено плащане]]</f>
        <v>0</v>
      </c>
      <c r="O1215" s="370"/>
    </row>
    <row r="1216" spans="1:15" ht="20.100000000000001" customHeight="1" x14ac:dyDescent="0.25">
      <c r="A1216" s="206" t="s">
        <v>99</v>
      </c>
      <c r="B1216" s="403">
        <v>8000004918</v>
      </c>
      <c r="C1216" s="377">
        <v>45540</v>
      </c>
      <c r="D1216" s="369"/>
      <c r="E1216" s="404" t="s">
        <v>460</v>
      </c>
      <c r="F1216" s="416"/>
      <c r="G1216" s="368"/>
      <c r="H1216" s="405">
        <v>54.42</v>
      </c>
      <c r="I1216" s="406"/>
      <c r="J1216" s="406">
        <v>1396.09</v>
      </c>
      <c r="K1216" s="407">
        <f t="shared" si="205"/>
        <v>1675.3079999999998</v>
      </c>
      <c r="L1216" s="368">
        <v>1675.3079999999998</v>
      </c>
      <c r="M1216" s="376">
        <v>45546</v>
      </c>
      <c r="N1216" s="368">
        <f>+Table7[[#This Row],[стойност с ДДС]]-Table7[[#This Row],[направено плащане]]</f>
        <v>0</v>
      </c>
      <c r="O1216" s="370"/>
    </row>
    <row r="1217" spans="1:15" ht="20.100000000000001" customHeight="1" x14ac:dyDescent="0.25">
      <c r="A1217" s="206" t="s">
        <v>99</v>
      </c>
      <c r="B1217" s="384">
        <v>8000004919</v>
      </c>
      <c r="C1217" s="376">
        <v>45540</v>
      </c>
      <c r="D1217" s="357"/>
      <c r="E1217" s="358" t="s">
        <v>121</v>
      </c>
      <c r="F1217" s="413"/>
      <c r="G1217" s="356"/>
      <c r="H1217" s="359">
        <v>4735</v>
      </c>
      <c r="I1217" s="360"/>
      <c r="J1217" s="360">
        <v>4299.45</v>
      </c>
      <c r="K1217" s="361">
        <f t="shared" ref="K1217:K1223" si="206">J1217*1.2</f>
        <v>5159.3399999999992</v>
      </c>
      <c r="L1217" s="356">
        <v>5159.3399999999992</v>
      </c>
      <c r="M1217" s="376">
        <v>45546</v>
      </c>
      <c r="N1217" s="356">
        <f>+Table7[[#This Row],[стойност с ДДС]]-Table7[[#This Row],[направено плащане]]</f>
        <v>0</v>
      </c>
      <c r="O1217" s="362"/>
    </row>
    <row r="1218" spans="1:15" ht="20.100000000000001" customHeight="1" x14ac:dyDescent="0.25">
      <c r="A1218" s="206" t="s">
        <v>99</v>
      </c>
      <c r="B1218" s="384">
        <v>8000004919</v>
      </c>
      <c r="C1218" s="376">
        <v>45540</v>
      </c>
      <c r="D1218" s="357"/>
      <c r="E1218" s="358" t="s">
        <v>461</v>
      </c>
      <c r="F1218" s="413"/>
      <c r="G1218" s="356"/>
      <c r="H1218" s="359">
        <v>3838.723</v>
      </c>
      <c r="I1218" s="360"/>
      <c r="J1218" s="360">
        <v>4357.04</v>
      </c>
      <c r="K1218" s="361">
        <f t="shared" si="206"/>
        <v>5228.4479999999994</v>
      </c>
      <c r="L1218" s="356">
        <v>5228.4479999999994</v>
      </c>
      <c r="M1218" s="376">
        <v>45546</v>
      </c>
      <c r="N1218" s="356">
        <f>+Table7[[#This Row],[стойност с ДДС]]-Table7[[#This Row],[направено плащане]]</f>
        <v>0</v>
      </c>
      <c r="O1218" s="362"/>
    </row>
    <row r="1219" spans="1:15" ht="20.100000000000001" customHeight="1" x14ac:dyDescent="0.25">
      <c r="A1219" s="206" t="s">
        <v>99</v>
      </c>
      <c r="B1219" s="384">
        <v>8000004919</v>
      </c>
      <c r="C1219" s="376">
        <v>45540</v>
      </c>
      <c r="D1219" s="357"/>
      <c r="E1219" s="358" t="s">
        <v>462</v>
      </c>
      <c r="F1219" s="413"/>
      <c r="G1219" s="356"/>
      <c r="H1219" s="359">
        <v>103801.99400000001</v>
      </c>
      <c r="I1219" s="360"/>
      <c r="J1219" s="360">
        <v>21352.07</v>
      </c>
      <c r="K1219" s="361">
        <f t="shared" si="206"/>
        <v>25622.484</v>
      </c>
      <c r="L1219" s="356">
        <v>25622.484</v>
      </c>
      <c r="M1219" s="376">
        <v>45546</v>
      </c>
      <c r="N1219" s="356">
        <f>+Table7[[#This Row],[стойност с ДДС]]-Table7[[#This Row],[направено плащане]]</f>
        <v>0</v>
      </c>
      <c r="O1219" s="362"/>
    </row>
    <row r="1220" spans="1:15" ht="20.100000000000001" customHeight="1" x14ac:dyDescent="0.25">
      <c r="A1220" s="206" t="s">
        <v>99</v>
      </c>
      <c r="B1220" s="384">
        <v>8000004919</v>
      </c>
      <c r="C1220" s="376">
        <v>45540</v>
      </c>
      <c r="D1220" s="357"/>
      <c r="E1220" s="358" t="s">
        <v>463</v>
      </c>
      <c r="F1220" s="413"/>
      <c r="G1220" s="356"/>
      <c r="H1220" s="359">
        <v>103801.99400000001</v>
      </c>
      <c r="I1220" s="360"/>
      <c r="J1220" s="360">
        <v>30185.62</v>
      </c>
      <c r="K1220" s="361">
        <f t="shared" si="206"/>
        <v>36222.743999999999</v>
      </c>
      <c r="L1220" s="356">
        <v>36222.743999999999</v>
      </c>
      <c r="M1220" s="376">
        <v>45546</v>
      </c>
      <c r="N1220" s="356">
        <f>+Table7[[#This Row],[стойност с ДДС]]-Table7[[#This Row],[направено плащане]]</f>
        <v>0</v>
      </c>
      <c r="O1220" s="362"/>
    </row>
    <row r="1221" spans="1:15" ht="20.100000000000001" customHeight="1" x14ac:dyDescent="0.25">
      <c r="A1221" s="206" t="s">
        <v>99</v>
      </c>
      <c r="B1221" s="384">
        <v>8000004919</v>
      </c>
      <c r="C1221" s="376">
        <v>45540</v>
      </c>
      <c r="D1221" s="357"/>
      <c r="E1221" s="358" t="s">
        <v>464</v>
      </c>
      <c r="F1221" s="413"/>
      <c r="G1221" s="356"/>
      <c r="H1221" s="359">
        <v>35520.561999999998</v>
      </c>
      <c r="I1221" s="360"/>
      <c r="J1221" s="360">
        <v>937.74</v>
      </c>
      <c r="K1221" s="361">
        <f t="shared" si="206"/>
        <v>1125.288</v>
      </c>
      <c r="L1221" s="356">
        <v>1125.288</v>
      </c>
      <c r="M1221" s="376">
        <v>45546</v>
      </c>
      <c r="N1221" s="356">
        <f>+Table7[[#This Row],[стойност с ДДС]]-Table7[[#This Row],[направено плащане]]</f>
        <v>0</v>
      </c>
      <c r="O1221" s="362"/>
    </row>
    <row r="1222" spans="1:15" ht="20.100000000000001" customHeight="1" x14ac:dyDescent="0.25">
      <c r="A1222" s="206" t="s">
        <v>99</v>
      </c>
      <c r="B1222" s="384">
        <v>8000004919</v>
      </c>
      <c r="C1222" s="376">
        <v>45540</v>
      </c>
      <c r="D1222" s="357"/>
      <c r="E1222" s="358" t="s">
        <v>465</v>
      </c>
      <c r="F1222" s="413"/>
      <c r="G1222" s="356"/>
      <c r="H1222" s="359">
        <v>103801.99400000001</v>
      </c>
      <c r="I1222" s="360"/>
      <c r="J1222" s="360">
        <v>-3612.3</v>
      </c>
      <c r="K1222" s="361">
        <f t="shared" si="206"/>
        <v>-4334.76</v>
      </c>
      <c r="L1222" s="356">
        <v>-4334.76</v>
      </c>
      <c r="M1222" s="376">
        <v>45546</v>
      </c>
      <c r="N1222" s="356">
        <f>+Table7[[#This Row],[стойност с ДДС]]-Table7[[#This Row],[направено плащане]]</f>
        <v>0</v>
      </c>
      <c r="O1222" s="362"/>
    </row>
    <row r="1223" spans="1:15" ht="20.100000000000001" customHeight="1" x14ac:dyDescent="0.25">
      <c r="A1223" s="206" t="s">
        <v>99</v>
      </c>
      <c r="B1223" s="384">
        <v>8000004919</v>
      </c>
      <c r="C1223" s="376">
        <v>45540</v>
      </c>
      <c r="D1223" s="357"/>
      <c r="E1223" s="358" t="s">
        <v>56</v>
      </c>
      <c r="F1223" s="413"/>
      <c r="G1223" s="356"/>
      <c r="H1223" s="359">
        <v>591.97</v>
      </c>
      <c r="I1223" s="360"/>
      <c r="J1223" s="360">
        <v>1954.51</v>
      </c>
      <c r="K1223" s="361">
        <f t="shared" si="206"/>
        <v>2345.4119999999998</v>
      </c>
      <c r="L1223" s="356">
        <v>2345.4119999999998</v>
      </c>
      <c r="M1223" s="376">
        <v>45546</v>
      </c>
      <c r="N1223" s="356">
        <f>+Table7[[#This Row],[стойност с ДДС]]-Table7[[#This Row],[направено плащане]]</f>
        <v>0</v>
      </c>
      <c r="O1223" s="362"/>
    </row>
    <row r="1224" spans="1:15" ht="20.100000000000001" customHeight="1" x14ac:dyDescent="0.25">
      <c r="A1224" s="206" t="s">
        <v>99</v>
      </c>
      <c r="B1224" s="384">
        <v>8000004920</v>
      </c>
      <c r="C1224" s="376">
        <v>45540</v>
      </c>
      <c r="D1224" s="357"/>
      <c r="E1224" s="358" t="s">
        <v>328</v>
      </c>
      <c r="F1224" s="413"/>
      <c r="G1224" s="356"/>
      <c r="H1224" s="359">
        <v>1164.943</v>
      </c>
      <c r="I1224" s="360"/>
      <c r="J1224" s="360">
        <v>81863.33</v>
      </c>
      <c r="K1224" s="361">
        <f>J1224*1.2</f>
        <v>98235.995999999999</v>
      </c>
      <c r="L1224" s="356">
        <v>98235.995999999999</v>
      </c>
      <c r="M1224" s="376">
        <v>45559</v>
      </c>
      <c r="N1224" s="356">
        <f>+Table7[[#This Row],[стойност с ДДС]]-Table7[[#This Row],[направено плащане]]</f>
        <v>0</v>
      </c>
      <c r="O1224" s="422">
        <v>45560</v>
      </c>
    </row>
    <row r="1225" spans="1:15" ht="20.100000000000001" customHeight="1" x14ac:dyDescent="0.25">
      <c r="A1225" s="206" t="s">
        <v>341</v>
      </c>
      <c r="B1225" s="403">
        <v>100002462</v>
      </c>
      <c r="C1225" s="377">
        <v>45537</v>
      </c>
      <c r="D1225" s="369"/>
      <c r="E1225" s="408" t="s">
        <v>343</v>
      </c>
      <c r="F1225" s="416" t="s">
        <v>1687</v>
      </c>
      <c r="G1225" s="368"/>
      <c r="H1225" s="405">
        <v>1</v>
      </c>
      <c r="I1225" s="406">
        <v>200</v>
      </c>
      <c r="J1225" s="406">
        <f>I1225*H1225</f>
        <v>200</v>
      </c>
      <c r="K1225" s="407">
        <f>J1225*1.2</f>
        <v>240</v>
      </c>
      <c r="L1225" s="368">
        <v>240</v>
      </c>
      <c r="M1225" s="377">
        <v>45544</v>
      </c>
      <c r="N1225" s="368">
        <f>+Table7[[#This Row],[стойност с ДДС]]-Table7[[#This Row],[направено плащане]]</f>
        <v>0</v>
      </c>
      <c r="O1225" s="370"/>
    </row>
    <row r="1226" spans="1:15" ht="20.100000000000001" customHeight="1" x14ac:dyDescent="0.25">
      <c r="A1226" s="206" t="s">
        <v>341</v>
      </c>
      <c r="B1226" s="384">
        <v>1000002415</v>
      </c>
      <c r="C1226" s="376">
        <v>45537</v>
      </c>
      <c r="D1226" s="357"/>
      <c r="E1226" s="408" t="s">
        <v>343</v>
      </c>
      <c r="F1226" s="413"/>
      <c r="G1226" s="356"/>
      <c r="H1226" s="359">
        <v>1</v>
      </c>
      <c r="I1226" s="360">
        <v>1700</v>
      </c>
      <c r="J1226" s="360">
        <f>I1226*H1226</f>
        <v>1700</v>
      </c>
      <c r="K1226" s="361">
        <f>J1226*1.2</f>
        <v>2040</v>
      </c>
      <c r="L1226" s="356">
        <v>2040</v>
      </c>
      <c r="M1226" s="377">
        <v>45544</v>
      </c>
      <c r="N1226" s="356">
        <f>+Table7[[#This Row],[стойност с ДДС]]-Table7[[#This Row],[направено плащане]]</f>
        <v>0</v>
      </c>
      <c r="O1226" s="362"/>
    </row>
    <row r="1227" spans="1:15" ht="20.100000000000001" customHeight="1" x14ac:dyDescent="0.25">
      <c r="A1227" s="151" t="s">
        <v>341</v>
      </c>
      <c r="B1227" s="384">
        <v>1000002415</v>
      </c>
      <c r="C1227" s="376">
        <v>45537</v>
      </c>
      <c r="D1227" s="357"/>
      <c r="E1227" s="408" t="s">
        <v>343</v>
      </c>
      <c r="F1227" s="413"/>
      <c r="G1227" s="356"/>
      <c r="H1227" s="359">
        <v>2</v>
      </c>
      <c r="I1227" s="360">
        <v>600</v>
      </c>
      <c r="J1227" s="360">
        <f>I1227*H1227</f>
        <v>1200</v>
      </c>
      <c r="K1227" s="361">
        <f>J1227*1.2</f>
        <v>1440</v>
      </c>
      <c r="L1227" s="356">
        <v>1440</v>
      </c>
      <c r="M1227" s="377">
        <v>45544</v>
      </c>
      <c r="N1227" s="356">
        <f>+Table7[[#This Row],[стойност с ДДС]]-Table7[[#This Row],[направено плащане]]</f>
        <v>0</v>
      </c>
      <c r="O1227" s="362"/>
    </row>
    <row r="1228" spans="1:15" ht="20.100000000000001" customHeight="1" x14ac:dyDescent="0.25">
      <c r="A1228" s="151" t="s">
        <v>341</v>
      </c>
      <c r="B1228" s="384">
        <v>3158</v>
      </c>
      <c r="C1228" s="376">
        <v>45535</v>
      </c>
      <c r="D1228" s="357"/>
      <c r="E1228" s="408" t="s">
        <v>343</v>
      </c>
      <c r="F1228" s="413"/>
      <c r="G1228" s="356"/>
      <c r="H1228" s="359">
        <v>25607</v>
      </c>
      <c r="I1228" s="360">
        <v>0.05</v>
      </c>
      <c r="J1228" s="360">
        <f>I1228*H1228</f>
        <v>1280.3500000000001</v>
      </c>
      <c r="K1228" s="361">
        <f>J1228*1.2</f>
        <v>1536.42</v>
      </c>
      <c r="L1228" s="356">
        <v>1536.42</v>
      </c>
      <c r="M1228" s="376">
        <v>45544</v>
      </c>
      <c r="N1228" s="356">
        <f>+Table7[[#This Row],[стойност с ДДС]]-Table7[[#This Row],[направено плащане]]</f>
        <v>0</v>
      </c>
      <c r="O1228" s="362"/>
    </row>
    <row r="1229" spans="1:15" ht="20.100000000000001" customHeight="1" x14ac:dyDescent="0.25">
      <c r="A1229" s="151" t="s">
        <v>341</v>
      </c>
      <c r="B1229" s="384">
        <v>3158</v>
      </c>
      <c r="C1229" s="376">
        <v>45535</v>
      </c>
      <c r="D1229" s="357"/>
      <c r="E1229" s="408" t="s">
        <v>343</v>
      </c>
      <c r="F1229" s="413"/>
      <c r="G1229" s="356"/>
      <c r="H1229" s="359">
        <v>61101</v>
      </c>
      <c r="I1229" s="360">
        <v>0.02</v>
      </c>
      <c r="J1229" s="360">
        <f t="shared" ref="J1229:J1230" si="207">I1229*H1229</f>
        <v>1222.02</v>
      </c>
      <c r="K1229" s="361">
        <f t="shared" ref="K1229:K1230" si="208">J1229*1.2</f>
        <v>1466.424</v>
      </c>
      <c r="L1229" s="356"/>
      <c r="M1229" s="376"/>
      <c r="N1229" s="356">
        <f>+Table7[[#This Row],[стойност с ДДС]]-Table7[[#This Row],[направено плащане]]</f>
        <v>1466.424</v>
      </c>
      <c r="O1229" s="362"/>
    </row>
    <row r="1230" spans="1:15" ht="20.100000000000001" customHeight="1" x14ac:dyDescent="0.25">
      <c r="A1230" s="151" t="s">
        <v>341</v>
      </c>
      <c r="B1230" s="403">
        <v>3158</v>
      </c>
      <c r="C1230" s="377">
        <v>45535</v>
      </c>
      <c r="D1230" s="369"/>
      <c r="E1230" s="408" t="s">
        <v>343</v>
      </c>
      <c r="F1230" s="416"/>
      <c r="G1230" s="368"/>
      <c r="H1230" s="405">
        <v>39915</v>
      </c>
      <c r="I1230" s="406">
        <v>0.04</v>
      </c>
      <c r="J1230" s="406">
        <f t="shared" si="207"/>
        <v>1596.6000000000001</v>
      </c>
      <c r="K1230" s="407">
        <f t="shared" si="208"/>
        <v>1915.92</v>
      </c>
      <c r="L1230" s="368"/>
      <c r="M1230" s="377"/>
      <c r="N1230" s="368">
        <f>+Table7[[#This Row],[стойност с ДДС]]-Table7[[#This Row],[направено плащане]]</f>
        <v>1915.92</v>
      </c>
      <c r="O1230" s="370"/>
    </row>
    <row r="1231" spans="1:15" ht="20.100000000000001" customHeight="1" x14ac:dyDescent="0.25">
      <c r="A1231" s="206" t="s">
        <v>341</v>
      </c>
      <c r="B1231" s="403">
        <v>3099</v>
      </c>
      <c r="C1231" s="377">
        <v>45535</v>
      </c>
      <c r="D1231" s="369"/>
      <c r="E1231" s="408" t="s">
        <v>343</v>
      </c>
      <c r="F1231" s="416"/>
      <c r="G1231" s="368"/>
      <c r="H1231" s="405">
        <v>1</v>
      </c>
      <c r="I1231" s="406">
        <v>100</v>
      </c>
      <c r="J1231" s="406">
        <f>I1231*H1231</f>
        <v>100</v>
      </c>
      <c r="K1231" s="407">
        <f>J1231*1.2</f>
        <v>120</v>
      </c>
      <c r="L1231" s="368">
        <v>120</v>
      </c>
      <c r="M1231" s="377">
        <v>45544</v>
      </c>
      <c r="N1231" s="368">
        <f>+Table7[[#This Row],[стойност с ДДС]]-Table7[[#This Row],[направено плащане]]</f>
        <v>0</v>
      </c>
      <c r="O1231" s="370"/>
    </row>
    <row r="1232" spans="1:15" ht="20.100000000000001" customHeight="1" x14ac:dyDescent="0.25">
      <c r="A1232" s="206" t="s">
        <v>99</v>
      </c>
      <c r="B1232" s="403">
        <v>20001330</v>
      </c>
      <c r="C1232" s="377">
        <v>45540</v>
      </c>
      <c r="D1232" s="369"/>
      <c r="E1232" s="404" t="s">
        <v>131</v>
      </c>
      <c r="F1232" s="416"/>
      <c r="G1232" s="368"/>
      <c r="H1232" s="405">
        <v>530</v>
      </c>
      <c r="I1232" s="406">
        <v>57.41</v>
      </c>
      <c r="J1232" s="406">
        <f>I1232*H1232</f>
        <v>30427.3</v>
      </c>
      <c r="K1232" s="407">
        <f>J1232*1.2</f>
        <v>36512.759999999995</v>
      </c>
      <c r="L1232" s="368"/>
      <c r="M1232" s="377"/>
      <c r="N1232" s="368">
        <f>+Table7[[#This Row],[стойност с ДДС]]-Table7[[#This Row],[направено плащане]]</f>
        <v>36512.759999999995</v>
      </c>
      <c r="O1232" s="370"/>
    </row>
    <row r="1233" spans="1:15" ht="20.100000000000001" customHeight="1" x14ac:dyDescent="0.25">
      <c r="A1233" s="206" t="s">
        <v>268</v>
      </c>
      <c r="B1233" s="384">
        <v>200001129</v>
      </c>
      <c r="C1233" s="376">
        <v>45539</v>
      </c>
      <c r="D1233" s="357"/>
      <c r="E1233" s="404" t="s">
        <v>131</v>
      </c>
      <c r="F1233" s="413"/>
      <c r="G1233" s="356"/>
      <c r="H1233" s="359">
        <v>550</v>
      </c>
      <c r="I1233" s="360">
        <v>61</v>
      </c>
      <c r="J1233" s="360">
        <f>I1233*H1233</f>
        <v>33550</v>
      </c>
      <c r="K1233" s="361">
        <f>J1233*1.2</f>
        <v>40260</v>
      </c>
      <c r="L1233" s="356">
        <v>40260</v>
      </c>
      <c r="M1233" s="376">
        <v>45546</v>
      </c>
      <c r="N1233" s="356">
        <f>+Table7[[#This Row],[стойност с ДДС]]-Table7[[#This Row],[направено плащане]]</f>
        <v>0</v>
      </c>
      <c r="O1233" s="362"/>
    </row>
    <row r="1234" spans="1:15" ht="20.100000000000001" customHeight="1" x14ac:dyDescent="0.25">
      <c r="A1234" s="206" t="s">
        <v>118</v>
      </c>
      <c r="B1234" s="403">
        <v>3808</v>
      </c>
      <c r="C1234" s="377">
        <v>45539</v>
      </c>
      <c r="D1234" s="369"/>
      <c r="E1234" s="404" t="s">
        <v>131</v>
      </c>
      <c r="F1234" s="416"/>
      <c r="G1234" s="368"/>
      <c r="H1234" s="405">
        <v>100</v>
      </c>
      <c r="I1234" s="406">
        <v>60</v>
      </c>
      <c r="J1234" s="406">
        <f>I1234*H1234</f>
        <v>6000</v>
      </c>
      <c r="K1234" s="407">
        <f>J1234*1.2</f>
        <v>7200</v>
      </c>
      <c r="L1234" s="368">
        <v>7200</v>
      </c>
      <c r="M1234" s="377">
        <v>45546</v>
      </c>
      <c r="N1234" s="368">
        <f>+Table7[[#This Row],[стойност с ДДС]]-Table7[[#This Row],[направено плащане]]</f>
        <v>0</v>
      </c>
      <c r="O1234" s="370"/>
    </row>
    <row r="1235" spans="1:15" ht="20.100000000000001" customHeight="1" x14ac:dyDescent="0.25">
      <c r="A1235" s="151" t="s">
        <v>118</v>
      </c>
      <c r="B1235" s="384">
        <v>3808</v>
      </c>
      <c r="C1235" s="376">
        <v>45539</v>
      </c>
      <c r="D1235" s="357"/>
      <c r="E1235" s="358" t="s">
        <v>131</v>
      </c>
      <c r="F1235" s="413"/>
      <c r="G1235" s="356"/>
      <c r="H1235" s="359">
        <v>200</v>
      </c>
      <c r="I1235" s="360">
        <v>60.5</v>
      </c>
      <c r="J1235" s="360">
        <f t="shared" ref="J1235:J1237" si="209">I1235*H1235</f>
        <v>12100</v>
      </c>
      <c r="K1235" s="361">
        <f t="shared" ref="K1235:K1237" si="210">J1235*1.2</f>
        <v>14520</v>
      </c>
      <c r="L1235" s="356">
        <v>14520</v>
      </c>
      <c r="M1235" s="376">
        <v>45546</v>
      </c>
      <c r="N1235" s="356">
        <f>+Table7[[#This Row],[стойност с ДДС]]-Table7[[#This Row],[направено плащане]]</f>
        <v>0</v>
      </c>
      <c r="O1235" s="362"/>
    </row>
    <row r="1236" spans="1:15" ht="20.100000000000001" customHeight="1" x14ac:dyDescent="0.25">
      <c r="A1236" s="151" t="s">
        <v>118</v>
      </c>
      <c r="B1236" s="384">
        <v>3808</v>
      </c>
      <c r="C1236" s="376">
        <v>45539</v>
      </c>
      <c r="D1236" s="357"/>
      <c r="E1236" s="358" t="s">
        <v>131</v>
      </c>
      <c r="F1236" s="413"/>
      <c r="G1236" s="356"/>
      <c r="H1236" s="359">
        <v>100</v>
      </c>
      <c r="I1236" s="360">
        <v>60</v>
      </c>
      <c r="J1236" s="360">
        <f t="shared" si="209"/>
        <v>6000</v>
      </c>
      <c r="K1236" s="361">
        <f t="shared" si="210"/>
        <v>7200</v>
      </c>
      <c r="L1236" s="356"/>
      <c r="M1236" s="376"/>
      <c r="N1236" s="356">
        <f>+Table7[[#This Row],[стойност с ДДС]]-Table7[[#This Row],[направено плащане]]</f>
        <v>7200</v>
      </c>
      <c r="O1236" s="362"/>
    </row>
    <row r="1237" spans="1:15" ht="20.100000000000001" customHeight="1" x14ac:dyDescent="0.25">
      <c r="A1237" s="206" t="s">
        <v>118</v>
      </c>
      <c r="B1237" s="403">
        <v>3808</v>
      </c>
      <c r="C1237" s="377">
        <v>45539</v>
      </c>
      <c r="D1237" s="369"/>
      <c r="E1237" s="404" t="s">
        <v>131</v>
      </c>
      <c r="F1237" s="416"/>
      <c r="G1237" s="368"/>
      <c r="H1237" s="405">
        <v>100</v>
      </c>
      <c r="I1237" s="406">
        <v>59.6</v>
      </c>
      <c r="J1237" s="406">
        <f t="shared" si="209"/>
        <v>5960</v>
      </c>
      <c r="K1237" s="407">
        <f t="shared" si="210"/>
        <v>7152</v>
      </c>
      <c r="L1237" s="368"/>
      <c r="M1237" s="377"/>
      <c r="N1237" s="368">
        <f>+Table7[[#This Row],[стойност с ДДС]]-Table7[[#This Row],[направено плащане]]</f>
        <v>7152</v>
      </c>
      <c r="O1237" s="370"/>
    </row>
    <row r="1238" spans="1:15" ht="20.100000000000001" customHeight="1" x14ac:dyDescent="0.25">
      <c r="A1238" s="206" t="s">
        <v>1258</v>
      </c>
      <c r="B1238" s="403">
        <v>1705</v>
      </c>
      <c r="C1238" s="377">
        <v>45540</v>
      </c>
      <c r="D1238" s="369"/>
      <c r="E1238" s="404" t="s">
        <v>263</v>
      </c>
      <c r="F1238" s="416"/>
      <c r="G1238" s="368"/>
      <c r="H1238" s="405">
        <v>9300</v>
      </c>
      <c r="I1238" s="406">
        <v>0.29099999999999998</v>
      </c>
      <c r="J1238" s="406">
        <v>270630</v>
      </c>
      <c r="K1238" s="407"/>
      <c r="L1238" s="368"/>
      <c r="M1238" s="377"/>
      <c r="N1238" s="368">
        <f>+Table7[[#This Row],[стойност с ДДС]]-Table7[[#This Row],[направено плащане]]</f>
        <v>0</v>
      </c>
      <c r="O1238" s="370"/>
    </row>
    <row r="1239" spans="1:15" ht="20.100000000000001" customHeight="1" x14ac:dyDescent="0.25">
      <c r="A1239" s="151" t="s">
        <v>1258</v>
      </c>
      <c r="B1239" s="384">
        <v>1705</v>
      </c>
      <c r="C1239" s="376">
        <v>45540</v>
      </c>
      <c r="D1239" s="357"/>
      <c r="E1239" s="358" t="s">
        <v>263</v>
      </c>
      <c r="F1239" s="413"/>
      <c r="G1239" s="356"/>
      <c r="H1239" s="359">
        <v>9300</v>
      </c>
      <c r="I1239" s="360">
        <v>0.30299999999999999</v>
      </c>
      <c r="J1239" s="360">
        <v>281790</v>
      </c>
      <c r="K1239" s="361"/>
      <c r="L1239" s="356"/>
      <c r="M1239" s="376"/>
      <c r="N1239" s="356">
        <f>+Table7[[#This Row],[стойност с ДДС]]-Table7[[#This Row],[направено плащане]]</f>
        <v>0</v>
      </c>
      <c r="O1239" s="362"/>
    </row>
    <row r="1240" spans="1:15" ht="20.100000000000001" customHeight="1" x14ac:dyDescent="0.25">
      <c r="A1240" s="151" t="s">
        <v>1258</v>
      </c>
      <c r="B1240" s="384">
        <v>1705</v>
      </c>
      <c r="C1240" s="376">
        <v>45540</v>
      </c>
      <c r="D1240" s="357"/>
      <c r="E1240" s="358" t="s">
        <v>263</v>
      </c>
      <c r="F1240" s="413"/>
      <c r="G1240" s="356"/>
      <c r="H1240" s="359">
        <v>3100</v>
      </c>
      <c r="I1240" s="360">
        <v>0.251</v>
      </c>
      <c r="J1240" s="360">
        <v>77872</v>
      </c>
      <c r="K1240" s="361"/>
      <c r="L1240" s="356"/>
      <c r="M1240" s="376"/>
      <c r="N1240" s="356">
        <f>+Table7[[#This Row],[стойност с ДДС]]-Table7[[#This Row],[направено плащане]]</f>
        <v>0</v>
      </c>
      <c r="O1240" s="362"/>
    </row>
    <row r="1241" spans="1:15" ht="20.100000000000001" customHeight="1" x14ac:dyDescent="0.25">
      <c r="A1241" s="151" t="s">
        <v>1258</v>
      </c>
      <c r="B1241" s="384">
        <v>1705</v>
      </c>
      <c r="C1241" s="376">
        <v>45540</v>
      </c>
      <c r="D1241" s="357"/>
      <c r="E1241" s="358" t="s">
        <v>263</v>
      </c>
      <c r="F1241" s="413"/>
      <c r="G1241" s="356"/>
      <c r="H1241" s="359">
        <v>6200</v>
      </c>
      <c r="I1241" s="360">
        <v>0.23699999999999999</v>
      </c>
      <c r="J1241" s="360">
        <v>146940</v>
      </c>
      <c r="K1241" s="361"/>
      <c r="L1241" s="356"/>
      <c r="M1241" s="376"/>
      <c r="N1241" s="356">
        <f>+Table7[[#This Row],[стойност с ДДС]]-Table7[[#This Row],[направено плащане]]</f>
        <v>0</v>
      </c>
      <c r="O1241" s="362"/>
    </row>
    <row r="1242" spans="1:15" ht="20.100000000000001" customHeight="1" x14ac:dyDescent="0.25">
      <c r="A1242" s="206" t="s">
        <v>1258</v>
      </c>
      <c r="B1242" s="403">
        <v>1705</v>
      </c>
      <c r="C1242" s="377">
        <v>45540</v>
      </c>
      <c r="D1242" s="369"/>
      <c r="E1242" s="404" t="s">
        <v>263</v>
      </c>
      <c r="F1242" s="416"/>
      <c r="G1242" s="368"/>
      <c r="H1242" s="405">
        <v>12400</v>
      </c>
      <c r="I1242" s="406">
        <v>0.27400000000000002</v>
      </c>
      <c r="J1242" s="406">
        <v>299212</v>
      </c>
      <c r="K1242" s="407"/>
      <c r="L1242" s="368"/>
      <c r="M1242" s="377"/>
      <c r="N1242" s="368">
        <f>+Table7[[#This Row],[стойност с ДДС]]-Table7[[#This Row],[направено плащане]]</f>
        <v>0</v>
      </c>
      <c r="O1242" s="370"/>
    </row>
    <row r="1243" spans="1:15" ht="20.100000000000001" customHeight="1" x14ac:dyDescent="0.3">
      <c r="A1243" s="206" t="s">
        <v>1706</v>
      </c>
      <c r="B1243" s="403"/>
      <c r="C1243" s="377"/>
      <c r="D1243" s="369"/>
      <c r="E1243" s="49" t="s">
        <v>422</v>
      </c>
      <c r="F1243" s="416" t="s">
        <v>1707</v>
      </c>
      <c r="G1243" s="368"/>
      <c r="H1243" s="405"/>
      <c r="I1243" s="406"/>
      <c r="J1243" s="406">
        <v>461.69</v>
      </c>
      <c r="K1243" s="407">
        <v>461.69</v>
      </c>
      <c r="L1243" s="368">
        <v>461.69</v>
      </c>
      <c r="M1243" s="377">
        <v>45545</v>
      </c>
      <c r="N1243" s="368">
        <f>+Table7[[#This Row],[стойност с ДДС]]-Table7[[#This Row],[направено плащане]]</f>
        <v>0</v>
      </c>
      <c r="O1243" s="370"/>
    </row>
    <row r="1244" spans="1:15" ht="20.100000000000001" customHeight="1" x14ac:dyDescent="0.25">
      <c r="A1244" s="206" t="s">
        <v>1394</v>
      </c>
      <c r="B1244" s="403" t="s">
        <v>1708</v>
      </c>
      <c r="C1244" s="377">
        <v>45545</v>
      </c>
      <c r="D1244" s="369"/>
      <c r="E1244" s="404" t="s">
        <v>131</v>
      </c>
      <c r="F1244" s="416"/>
      <c r="G1244" s="368"/>
      <c r="H1244" s="405">
        <v>376</v>
      </c>
      <c r="I1244" s="406">
        <f>29.9058*1.563</f>
        <v>46.742765399999996</v>
      </c>
      <c r="J1244" s="406">
        <f t="shared" ref="J1244:J1249" si="211">I1244*H1244</f>
        <v>17575.2797904</v>
      </c>
      <c r="K1244" s="407">
        <v>22001.29</v>
      </c>
      <c r="L1244" s="368">
        <v>22001.29</v>
      </c>
      <c r="M1244" s="377">
        <v>45552</v>
      </c>
      <c r="N1244" s="368">
        <f>+Table7[[#This Row],[стойност с ДДС]]-Table7[[#This Row],[направено плащане]]</f>
        <v>0</v>
      </c>
      <c r="O1244" s="370"/>
    </row>
    <row r="1245" spans="1:15" ht="20.100000000000001" customHeight="1" x14ac:dyDescent="0.25">
      <c r="A1245" s="206" t="s">
        <v>159</v>
      </c>
      <c r="B1245" s="403" t="s">
        <v>1709</v>
      </c>
      <c r="C1245" s="377">
        <v>45545</v>
      </c>
      <c r="D1245" s="369"/>
      <c r="E1245" s="404" t="s">
        <v>131</v>
      </c>
      <c r="F1245" s="416"/>
      <c r="G1245" s="368"/>
      <c r="H1245" s="405">
        <v>800</v>
      </c>
      <c r="I1245" s="406">
        <f>29.85945*1.9563</f>
        <v>58.414042034999994</v>
      </c>
      <c r="J1245" s="406">
        <f t="shared" si="211"/>
        <v>46731.233627999994</v>
      </c>
      <c r="K1245" s="407">
        <v>46731.23</v>
      </c>
      <c r="L1245" s="407">
        <v>46731.23</v>
      </c>
      <c r="M1245" s="377">
        <v>45552</v>
      </c>
      <c r="N1245" s="368">
        <f>+Table7[[#This Row],[стойност с ДДС]]-Table7[[#This Row],[направено плащане]]</f>
        <v>0</v>
      </c>
      <c r="O1245" s="370"/>
    </row>
    <row r="1246" spans="1:15" ht="20.100000000000001" customHeight="1" x14ac:dyDescent="0.25">
      <c r="A1246" s="206" t="s">
        <v>159</v>
      </c>
      <c r="B1246" s="403" t="s">
        <v>1757</v>
      </c>
      <c r="C1246" s="376">
        <v>45544</v>
      </c>
      <c r="D1246" s="357"/>
      <c r="E1246" s="404" t="s">
        <v>131</v>
      </c>
      <c r="F1246" s="413"/>
      <c r="G1246" s="356"/>
      <c r="H1246" s="359">
        <v>50</v>
      </c>
      <c r="I1246" s="360">
        <f>29.65493*1.9563</f>
        <v>58.013939559000001</v>
      </c>
      <c r="J1246" s="360">
        <f t="shared" si="211"/>
        <v>2900.69697795</v>
      </c>
      <c r="K1246" s="361">
        <v>2900.69697795</v>
      </c>
      <c r="L1246" s="356">
        <v>2900.69697795</v>
      </c>
      <c r="M1246" s="376">
        <v>45551</v>
      </c>
      <c r="N1246" s="356">
        <f>+Table7[[#This Row],[стойност с ДДС]]-Table7[[#This Row],[направено плащане]]</f>
        <v>0</v>
      </c>
      <c r="O1246" s="362"/>
    </row>
    <row r="1247" spans="1:15" ht="20.100000000000001" customHeight="1" x14ac:dyDescent="0.25">
      <c r="A1247" s="206" t="s">
        <v>118</v>
      </c>
      <c r="B1247" s="403">
        <v>3847</v>
      </c>
      <c r="C1247" s="377">
        <v>45544</v>
      </c>
      <c r="D1247" s="369"/>
      <c r="E1247" s="404" t="s">
        <v>131</v>
      </c>
      <c r="F1247" s="416"/>
      <c r="G1247" s="368"/>
      <c r="H1247" s="405">
        <v>500</v>
      </c>
      <c r="I1247" s="406">
        <v>58.3</v>
      </c>
      <c r="J1247" s="406">
        <f t="shared" si="211"/>
        <v>29150</v>
      </c>
      <c r="K1247" s="407">
        <f>J1247*1.2</f>
        <v>34980</v>
      </c>
      <c r="L1247" s="368">
        <v>34980</v>
      </c>
      <c r="M1247" s="377">
        <v>45552</v>
      </c>
      <c r="N1247" s="368">
        <f>+Table7[[#This Row],[стойност с ДДС]]-Table7[[#This Row],[направено плащане]]</f>
        <v>0</v>
      </c>
      <c r="O1247" s="370"/>
    </row>
    <row r="1248" spans="1:15" ht="20.100000000000001" customHeight="1" x14ac:dyDescent="0.25">
      <c r="A1248" s="206" t="s">
        <v>118</v>
      </c>
      <c r="B1248" s="403">
        <v>3847</v>
      </c>
      <c r="C1248" s="377">
        <v>45544</v>
      </c>
      <c r="D1248" s="369"/>
      <c r="E1248" s="404" t="s">
        <v>131</v>
      </c>
      <c r="F1248" s="416"/>
      <c r="G1248" s="368"/>
      <c r="H1248" s="405">
        <v>300</v>
      </c>
      <c r="I1248" s="406">
        <v>58.25</v>
      </c>
      <c r="J1248" s="406">
        <f t="shared" si="211"/>
        <v>17475</v>
      </c>
      <c r="K1248" s="407">
        <f>J1248*1.2</f>
        <v>20970</v>
      </c>
      <c r="L1248" s="368">
        <v>20970</v>
      </c>
      <c r="M1248" s="377">
        <v>45552</v>
      </c>
      <c r="N1248" s="368">
        <f>+Table7[[#This Row],[стойност с ДДС]]-Table7[[#This Row],[направено плащане]]</f>
        <v>0</v>
      </c>
      <c r="O1248" s="370"/>
    </row>
    <row r="1249" spans="1:15" ht="20.100000000000001" customHeight="1" x14ac:dyDescent="0.25">
      <c r="A1249" s="206" t="s">
        <v>37</v>
      </c>
      <c r="B1249" s="403">
        <v>8000002253</v>
      </c>
      <c r="C1249" s="377">
        <v>45544</v>
      </c>
      <c r="D1249" s="369"/>
      <c r="E1249" s="404" t="s">
        <v>131</v>
      </c>
      <c r="F1249" s="416"/>
      <c r="G1249" s="368"/>
      <c r="H1249" s="405">
        <v>500</v>
      </c>
      <c r="I1249" s="406">
        <v>58.4</v>
      </c>
      <c r="J1249" s="406">
        <f t="shared" si="211"/>
        <v>29200</v>
      </c>
      <c r="K1249" s="407">
        <f>J1249*1.2</f>
        <v>35040</v>
      </c>
      <c r="L1249" s="368">
        <v>35040</v>
      </c>
      <c r="M1249" s="377">
        <v>45547</v>
      </c>
      <c r="N1249" s="368">
        <f>+Table7[[#This Row],[стойност с ДДС]]-Table7[[#This Row],[направено плащане]]</f>
        <v>0</v>
      </c>
      <c r="O1249" s="370"/>
    </row>
    <row r="1250" spans="1:15" ht="20.100000000000001" customHeight="1" x14ac:dyDescent="0.25">
      <c r="A1250" s="206" t="s">
        <v>543</v>
      </c>
      <c r="B1250" s="384">
        <v>210096</v>
      </c>
      <c r="C1250" s="376">
        <v>45547</v>
      </c>
      <c r="D1250" s="357"/>
      <c r="E1250" s="408" t="s">
        <v>422</v>
      </c>
      <c r="F1250" s="413"/>
      <c r="G1250" s="356"/>
      <c r="H1250" s="359">
        <v>1</v>
      </c>
      <c r="I1250" s="360">
        <v>30</v>
      </c>
      <c r="J1250" s="360">
        <f>I1250*H1250</f>
        <v>30</v>
      </c>
      <c r="K1250" s="361">
        <f>J1250*1.2</f>
        <v>36</v>
      </c>
      <c r="L1250" s="356"/>
      <c r="M1250" s="376"/>
      <c r="N1250" s="356">
        <f>+Table7[[#This Row],[стойност с ДДС]]-Table7[[#This Row],[направено плащане]]</f>
        <v>36</v>
      </c>
      <c r="O1250" s="362"/>
    </row>
    <row r="1251" spans="1:15" ht="20.100000000000001" customHeight="1" x14ac:dyDescent="0.25">
      <c r="A1251" s="206" t="s">
        <v>543</v>
      </c>
      <c r="B1251" s="403">
        <v>500192680</v>
      </c>
      <c r="C1251" s="377"/>
      <c r="D1251" s="369"/>
      <c r="E1251" s="408" t="s">
        <v>422</v>
      </c>
      <c r="F1251" s="416"/>
      <c r="G1251" s="368"/>
      <c r="H1251" s="405"/>
      <c r="I1251" s="406"/>
      <c r="J1251" s="406">
        <v>132</v>
      </c>
      <c r="K1251" s="407">
        <v>132.30000000000001</v>
      </c>
      <c r="L1251" s="368">
        <v>132.30000000000001</v>
      </c>
      <c r="M1251" s="377">
        <v>45547</v>
      </c>
      <c r="N1251" s="368">
        <f>+Table7[[#This Row],[стойност с ДДС]]-Table7[[#This Row],[направено плащане]]</f>
        <v>0</v>
      </c>
      <c r="O1251" s="370"/>
    </row>
    <row r="1252" spans="1:15" ht="20.100000000000001" customHeight="1" x14ac:dyDescent="0.25">
      <c r="A1252" s="206" t="s">
        <v>1626</v>
      </c>
      <c r="B1252" s="403">
        <v>30426429</v>
      </c>
      <c r="C1252" s="377"/>
      <c r="D1252" s="369"/>
      <c r="E1252" s="408" t="s">
        <v>422</v>
      </c>
      <c r="F1252" s="416"/>
      <c r="G1252" s="368"/>
      <c r="H1252" s="405"/>
      <c r="I1252" s="406"/>
      <c r="J1252" s="406">
        <v>2780.62</v>
      </c>
      <c r="K1252" s="407">
        <f>J1252*1.2</f>
        <v>3336.7439999999997</v>
      </c>
      <c r="L1252" s="368"/>
      <c r="M1252" s="377"/>
      <c r="N1252" s="368">
        <f>+Table7[[#This Row],[стойност с ДДС]]-Table7[[#This Row],[направено плащане]]</f>
        <v>3336.7439999999997</v>
      </c>
      <c r="O1252" s="370"/>
    </row>
    <row r="1253" spans="1:15" ht="20.100000000000001" customHeight="1" x14ac:dyDescent="0.25">
      <c r="A1253" s="206" t="s">
        <v>101</v>
      </c>
      <c r="B1253" s="403">
        <v>2543</v>
      </c>
      <c r="C1253" s="377">
        <v>45546</v>
      </c>
      <c r="D1253" s="369"/>
      <c r="E1253" s="404" t="s">
        <v>131</v>
      </c>
      <c r="F1253" s="416"/>
      <c r="G1253" s="368"/>
      <c r="H1253" s="405">
        <v>70</v>
      </c>
      <c r="I1253" s="406">
        <v>58</v>
      </c>
      <c r="J1253" s="406">
        <f>I1253*H1253</f>
        <v>4060</v>
      </c>
      <c r="K1253" s="407">
        <f>J1253*1.2</f>
        <v>4872</v>
      </c>
      <c r="L1253" s="368">
        <v>4872</v>
      </c>
      <c r="M1253" s="377">
        <v>45552</v>
      </c>
      <c r="N1253" s="368">
        <f>+Table7[[#This Row],[стойност с ДДС]]-Table7[[#This Row],[направено плащане]]</f>
        <v>0</v>
      </c>
      <c r="O1253" s="370"/>
    </row>
    <row r="1254" spans="1:15" ht="20.100000000000001" customHeight="1" x14ac:dyDescent="0.25">
      <c r="A1254" s="206" t="s">
        <v>1720</v>
      </c>
      <c r="B1254" s="403">
        <v>14</v>
      </c>
      <c r="C1254" s="377">
        <v>45546</v>
      </c>
      <c r="D1254" s="369"/>
      <c r="E1254" s="404" t="s">
        <v>131</v>
      </c>
      <c r="F1254" s="416"/>
      <c r="G1254" s="368"/>
      <c r="H1254" s="405">
        <v>53</v>
      </c>
      <c r="I1254" s="406">
        <v>57</v>
      </c>
      <c r="J1254" s="406">
        <f>I1254*H1254</f>
        <v>3021</v>
      </c>
      <c r="K1254" s="407">
        <f>J1254*1.2</f>
        <v>3625.2</v>
      </c>
      <c r="L1254" s="368">
        <v>3625.2</v>
      </c>
      <c r="M1254" s="376">
        <v>45551</v>
      </c>
      <c r="N1254" s="368">
        <f>+Table7[[#This Row],[стойност с ДДС]]-Table7[[#This Row],[направено плащане]]</f>
        <v>0</v>
      </c>
      <c r="O1254" s="370"/>
    </row>
    <row r="1255" spans="1:15" ht="20.100000000000001" customHeight="1" x14ac:dyDescent="0.25">
      <c r="A1255" s="206" t="s">
        <v>118</v>
      </c>
      <c r="B1255" s="403">
        <v>3858</v>
      </c>
      <c r="C1255" s="377">
        <v>45546</v>
      </c>
      <c r="D1255" s="369"/>
      <c r="E1255" s="404" t="s">
        <v>131</v>
      </c>
      <c r="F1255" s="416"/>
      <c r="G1255" s="368"/>
      <c r="H1255" s="405">
        <v>500</v>
      </c>
      <c r="I1255" s="406">
        <v>58.3</v>
      </c>
      <c r="J1255" s="406">
        <f>I1255*H1255</f>
        <v>29150</v>
      </c>
      <c r="K1255" s="407">
        <f>J1255*1.2</f>
        <v>34980</v>
      </c>
      <c r="L1255" s="368">
        <v>34980</v>
      </c>
      <c r="M1255" s="377">
        <v>45552</v>
      </c>
      <c r="N1255" s="368">
        <f>+Table7[[#This Row],[стойност с ДДС]]-Table7[[#This Row],[направено плащане]]</f>
        <v>0</v>
      </c>
      <c r="O1255" s="370"/>
    </row>
    <row r="1256" spans="1:15" ht="20.100000000000001" customHeight="1" x14ac:dyDescent="0.25">
      <c r="A1256" s="206" t="s">
        <v>118</v>
      </c>
      <c r="B1256" s="384">
        <v>3858</v>
      </c>
      <c r="C1256" s="377">
        <v>45546</v>
      </c>
      <c r="D1256" s="357"/>
      <c r="E1256" s="404" t="s">
        <v>131</v>
      </c>
      <c r="F1256" s="413"/>
      <c r="G1256" s="356"/>
      <c r="H1256" s="359">
        <v>500</v>
      </c>
      <c r="I1256" s="360">
        <v>58.2</v>
      </c>
      <c r="J1256" s="360">
        <f>I1256*H1256</f>
        <v>29100</v>
      </c>
      <c r="K1256" s="361">
        <f>J1256*1.2</f>
        <v>34920</v>
      </c>
      <c r="L1256" s="356">
        <v>34920</v>
      </c>
      <c r="M1256" s="377">
        <v>45552</v>
      </c>
      <c r="N1256" s="356">
        <f>+Table7[[#This Row],[стойност с ДДС]]-Table7[[#This Row],[направено плащане]]</f>
        <v>0</v>
      </c>
      <c r="O1256" s="362"/>
    </row>
    <row r="1257" spans="1:15" ht="20.100000000000001" customHeight="1" x14ac:dyDescent="0.25">
      <c r="A1257" s="206" t="s">
        <v>159</v>
      </c>
      <c r="B1257" s="403" t="s">
        <v>1756</v>
      </c>
      <c r="C1257" s="377">
        <v>45546</v>
      </c>
      <c r="D1257" s="369"/>
      <c r="E1257" s="404" t="s">
        <v>131</v>
      </c>
      <c r="F1257" s="416"/>
      <c r="G1257" s="368"/>
      <c r="H1257" s="405"/>
      <c r="I1257" s="406"/>
      <c r="J1257" s="406"/>
      <c r="K1257" s="407"/>
      <c r="L1257" s="368"/>
      <c r="M1257" s="377"/>
      <c r="N1257" s="368"/>
      <c r="O1257" s="370"/>
    </row>
    <row r="1258" spans="1:15" ht="20.100000000000001" customHeight="1" x14ac:dyDescent="0.25">
      <c r="A1258" s="206" t="s">
        <v>678</v>
      </c>
      <c r="B1258" s="403">
        <v>650</v>
      </c>
      <c r="C1258" s="377">
        <v>45554</v>
      </c>
      <c r="D1258" s="369"/>
      <c r="E1258" s="404"/>
      <c r="F1258" s="416"/>
      <c r="G1258" s="368"/>
      <c r="H1258" s="405"/>
      <c r="I1258" s="406"/>
      <c r="J1258" s="406">
        <f t="shared" ref="J1258:J1269" si="212">I1258*H1258</f>
        <v>0</v>
      </c>
      <c r="K1258" s="407">
        <v>597.73</v>
      </c>
      <c r="L1258" s="368">
        <v>597.73</v>
      </c>
      <c r="M1258" s="377">
        <v>45548</v>
      </c>
      <c r="N1258" s="368">
        <f>+Table7[[#This Row],[стойност с ДДС]]-Table7[[#This Row],[направено плащане]]</f>
        <v>0</v>
      </c>
      <c r="O1258" s="370"/>
    </row>
    <row r="1259" spans="1:15" ht="20.100000000000001" customHeight="1" x14ac:dyDescent="0.25">
      <c r="A1259" s="206" t="s">
        <v>1017</v>
      </c>
      <c r="B1259" s="403">
        <v>1087</v>
      </c>
      <c r="C1259" s="377">
        <v>45547</v>
      </c>
      <c r="D1259" s="369"/>
      <c r="E1259" s="404" t="s">
        <v>131</v>
      </c>
      <c r="F1259" s="416"/>
      <c r="G1259" s="368"/>
      <c r="H1259" s="405">
        <v>100</v>
      </c>
      <c r="I1259" s="406">
        <v>58</v>
      </c>
      <c r="J1259" s="406">
        <f t="shared" si="212"/>
        <v>5800</v>
      </c>
      <c r="K1259" s="407">
        <f>J1259*1.2</f>
        <v>6960</v>
      </c>
      <c r="L1259" s="368">
        <v>6960</v>
      </c>
      <c r="M1259" s="377">
        <v>45553</v>
      </c>
      <c r="N1259" s="368">
        <f>+Table7[[#This Row],[стойност с ДДС]]-Table7[[#This Row],[направено плащане]]</f>
        <v>0</v>
      </c>
      <c r="O1259" s="370"/>
    </row>
    <row r="1260" spans="1:15" ht="20.100000000000001" customHeight="1" x14ac:dyDescent="0.25">
      <c r="A1260" s="206" t="s">
        <v>159</v>
      </c>
      <c r="B1260" s="403" t="s">
        <v>1755</v>
      </c>
      <c r="C1260" s="377">
        <v>45546</v>
      </c>
      <c r="D1260" s="369"/>
      <c r="E1260" s="404" t="s">
        <v>131</v>
      </c>
      <c r="F1260" s="416"/>
      <c r="G1260" s="368"/>
      <c r="H1260" s="405">
        <v>500</v>
      </c>
      <c r="I1260" s="406">
        <v>29.65493</v>
      </c>
      <c r="J1260" s="406">
        <f t="shared" si="212"/>
        <v>14827.465</v>
      </c>
      <c r="K1260" s="407">
        <v>29006.98</v>
      </c>
      <c r="L1260" s="368">
        <v>29006.959999999999</v>
      </c>
      <c r="M1260" s="377">
        <v>45553</v>
      </c>
      <c r="N1260" s="368">
        <f>+Table7[[#This Row],[стойност с ДДС]]-Table7[[#This Row],[направено плащане]]</f>
        <v>2.0000000000436557E-2</v>
      </c>
      <c r="O1260" s="370"/>
    </row>
    <row r="1261" spans="1:15" ht="20.100000000000001" customHeight="1" x14ac:dyDescent="0.25">
      <c r="A1261" s="206" t="s">
        <v>118</v>
      </c>
      <c r="B1261" s="403">
        <v>3869</v>
      </c>
      <c r="C1261" s="377">
        <v>45547</v>
      </c>
      <c r="D1261" s="369"/>
      <c r="E1261" s="404" t="s">
        <v>131</v>
      </c>
      <c r="F1261" s="416"/>
      <c r="G1261" s="368"/>
      <c r="H1261" s="405">
        <v>500</v>
      </c>
      <c r="I1261" s="406">
        <v>58</v>
      </c>
      <c r="J1261" s="406">
        <f t="shared" si="212"/>
        <v>29000</v>
      </c>
      <c r="K1261" s="407">
        <f>J1261*1.2</f>
        <v>34800</v>
      </c>
      <c r="L1261" s="368">
        <v>34800</v>
      </c>
      <c r="M1261" s="377">
        <v>45553</v>
      </c>
      <c r="N1261" s="368">
        <f>+Table7[[#This Row],[стойност с ДДС]]-Table7[[#This Row],[направено плащане]]</f>
        <v>0</v>
      </c>
      <c r="O1261" s="370"/>
    </row>
    <row r="1262" spans="1:15" ht="20.100000000000001" customHeight="1" x14ac:dyDescent="0.25">
      <c r="A1262" s="206" t="s">
        <v>527</v>
      </c>
      <c r="B1262" s="403">
        <v>636</v>
      </c>
      <c r="C1262" s="377">
        <v>45548</v>
      </c>
      <c r="D1262" s="369"/>
      <c r="E1262" s="408" t="s">
        <v>786</v>
      </c>
      <c r="F1262" s="416"/>
      <c r="G1262" s="368"/>
      <c r="H1262" s="405">
        <v>1</v>
      </c>
      <c r="I1262" s="406">
        <f>825*1.9563</f>
        <v>1613.9475</v>
      </c>
      <c r="J1262" s="406">
        <f t="shared" si="212"/>
        <v>1613.9475</v>
      </c>
      <c r="K1262" s="407">
        <v>1666.77</v>
      </c>
      <c r="L1262" s="377">
        <v>45562</v>
      </c>
      <c r="M1262" s="377"/>
      <c r="N1262" s="368">
        <f>+Table7[[#This Row],[стойност с ДДС]]-Table7[[#This Row],[направено плащане]]</f>
        <v>-43895.23</v>
      </c>
      <c r="O1262" s="370"/>
    </row>
    <row r="1263" spans="1:15" ht="20.100000000000001" customHeight="1" x14ac:dyDescent="0.25">
      <c r="A1263" s="206" t="s">
        <v>1394</v>
      </c>
      <c r="B1263" s="403" t="s">
        <v>1721</v>
      </c>
      <c r="C1263" s="377">
        <v>45549</v>
      </c>
      <c r="D1263" s="369"/>
      <c r="E1263" s="404" t="s">
        <v>131</v>
      </c>
      <c r="F1263" s="416"/>
      <c r="G1263" s="368"/>
      <c r="H1263" s="405">
        <v>15</v>
      </c>
      <c r="I1263" s="406">
        <f>29.39928*1.9563</f>
        <v>57.513811464</v>
      </c>
      <c r="J1263" s="406">
        <f t="shared" si="212"/>
        <v>862.70717195999998</v>
      </c>
      <c r="K1263" s="407">
        <v>862.70717195999998</v>
      </c>
      <c r="L1263" s="368">
        <v>862.70717195999998</v>
      </c>
      <c r="M1263" s="376">
        <v>45554</v>
      </c>
      <c r="N1263" s="368">
        <f>+Table7[[#This Row],[стойност с ДДС]]-Table7[[#This Row],[направено плащане]]</f>
        <v>0</v>
      </c>
      <c r="O1263" s="370"/>
    </row>
    <row r="1264" spans="1:15" ht="20.100000000000001" customHeight="1" x14ac:dyDescent="0.25">
      <c r="A1264" s="206" t="s">
        <v>1394</v>
      </c>
      <c r="B1264" s="403" t="s">
        <v>1722</v>
      </c>
      <c r="C1264" s="377">
        <v>45549</v>
      </c>
      <c r="D1264" s="357"/>
      <c r="E1264" s="404" t="s">
        <v>131</v>
      </c>
      <c r="F1264" s="413"/>
      <c r="G1264" s="356"/>
      <c r="H1264" s="359">
        <v>85</v>
      </c>
      <c r="I1264" s="360">
        <f>29.39928*1.9563</f>
        <v>57.513811464</v>
      </c>
      <c r="J1264" s="360">
        <f t="shared" si="212"/>
        <v>4888.6739744400002</v>
      </c>
      <c r="K1264" s="361">
        <v>4888.68</v>
      </c>
      <c r="L1264" s="356">
        <v>4888.68</v>
      </c>
      <c r="M1264" s="376">
        <v>45554</v>
      </c>
      <c r="N1264" s="356">
        <f>+Table7[[#This Row],[стойност с ДДС]]-Table7[[#This Row],[направено плащане]]</f>
        <v>0</v>
      </c>
      <c r="O1264" s="362"/>
    </row>
    <row r="1265" spans="1:15" ht="20.100000000000001" customHeight="1" x14ac:dyDescent="0.25">
      <c r="A1265" s="206" t="s">
        <v>1723</v>
      </c>
      <c r="B1265" s="403">
        <v>2000004250</v>
      </c>
      <c r="C1265" s="377">
        <v>45548</v>
      </c>
      <c r="D1265" s="369"/>
      <c r="E1265" s="404" t="s">
        <v>131</v>
      </c>
      <c r="F1265" s="416"/>
      <c r="G1265" s="368"/>
      <c r="H1265" s="405">
        <v>10</v>
      </c>
      <c r="I1265" s="406">
        <v>59</v>
      </c>
      <c r="J1265" s="406">
        <f t="shared" si="212"/>
        <v>590</v>
      </c>
      <c r="K1265" s="407">
        <f>J1265*1.2</f>
        <v>708</v>
      </c>
      <c r="L1265" s="368">
        <v>708</v>
      </c>
      <c r="M1265" s="377">
        <v>45552</v>
      </c>
      <c r="N1265" s="368">
        <f>+Table7[[#This Row],[стойност с ДДС]]-Table7[[#This Row],[направено плащане]]</f>
        <v>0</v>
      </c>
      <c r="O1265" s="370"/>
    </row>
    <row r="1266" spans="1:15" ht="20.100000000000001" customHeight="1" x14ac:dyDescent="0.25">
      <c r="A1266" s="206" t="s">
        <v>99</v>
      </c>
      <c r="B1266" s="403">
        <v>20001342</v>
      </c>
      <c r="C1266" s="377">
        <v>45551</v>
      </c>
      <c r="D1266" s="369"/>
      <c r="E1266" s="404" t="s">
        <v>131</v>
      </c>
      <c r="F1266" s="416" t="s">
        <v>1724</v>
      </c>
      <c r="G1266" s="368"/>
      <c r="H1266" s="405">
        <v>50</v>
      </c>
      <c r="I1266" s="406">
        <v>60</v>
      </c>
      <c r="J1266" s="406">
        <f t="shared" si="212"/>
        <v>3000</v>
      </c>
      <c r="K1266" s="407">
        <f>J1266*1.2</f>
        <v>3600</v>
      </c>
      <c r="L1266" s="368">
        <v>3600</v>
      </c>
      <c r="M1266" s="377">
        <v>45553</v>
      </c>
      <c r="N1266" s="368">
        <f>+Table7[[#This Row],[стойност с ДДС]]-Table7[[#This Row],[направено плащане]]</f>
        <v>0</v>
      </c>
      <c r="O1266" s="370"/>
    </row>
    <row r="1267" spans="1:15" ht="20.100000000000001" customHeight="1" x14ac:dyDescent="0.25">
      <c r="A1267" s="206" t="s">
        <v>99</v>
      </c>
      <c r="B1267" s="403">
        <v>20001342</v>
      </c>
      <c r="C1267" s="377">
        <v>45551</v>
      </c>
      <c r="D1267" s="369"/>
      <c r="E1267" s="404" t="s">
        <v>131</v>
      </c>
      <c r="F1267" s="416" t="s">
        <v>1725</v>
      </c>
      <c r="G1267" s="368"/>
      <c r="H1267" s="405">
        <v>50</v>
      </c>
      <c r="I1267" s="406">
        <v>60</v>
      </c>
      <c r="J1267" s="406">
        <f t="shared" si="212"/>
        <v>3000</v>
      </c>
      <c r="K1267" s="407">
        <f>J1267*1.2</f>
        <v>3600</v>
      </c>
      <c r="L1267" s="368">
        <v>3600</v>
      </c>
      <c r="M1267" s="377">
        <v>45553</v>
      </c>
      <c r="N1267" s="368">
        <f>+Table7[[#This Row],[стойност с ДДС]]-Table7[[#This Row],[направено плащане]]</f>
        <v>0</v>
      </c>
      <c r="O1267" s="370"/>
    </row>
    <row r="1268" spans="1:15" ht="20.100000000000001" customHeight="1" x14ac:dyDescent="0.25">
      <c r="A1268" s="206" t="s">
        <v>1017</v>
      </c>
      <c r="B1268" s="403">
        <v>1097</v>
      </c>
      <c r="C1268" s="377">
        <v>45548</v>
      </c>
      <c r="D1268" s="369"/>
      <c r="E1268" s="404" t="s">
        <v>131</v>
      </c>
      <c r="F1268" s="416" t="s">
        <v>1726</v>
      </c>
      <c r="G1268" s="368"/>
      <c r="H1268" s="405">
        <v>220</v>
      </c>
      <c r="I1268" s="406">
        <v>58</v>
      </c>
      <c r="J1268" s="406">
        <f t="shared" si="212"/>
        <v>12760</v>
      </c>
      <c r="K1268" s="407">
        <f>J1268*1.2</f>
        <v>15312</v>
      </c>
      <c r="L1268" s="368">
        <v>15312</v>
      </c>
      <c r="M1268" s="376">
        <v>45554</v>
      </c>
      <c r="N1268" s="368">
        <f>+Table7[[#This Row],[стойност с ДДС]]-Table7[[#This Row],[направено плащане]]</f>
        <v>0</v>
      </c>
      <c r="O1268" s="370"/>
    </row>
    <row r="1269" spans="1:15" ht="20.100000000000001" customHeight="1" x14ac:dyDescent="0.25">
      <c r="A1269" s="206" t="s">
        <v>118</v>
      </c>
      <c r="B1269" s="403">
        <v>3894</v>
      </c>
      <c r="C1269" s="377">
        <v>45550</v>
      </c>
      <c r="D1269" s="369"/>
      <c r="E1269" s="404" t="s">
        <v>131</v>
      </c>
      <c r="F1269" s="416" t="s">
        <v>1727</v>
      </c>
      <c r="G1269" s="368"/>
      <c r="H1269" s="405">
        <v>100</v>
      </c>
      <c r="I1269" s="406">
        <v>57.4</v>
      </c>
      <c r="J1269" s="406">
        <f t="shared" si="212"/>
        <v>5740</v>
      </c>
      <c r="K1269" s="407">
        <f>J1269*1.2</f>
        <v>6888</v>
      </c>
      <c r="L1269" s="368">
        <v>6888</v>
      </c>
      <c r="M1269" s="376">
        <v>45554</v>
      </c>
      <c r="N1269" s="368">
        <f>+Table7[[#This Row],[стойност с ДДС]]-Table7[[#This Row],[направено плащане]]</f>
        <v>0</v>
      </c>
      <c r="O1269" s="370"/>
    </row>
    <row r="1270" spans="1:15" ht="20.100000000000001" customHeight="1" x14ac:dyDescent="0.25">
      <c r="A1270" s="206" t="s">
        <v>118</v>
      </c>
      <c r="B1270" s="384">
        <v>3890</v>
      </c>
      <c r="C1270" s="377">
        <v>45549</v>
      </c>
      <c r="D1270" s="357"/>
      <c r="E1270" s="404" t="s">
        <v>131</v>
      </c>
      <c r="F1270" s="413" t="s">
        <v>1728</v>
      </c>
      <c r="G1270" s="356"/>
      <c r="H1270" s="359">
        <v>100</v>
      </c>
      <c r="I1270" s="360">
        <v>57.5</v>
      </c>
      <c r="J1270" s="360">
        <f t="shared" ref="J1270:J1272" si="213">I1270*H1270</f>
        <v>5750</v>
      </c>
      <c r="K1270" s="361">
        <f t="shared" ref="K1270:K1272" si="214">J1270*1.2</f>
        <v>6900</v>
      </c>
      <c r="L1270" s="356">
        <v>6900</v>
      </c>
      <c r="M1270" s="376">
        <v>45554</v>
      </c>
      <c r="N1270" s="356">
        <f>+Table7[[#This Row],[стойност с ДДС]]-Table7[[#This Row],[направено плащане]]</f>
        <v>0</v>
      </c>
      <c r="O1270" s="362"/>
    </row>
    <row r="1271" spans="1:15" ht="20.100000000000001" customHeight="1" x14ac:dyDescent="0.25">
      <c r="A1271" s="206" t="s">
        <v>118</v>
      </c>
      <c r="B1271" s="384">
        <v>3890</v>
      </c>
      <c r="C1271" s="377">
        <v>45549</v>
      </c>
      <c r="D1271" s="357"/>
      <c r="E1271" s="404" t="s">
        <v>131</v>
      </c>
      <c r="F1271" s="413" t="s">
        <v>1729</v>
      </c>
      <c r="G1271" s="356"/>
      <c r="H1271" s="359">
        <v>100</v>
      </c>
      <c r="I1271" s="360">
        <v>58</v>
      </c>
      <c r="J1271" s="360">
        <f t="shared" si="213"/>
        <v>5800</v>
      </c>
      <c r="K1271" s="361">
        <f t="shared" si="214"/>
        <v>6960</v>
      </c>
      <c r="L1271" s="356">
        <v>6960</v>
      </c>
      <c r="M1271" s="376">
        <v>45554</v>
      </c>
      <c r="N1271" s="356">
        <f>+Table7[[#This Row],[стойност с ДДС]]-Table7[[#This Row],[направено плащане]]</f>
        <v>0</v>
      </c>
      <c r="O1271" s="362"/>
    </row>
    <row r="1272" spans="1:15" ht="20.100000000000001" customHeight="1" x14ac:dyDescent="0.25">
      <c r="A1272" s="206" t="s">
        <v>118</v>
      </c>
      <c r="B1272" s="384">
        <v>3890</v>
      </c>
      <c r="C1272" s="377">
        <v>45549</v>
      </c>
      <c r="D1272" s="357"/>
      <c r="E1272" s="404" t="s">
        <v>131</v>
      </c>
      <c r="F1272" s="413" t="s">
        <v>1730</v>
      </c>
      <c r="G1272" s="356"/>
      <c r="H1272" s="359">
        <v>50</v>
      </c>
      <c r="I1272" s="360">
        <v>57.5</v>
      </c>
      <c r="J1272" s="360">
        <f t="shared" si="213"/>
        <v>2875</v>
      </c>
      <c r="K1272" s="361">
        <f t="shared" si="214"/>
        <v>3450</v>
      </c>
      <c r="L1272" s="356">
        <v>3450</v>
      </c>
      <c r="M1272" s="376">
        <v>45554</v>
      </c>
      <c r="N1272" s="356">
        <f>+Table7[[#This Row],[стойност с ДДС]]-Table7[[#This Row],[направено плащане]]</f>
        <v>0</v>
      </c>
      <c r="O1272" s="362"/>
    </row>
    <row r="1273" spans="1:15" ht="20.100000000000001" customHeight="1" x14ac:dyDescent="0.25">
      <c r="A1273" s="206" t="s">
        <v>118</v>
      </c>
      <c r="B1273" s="384">
        <v>3887</v>
      </c>
      <c r="C1273" s="376">
        <v>45548</v>
      </c>
      <c r="D1273" s="357"/>
      <c r="E1273" s="404" t="s">
        <v>131</v>
      </c>
      <c r="F1273" s="413" t="s">
        <v>1731</v>
      </c>
      <c r="G1273" s="356"/>
      <c r="H1273" s="359">
        <v>700</v>
      </c>
      <c r="I1273" s="360">
        <v>57.75</v>
      </c>
      <c r="J1273" s="360">
        <f>I1273*H1273</f>
        <v>40425</v>
      </c>
      <c r="K1273" s="361">
        <f>J1273*1.2</f>
        <v>48510</v>
      </c>
      <c r="L1273" s="356">
        <v>48510</v>
      </c>
      <c r="M1273" s="376">
        <v>45554</v>
      </c>
      <c r="N1273" s="356">
        <f>+Table7[[#This Row],[стойност с ДДС]]-Table7[[#This Row],[направено плащане]]</f>
        <v>0</v>
      </c>
      <c r="O1273" s="362"/>
    </row>
    <row r="1274" spans="1:15" ht="20.100000000000001" customHeight="1" x14ac:dyDescent="0.25">
      <c r="A1274" s="151" t="s">
        <v>118</v>
      </c>
      <c r="B1274" s="384">
        <v>3887</v>
      </c>
      <c r="C1274" s="376">
        <v>45548</v>
      </c>
      <c r="D1274" s="357"/>
      <c r="E1274" s="358" t="s">
        <v>131</v>
      </c>
      <c r="F1274" s="413" t="s">
        <v>1732</v>
      </c>
      <c r="G1274" s="356"/>
      <c r="H1274" s="359">
        <v>60</v>
      </c>
      <c r="I1274" s="360">
        <v>57.75</v>
      </c>
      <c r="J1274" s="360">
        <f t="shared" ref="J1274:J1275" si="215">I1274*H1274</f>
        <v>3465</v>
      </c>
      <c r="K1274" s="361">
        <f t="shared" ref="K1274:K1275" si="216">J1274*1.2</f>
        <v>4158</v>
      </c>
      <c r="L1274" s="356">
        <v>4158</v>
      </c>
      <c r="M1274" s="376">
        <v>45554</v>
      </c>
      <c r="N1274" s="356">
        <f>+Table7[[#This Row],[стойност с ДДС]]-Table7[[#This Row],[направено плащане]]</f>
        <v>0</v>
      </c>
      <c r="O1274" s="362"/>
    </row>
    <row r="1275" spans="1:15" ht="20.100000000000001" customHeight="1" x14ac:dyDescent="0.25">
      <c r="A1275" s="206" t="s">
        <v>118</v>
      </c>
      <c r="B1275" s="403">
        <v>3887</v>
      </c>
      <c r="C1275" s="377">
        <v>45548</v>
      </c>
      <c r="D1275" s="369"/>
      <c r="E1275" s="404" t="s">
        <v>131</v>
      </c>
      <c r="F1275" s="416" t="s">
        <v>1733</v>
      </c>
      <c r="G1275" s="368"/>
      <c r="H1275" s="405">
        <v>50</v>
      </c>
      <c r="I1275" s="406">
        <v>60</v>
      </c>
      <c r="J1275" s="406">
        <f t="shared" si="215"/>
        <v>3000</v>
      </c>
      <c r="K1275" s="407">
        <f t="shared" si="216"/>
        <v>3600</v>
      </c>
      <c r="L1275" s="368">
        <v>3600</v>
      </c>
      <c r="M1275" s="376">
        <v>45554</v>
      </c>
      <c r="N1275" s="368">
        <f>+Table7[[#This Row],[стойност с ДДС]]-Table7[[#This Row],[направено плащане]]</f>
        <v>0</v>
      </c>
      <c r="O1275" s="370"/>
    </row>
    <row r="1276" spans="1:15" ht="20.100000000000001" customHeight="1" x14ac:dyDescent="0.25">
      <c r="A1276" s="206" t="s">
        <v>159</v>
      </c>
      <c r="B1276" s="403" t="s">
        <v>1753</v>
      </c>
      <c r="C1276" s="377">
        <v>45550</v>
      </c>
      <c r="D1276" s="369"/>
      <c r="E1276" s="404" t="s">
        <v>131</v>
      </c>
      <c r="F1276" s="416" t="s">
        <v>1734</v>
      </c>
      <c r="G1276" s="368"/>
      <c r="H1276" s="405">
        <v>15</v>
      </c>
      <c r="I1276" s="406">
        <f>29.52711*1.9563</f>
        <v>57.763885293000001</v>
      </c>
      <c r="J1276" s="406">
        <f>I1276*H1276</f>
        <v>866.45827939499998</v>
      </c>
      <c r="K1276" s="407">
        <v>866.45827939499998</v>
      </c>
      <c r="L1276" s="368">
        <v>866.45827939499998</v>
      </c>
      <c r="M1276" s="376">
        <v>45554</v>
      </c>
      <c r="N1276" s="368">
        <f>+Table7[[#This Row],[стойност с ДДС]]-Table7[[#This Row],[направено плащане]]</f>
        <v>0</v>
      </c>
      <c r="O1276" s="370"/>
    </row>
    <row r="1277" spans="1:15" ht="20.100000000000001" customHeight="1" x14ac:dyDescent="0.25">
      <c r="A1277" s="151" t="s">
        <v>159</v>
      </c>
      <c r="B1277" s="384" t="s">
        <v>1753</v>
      </c>
      <c r="C1277" s="376">
        <v>45550</v>
      </c>
      <c r="D1277" s="357"/>
      <c r="E1277" s="358" t="s">
        <v>131</v>
      </c>
      <c r="F1277" s="413" t="s">
        <v>1735</v>
      </c>
      <c r="G1277" s="356"/>
      <c r="H1277" s="359">
        <v>326</v>
      </c>
      <c r="I1277" s="360">
        <f>29.39928*1.9563</f>
        <v>57.513811464</v>
      </c>
      <c r="J1277" s="360">
        <f t="shared" ref="J1277:J1278" si="217">I1277*H1277</f>
        <v>18749.502537264001</v>
      </c>
      <c r="K1277" s="361">
        <v>18749.502537264001</v>
      </c>
      <c r="L1277" s="356">
        <v>18749.502537264001</v>
      </c>
      <c r="M1277" s="376">
        <v>45554</v>
      </c>
      <c r="N1277" s="356">
        <f>+Table7[[#This Row],[стойност с ДДС]]-Table7[[#This Row],[направено плащане]]</f>
        <v>0</v>
      </c>
      <c r="O1277" s="362"/>
    </row>
    <row r="1278" spans="1:15" ht="20.100000000000001" customHeight="1" x14ac:dyDescent="0.25">
      <c r="A1278" s="206" t="s">
        <v>159</v>
      </c>
      <c r="B1278" s="403" t="s">
        <v>1753</v>
      </c>
      <c r="C1278" s="377">
        <v>45550</v>
      </c>
      <c r="D1278" s="369"/>
      <c r="E1278" s="404" t="s">
        <v>131</v>
      </c>
      <c r="F1278" s="416" t="s">
        <v>1736</v>
      </c>
      <c r="G1278" s="368"/>
      <c r="H1278" s="405">
        <v>500</v>
      </c>
      <c r="I1278" s="406">
        <f>29.39928*1.9563</f>
        <v>57.513811464</v>
      </c>
      <c r="J1278" s="406">
        <f t="shared" si="217"/>
        <v>28756.905731999999</v>
      </c>
      <c r="K1278" s="407">
        <v>28756.905731999999</v>
      </c>
      <c r="L1278" s="368">
        <v>28756.905731999999</v>
      </c>
      <c r="M1278" s="376">
        <v>45554</v>
      </c>
      <c r="N1278" s="368">
        <f>+Table7[[#This Row],[стойност с ДДС]]-Table7[[#This Row],[направено плащане]]</f>
        <v>0</v>
      </c>
      <c r="O1278" s="370"/>
    </row>
    <row r="1279" spans="1:15" ht="20.100000000000001" customHeight="1" x14ac:dyDescent="0.25">
      <c r="A1279" s="206" t="s">
        <v>157</v>
      </c>
      <c r="B1279" s="403">
        <v>13604</v>
      </c>
      <c r="C1279" s="377">
        <v>45551</v>
      </c>
      <c r="D1279" s="369"/>
      <c r="E1279" s="404" t="s">
        <v>131</v>
      </c>
      <c r="F1279" s="416" t="s">
        <v>1738</v>
      </c>
      <c r="G1279" s="368"/>
      <c r="H1279" s="405">
        <v>10</v>
      </c>
      <c r="I1279" s="406">
        <v>57.9</v>
      </c>
      <c r="J1279" s="406">
        <f>I1279*H1279</f>
        <v>579</v>
      </c>
      <c r="K1279" s="407">
        <f>J1279*1.2</f>
        <v>694.8</v>
      </c>
      <c r="L1279" s="368">
        <v>694.8</v>
      </c>
      <c r="M1279" s="376">
        <v>45554</v>
      </c>
      <c r="N1279" s="368">
        <f>+Table7[[#This Row],[стойност с ДДС]]-Table7[[#This Row],[направено плащане]]</f>
        <v>0</v>
      </c>
      <c r="O1279" s="370"/>
    </row>
    <row r="1280" spans="1:15" ht="20.100000000000001" customHeight="1" x14ac:dyDescent="0.25">
      <c r="A1280" s="206" t="s">
        <v>157</v>
      </c>
      <c r="B1280" s="403">
        <v>13604</v>
      </c>
      <c r="C1280" s="377">
        <v>45551</v>
      </c>
      <c r="D1280" s="369"/>
      <c r="E1280" s="404" t="s">
        <v>131</v>
      </c>
      <c r="F1280" s="416">
        <v>162182</v>
      </c>
      <c r="G1280" s="368"/>
      <c r="H1280" s="405">
        <v>95</v>
      </c>
      <c r="I1280" s="406">
        <v>57.5</v>
      </c>
      <c r="J1280" s="406">
        <f>I1280*H1280</f>
        <v>5462.5</v>
      </c>
      <c r="K1280" s="407">
        <f>J1280*1.2</f>
        <v>6555</v>
      </c>
      <c r="L1280" s="368">
        <v>6555</v>
      </c>
      <c r="M1280" s="376">
        <v>45554</v>
      </c>
      <c r="N1280" s="368">
        <f>+Table7[[#This Row],[стойност с ДДС]]-Table7[[#This Row],[направено плащане]]</f>
        <v>0</v>
      </c>
      <c r="O1280" s="370"/>
    </row>
    <row r="1281" spans="1:15" ht="20.100000000000001" customHeight="1" x14ac:dyDescent="0.3">
      <c r="A1281" s="206" t="s">
        <v>341</v>
      </c>
      <c r="B1281" s="403">
        <v>100002473</v>
      </c>
      <c r="C1281" s="377">
        <v>45552</v>
      </c>
      <c r="D1281" s="369"/>
      <c r="E1281" s="49" t="s">
        <v>422</v>
      </c>
      <c r="F1281" s="416"/>
      <c r="G1281" s="368"/>
      <c r="H1281" s="405"/>
      <c r="I1281" s="406"/>
      <c r="J1281" s="406">
        <v>600</v>
      </c>
      <c r="K1281" s="407">
        <v>720</v>
      </c>
      <c r="L1281" s="368">
        <v>720</v>
      </c>
      <c r="M1281" s="376">
        <v>45554</v>
      </c>
      <c r="N1281" s="368">
        <f>+Table7[[#This Row],[стойност с ДДС]]-Table7[[#This Row],[направено плащане]]</f>
        <v>0</v>
      </c>
      <c r="O1281" s="370"/>
    </row>
    <row r="1282" spans="1:15" ht="20.100000000000001" customHeight="1" x14ac:dyDescent="0.25">
      <c r="A1282" s="206" t="s">
        <v>37</v>
      </c>
      <c r="B1282" s="403">
        <v>800002282</v>
      </c>
      <c r="C1282" s="377">
        <v>45551</v>
      </c>
      <c r="D1282" s="369"/>
      <c r="E1282" s="404" t="s">
        <v>131</v>
      </c>
      <c r="F1282" s="416" t="s">
        <v>1739</v>
      </c>
      <c r="G1282" s="368"/>
      <c r="H1282" s="405">
        <v>50</v>
      </c>
      <c r="I1282" s="406">
        <v>57.5</v>
      </c>
      <c r="J1282" s="406">
        <f t="shared" ref="J1282:J1296" si="218">I1282*H1282</f>
        <v>2875</v>
      </c>
      <c r="K1282" s="407">
        <f>J1282*1.2</f>
        <v>3450</v>
      </c>
      <c r="L1282" s="368">
        <v>3450</v>
      </c>
      <c r="M1282" s="376">
        <v>45554</v>
      </c>
      <c r="N1282" s="368">
        <f>+Table7[[#This Row],[стойност с ДДС]]-Table7[[#This Row],[направено плащане]]</f>
        <v>0</v>
      </c>
      <c r="O1282" s="370"/>
    </row>
    <row r="1283" spans="1:15" ht="20.100000000000001" customHeight="1" x14ac:dyDescent="0.25">
      <c r="A1283" s="151" t="s">
        <v>37</v>
      </c>
      <c r="B1283" s="384">
        <v>800002282</v>
      </c>
      <c r="C1283" s="376">
        <v>45551</v>
      </c>
      <c r="D1283" s="357"/>
      <c r="E1283" s="358" t="s">
        <v>131</v>
      </c>
      <c r="F1283" s="413" t="s">
        <v>1740</v>
      </c>
      <c r="G1283" s="356"/>
      <c r="H1283" s="359">
        <v>30</v>
      </c>
      <c r="I1283" s="360">
        <v>57.5</v>
      </c>
      <c r="J1283" s="360">
        <f t="shared" si="218"/>
        <v>1725</v>
      </c>
      <c r="K1283" s="361">
        <f t="shared" ref="K1283:K1284" si="219">J1283*1.2</f>
        <v>2070</v>
      </c>
      <c r="L1283" s="356">
        <v>2070</v>
      </c>
      <c r="M1283" s="376">
        <v>45554</v>
      </c>
      <c r="N1283" s="356">
        <f>+Table7[[#This Row],[стойност с ДДС]]-Table7[[#This Row],[направено плащане]]</f>
        <v>0</v>
      </c>
      <c r="O1283" s="362"/>
    </row>
    <row r="1284" spans="1:15" ht="20.100000000000001" customHeight="1" x14ac:dyDescent="0.25">
      <c r="A1284" s="206" t="s">
        <v>37</v>
      </c>
      <c r="B1284" s="403">
        <v>800002282</v>
      </c>
      <c r="C1284" s="377">
        <v>45551</v>
      </c>
      <c r="D1284" s="369"/>
      <c r="E1284" s="404" t="s">
        <v>131</v>
      </c>
      <c r="F1284" s="416" t="s">
        <v>1741</v>
      </c>
      <c r="G1284" s="368"/>
      <c r="H1284" s="405">
        <v>80</v>
      </c>
      <c r="I1284" s="406">
        <v>57.5</v>
      </c>
      <c r="J1284" s="406">
        <f t="shared" si="218"/>
        <v>4600</v>
      </c>
      <c r="K1284" s="407">
        <f t="shared" si="219"/>
        <v>5520</v>
      </c>
      <c r="L1284" s="368">
        <v>5520</v>
      </c>
      <c r="M1284" s="376">
        <v>45554</v>
      </c>
      <c r="N1284" s="368">
        <f>+Table7[[#This Row],[стойност с ДДС]]-Table7[[#This Row],[направено плащане]]</f>
        <v>0</v>
      </c>
      <c r="O1284" s="370"/>
    </row>
    <row r="1285" spans="1:15" ht="20.100000000000001" customHeight="1" x14ac:dyDescent="0.25">
      <c r="A1285" s="206" t="s">
        <v>37</v>
      </c>
      <c r="B1285" s="403">
        <v>8000002286</v>
      </c>
      <c r="C1285" s="377">
        <v>45551</v>
      </c>
      <c r="D1285" s="369"/>
      <c r="E1285" s="404" t="s">
        <v>131</v>
      </c>
      <c r="F1285" s="416" t="s">
        <v>1742</v>
      </c>
      <c r="G1285" s="368"/>
      <c r="H1285" s="405">
        <v>50</v>
      </c>
      <c r="I1285" s="406">
        <v>57</v>
      </c>
      <c r="J1285" s="406">
        <f t="shared" si="218"/>
        <v>2850</v>
      </c>
      <c r="K1285" s="407">
        <f>J1285*1.2</f>
        <v>3420</v>
      </c>
      <c r="L1285" s="368">
        <v>3420</v>
      </c>
      <c r="M1285" s="376">
        <v>45554</v>
      </c>
      <c r="N1285" s="368">
        <f>+Table7[[#This Row],[стойност с ДДС]]-Table7[[#This Row],[направено плащане]]</f>
        <v>0</v>
      </c>
      <c r="O1285" s="370"/>
    </row>
    <row r="1286" spans="1:15" ht="20.100000000000001" customHeight="1" x14ac:dyDescent="0.25">
      <c r="A1286" s="206" t="s">
        <v>157</v>
      </c>
      <c r="B1286" s="384">
        <v>13627</v>
      </c>
      <c r="C1286" s="377">
        <v>45551</v>
      </c>
      <c r="D1286" s="369"/>
      <c r="E1286" s="404" t="s">
        <v>131</v>
      </c>
      <c r="F1286" s="420">
        <v>162289</v>
      </c>
      <c r="G1286" s="368"/>
      <c r="H1286" s="405">
        <v>50</v>
      </c>
      <c r="I1286" s="406">
        <v>58.21</v>
      </c>
      <c r="J1286" s="406">
        <f t="shared" si="218"/>
        <v>2910.5</v>
      </c>
      <c r="K1286" s="407">
        <f>J1286*1.2</f>
        <v>3492.6</v>
      </c>
      <c r="L1286" s="368">
        <v>3492.6</v>
      </c>
      <c r="M1286" s="376">
        <v>45554</v>
      </c>
      <c r="N1286" s="368">
        <f>+Table7[[#This Row],[стойност с ДДС]]-Table7[[#This Row],[направено плащане]]</f>
        <v>0</v>
      </c>
      <c r="O1286" s="370"/>
    </row>
    <row r="1287" spans="1:15" ht="20.100000000000001" customHeight="1" x14ac:dyDescent="0.25">
      <c r="A1287" s="206" t="s">
        <v>157</v>
      </c>
      <c r="B1287" s="403">
        <v>13627</v>
      </c>
      <c r="C1287" s="377">
        <v>45551</v>
      </c>
      <c r="D1287" s="369"/>
      <c r="E1287" s="404" t="s">
        <v>131</v>
      </c>
      <c r="F1287" s="420" t="s">
        <v>1743</v>
      </c>
      <c r="G1287" s="368"/>
      <c r="H1287" s="405">
        <v>80</v>
      </c>
      <c r="I1287" s="406">
        <v>58.6</v>
      </c>
      <c r="J1287" s="406">
        <f t="shared" si="218"/>
        <v>4688</v>
      </c>
      <c r="K1287" s="407">
        <f>J1287*1.2</f>
        <v>5625.5999999999995</v>
      </c>
      <c r="L1287" s="368">
        <v>5625.5999999999995</v>
      </c>
      <c r="M1287" s="376">
        <v>45554</v>
      </c>
      <c r="N1287" s="368">
        <f>+Table7[[#This Row],[стойност с ДДС]]-Table7[[#This Row],[направено плащане]]</f>
        <v>0</v>
      </c>
      <c r="O1287" s="370"/>
    </row>
    <row r="1288" spans="1:15" ht="20.100000000000001" customHeight="1" x14ac:dyDescent="0.25">
      <c r="A1288" s="206" t="s">
        <v>118</v>
      </c>
      <c r="B1288" s="403">
        <v>3900</v>
      </c>
      <c r="C1288" s="377">
        <v>45551</v>
      </c>
      <c r="D1288" s="369"/>
      <c r="E1288" s="404" t="s">
        <v>131</v>
      </c>
      <c r="F1288" s="416" t="s">
        <v>1744</v>
      </c>
      <c r="G1288" s="368"/>
      <c r="H1288" s="405">
        <v>500</v>
      </c>
      <c r="I1288" s="406">
        <v>57.2</v>
      </c>
      <c r="J1288" s="406">
        <f t="shared" si="218"/>
        <v>28600</v>
      </c>
      <c r="K1288" s="407">
        <f>J1288*1.2</f>
        <v>34320</v>
      </c>
      <c r="L1288" s="368">
        <v>34320</v>
      </c>
      <c r="M1288" s="377">
        <v>45555</v>
      </c>
      <c r="N1288" s="368">
        <f>+Table7[[#This Row],[стойност с ДДС]]-Table7[[#This Row],[направено плащане]]</f>
        <v>0</v>
      </c>
      <c r="O1288" s="370"/>
    </row>
    <row r="1289" spans="1:15" ht="20.100000000000001" customHeight="1" x14ac:dyDescent="0.25">
      <c r="A1289" s="206" t="s">
        <v>118</v>
      </c>
      <c r="B1289" s="403">
        <v>3900</v>
      </c>
      <c r="C1289" s="377">
        <v>45551</v>
      </c>
      <c r="D1289" s="369"/>
      <c r="E1289" s="404" t="s">
        <v>131</v>
      </c>
      <c r="F1289" s="416" t="s">
        <v>1745</v>
      </c>
      <c r="G1289" s="368"/>
      <c r="H1289" s="405">
        <v>300</v>
      </c>
      <c r="I1289" s="406">
        <v>57.2</v>
      </c>
      <c r="J1289" s="406">
        <f t="shared" si="218"/>
        <v>17160</v>
      </c>
      <c r="K1289" s="407">
        <f>J1289*1.2</f>
        <v>20592</v>
      </c>
      <c r="L1289" s="368">
        <v>20592</v>
      </c>
      <c r="M1289" s="377">
        <v>45555</v>
      </c>
      <c r="N1289" s="368">
        <f>+Table7[[#This Row],[стойност с ДДС]]-Table7[[#This Row],[направено плащане]]</f>
        <v>0</v>
      </c>
      <c r="O1289" s="370"/>
    </row>
    <row r="1290" spans="1:15" ht="20.100000000000001" customHeight="1" x14ac:dyDescent="0.25">
      <c r="A1290" s="206" t="s">
        <v>159</v>
      </c>
      <c r="B1290" s="403" t="s">
        <v>1746</v>
      </c>
      <c r="C1290" s="377">
        <v>45551</v>
      </c>
      <c r="D1290" s="369"/>
      <c r="E1290" s="404" t="s">
        <v>131</v>
      </c>
      <c r="F1290" s="416" t="s">
        <v>1747</v>
      </c>
      <c r="G1290" s="368"/>
      <c r="H1290" s="405">
        <v>500</v>
      </c>
      <c r="I1290" s="406">
        <v>29.261230000000001</v>
      </c>
      <c r="J1290" s="406">
        <f t="shared" si="218"/>
        <v>14630.615</v>
      </c>
      <c r="K1290" s="407">
        <v>28621.88</v>
      </c>
      <c r="L1290" s="407">
        <v>28621.88</v>
      </c>
      <c r="M1290" s="377">
        <v>45555</v>
      </c>
      <c r="N1290" s="368">
        <f>+Table7[[#This Row],[стойност с ДДС]]-Table7[[#This Row],[направено плащане]]</f>
        <v>0</v>
      </c>
      <c r="O1290" s="370"/>
    </row>
    <row r="1291" spans="1:15" ht="20.100000000000001" customHeight="1" x14ac:dyDescent="0.25">
      <c r="A1291" s="206" t="s">
        <v>1017</v>
      </c>
      <c r="B1291" s="403">
        <v>1101</v>
      </c>
      <c r="C1291" s="377">
        <v>45550</v>
      </c>
      <c r="D1291" s="369"/>
      <c r="E1291" s="404" t="s">
        <v>131</v>
      </c>
      <c r="F1291" s="416" t="s">
        <v>1748</v>
      </c>
      <c r="G1291" s="368"/>
      <c r="H1291" s="405">
        <v>500</v>
      </c>
      <c r="I1291" s="406">
        <v>57.5</v>
      </c>
      <c r="J1291" s="406">
        <f t="shared" si="218"/>
        <v>28750</v>
      </c>
      <c r="K1291" s="407">
        <f>J1291*1.2</f>
        <v>34500</v>
      </c>
      <c r="L1291" s="368">
        <v>34500</v>
      </c>
      <c r="M1291" s="376">
        <v>45554</v>
      </c>
      <c r="N1291" s="368">
        <f>+Table7[[#This Row],[стойност с ДДС]]-Table7[[#This Row],[направено плащане]]</f>
        <v>0</v>
      </c>
      <c r="O1291" s="370"/>
    </row>
    <row r="1292" spans="1:15" ht="20.100000000000001" customHeight="1" x14ac:dyDescent="0.25">
      <c r="A1292" s="206" t="s">
        <v>268</v>
      </c>
      <c r="B1292" s="403">
        <v>2000001156</v>
      </c>
      <c r="C1292" s="377">
        <v>45552</v>
      </c>
      <c r="D1292" s="369"/>
      <c r="E1292" s="404" t="s">
        <v>131</v>
      </c>
      <c r="F1292" s="416"/>
      <c r="G1292" s="368"/>
      <c r="H1292" s="405">
        <v>500</v>
      </c>
      <c r="I1292" s="406">
        <v>56.1</v>
      </c>
      <c r="J1292" s="406">
        <f t="shared" si="218"/>
        <v>28050</v>
      </c>
      <c r="K1292" s="407">
        <f>J1292*1.2</f>
        <v>33660</v>
      </c>
      <c r="L1292" s="368">
        <v>33660</v>
      </c>
      <c r="M1292" s="377">
        <v>45559</v>
      </c>
      <c r="N1292" s="368">
        <f>+Table7[[#This Row],[стойност с ДДС]]-Table7[[#This Row],[направено плащане]]</f>
        <v>0</v>
      </c>
      <c r="O1292" s="421">
        <v>45560</v>
      </c>
    </row>
    <row r="1293" spans="1:15" ht="20.100000000000001" customHeight="1" x14ac:dyDescent="0.25">
      <c r="A1293" s="206" t="s">
        <v>159</v>
      </c>
      <c r="B1293" s="403" t="s">
        <v>1754</v>
      </c>
      <c r="C1293" s="377">
        <v>45552</v>
      </c>
      <c r="D1293" s="369"/>
      <c r="E1293" s="404" t="s">
        <v>131</v>
      </c>
      <c r="F1293" s="416" t="s">
        <v>1750</v>
      </c>
      <c r="G1293" s="368"/>
      <c r="H1293" s="405">
        <v>200</v>
      </c>
      <c r="I1293" s="406">
        <v>28.637460000000001</v>
      </c>
      <c r="J1293" s="406">
        <f t="shared" si="218"/>
        <v>5727.4920000000002</v>
      </c>
      <c r="K1293" s="407">
        <v>11204.69</v>
      </c>
      <c r="L1293" s="368">
        <v>11204.69</v>
      </c>
      <c r="M1293" s="377" t="s">
        <v>1758</v>
      </c>
      <c r="N1293" s="368">
        <f>+Table7[[#This Row],[стойност с ДДС]]-Table7[[#This Row],[направено плащане]]</f>
        <v>0</v>
      </c>
      <c r="O1293" s="370"/>
    </row>
    <row r="1294" spans="1:15" ht="20.100000000000001" customHeight="1" x14ac:dyDescent="0.25">
      <c r="A1294" s="206" t="s">
        <v>118</v>
      </c>
      <c r="B1294" s="403">
        <v>3905</v>
      </c>
      <c r="C1294" s="377">
        <v>45552</v>
      </c>
      <c r="D1294" s="369"/>
      <c r="E1294" s="404" t="s">
        <v>131</v>
      </c>
      <c r="F1294" s="416" t="s">
        <v>1751</v>
      </c>
      <c r="G1294" s="368"/>
      <c r="H1294" s="405">
        <v>500</v>
      </c>
      <c r="I1294" s="406">
        <v>55.75</v>
      </c>
      <c r="J1294" s="406">
        <f t="shared" si="218"/>
        <v>27875</v>
      </c>
      <c r="K1294" s="407">
        <f>J1294*1.2</f>
        <v>33450</v>
      </c>
      <c r="L1294" s="368">
        <v>33450</v>
      </c>
      <c r="M1294" s="377">
        <v>45559</v>
      </c>
      <c r="N1294" s="368">
        <f>+Table7[[#This Row],[стойност с ДДС]]-Table7[[#This Row],[направено плащане]]</f>
        <v>0</v>
      </c>
      <c r="O1294" s="421">
        <v>45560</v>
      </c>
    </row>
    <row r="1295" spans="1:15" ht="20.100000000000001" customHeight="1" x14ac:dyDescent="0.25">
      <c r="A1295" s="206" t="s">
        <v>118</v>
      </c>
      <c r="B1295" s="403">
        <v>3905</v>
      </c>
      <c r="C1295" s="377">
        <v>45552</v>
      </c>
      <c r="D1295" s="369"/>
      <c r="E1295" s="404" t="s">
        <v>131</v>
      </c>
      <c r="F1295" s="416" t="s">
        <v>1752</v>
      </c>
      <c r="G1295" s="368"/>
      <c r="H1295" s="405">
        <v>100</v>
      </c>
      <c r="I1295" s="406">
        <v>55.75</v>
      </c>
      <c r="J1295" s="406">
        <f t="shared" si="218"/>
        <v>5575</v>
      </c>
      <c r="K1295" s="407">
        <f>J1295*1.2</f>
        <v>6690</v>
      </c>
      <c r="L1295" s="368">
        <v>6690</v>
      </c>
      <c r="M1295" s="377">
        <v>45559</v>
      </c>
      <c r="N1295" s="368">
        <f>+Table7[[#This Row],[стойност с ДДС]]-Table7[[#This Row],[направено плащане]]</f>
        <v>0</v>
      </c>
      <c r="O1295" s="421">
        <v>45560</v>
      </c>
    </row>
    <row r="1296" spans="1:15" ht="20.100000000000001" customHeight="1" x14ac:dyDescent="0.3">
      <c r="A1296" s="206" t="s">
        <v>838</v>
      </c>
      <c r="B1296" s="403">
        <v>7371027941</v>
      </c>
      <c r="C1296" s="377"/>
      <c r="D1296" s="369"/>
      <c r="E1296" s="49" t="s">
        <v>422</v>
      </c>
      <c r="F1296" s="416"/>
      <c r="G1296" s="368"/>
      <c r="H1296" s="405"/>
      <c r="I1296" s="406"/>
      <c r="J1296" s="406">
        <f t="shared" si="218"/>
        <v>0</v>
      </c>
      <c r="K1296" s="407">
        <v>346</v>
      </c>
      <c r="L1296" s="407">
        <v>346</v>
      </c>
      <c r="M1296" s="377">
        <v>45555</v>
      </c>
      <c r="N1296" s="368">
        <f>+Table7[[#This Row],[стойност с ДДС]]-Table7[[#This Row],[направено плащане]]</f>
        <v>0</v>
      </c>
      <c r="O1296" s="370"/>
    </row>
    <row r="1297" spans="1:15" ht="20.100000000000001" customHeight="1" x14ac:dyDescent="0.25">
      <c r="A1297" s="206" t="s">
        <v>341</v>
      </c>
      <c r="B1297" s="403">
        <v>100002474</v>
      </c>
      <c r="C1297" s="377">
        <v>45554</v>
      </c>
      <c r="D1297" s="369"/>
      <c r="E1297" s="408" t="s">
        <v>343</v>
      </c>
      <c r="F1297" s="416"/>
      <c r="G1297" s="368"/>
      <c r="H1297" s="405"/>
      <c r="I1297" s="406"/>
      <c r="J1297" s="406">
        <v>600</v>
      </c>
      <c r="K1297" s="407">
        <v>720</v>
      </c>
      <c r="L1297" s="368">
        <v>720</v>
      </c>
      <c r="M1297" s="377">
        <v>45559</v>
      </c>
      <c r="N1297" s="368">
        <f>+Table7[[#This Row],[стойност с ДДС]]-Table7[[#This Row],[направено плащане]]</f>
        <v>0</v>
      </c>
      <c r="O1297" s="421">
        <v>45560</v>
      </c>
    </row>
    <row r="1298" spans="1:15" ht="20.100000000000001" customHeight="1" x14ac:dyDescent="0.25">
      <c r="A1298" s="206" t="s">
        <v>352</v>
      </c>
      <c r="B1298" s="403">
        <v>454</v>
      </c>
      <c r="C1298" s="377">
        <v>45553</v>
      </c>
      <c r="D1298" s="369"/>
      <c r="E1298" s="404" t="s">
        <v>131</v>
      </c>
      <c r="F1298" s="416"/>
      <c r="G1298" s="368"/>
      <c r="H1298" s="405">
        <v>100</v>
      </c>
      <c r="I1298" s="406">
        <v>54</v>
      </c>
      <c r="J1298" s="406">
        <f>I1298*H1298</f>
        <v>5400</v>
      </c>
      <c r="K1298" s="407">
        <f>J1298*1.2</f>
        <v>6480</v>
      </c>
      <c r="L1298" s="368">
        <v>6480</v>
      </c>
      <c r="M1298" s="377">
        <v>45559</v>
      </c>
      <c r="N1298" s="368">
        <f>+Table7[[#This Row],[стойност с ДДС]]-Table7[[#This Row],[направено плащане]]</f>
        <v>0</v>
      </c>
      <c r="O1298" s="421">
        <v>45560</v>
      </c>
    </row>
    <row r="1299" spans="1:15" ht="20.100000000000001" customHeight="1" x14ac:dyDescent="0.25">
      <c r="A1299" s="206" t="s">
        <v>118</v>
      </c>
      <c r="B1299" s="403">
        <v>3916</v>
      </c>
      <c r="C1299" s="377">
        <v>45554</v>
      </c>
      <c r="D1299" s="369"/>
      <c r="E1299" s="404" t="s">
        <v>131</v>
      </c>
      <c r="F1299" s="416"/>
      <c r="G1299" s="368"/>
      <c r="H1299" s="405">
        <v>500</v>
      </c>
      <c r="I1299" s="406">
        <v>55.6</v>
      </c>
      <c r="J1299" s="406">
        <f>I1299*H1299</f>
        <v>27800</v>
      </c>
      <c r="K1299" s="407">
        <f>J1299*1.2</f>
        <v>33360</v>
      </c>
      <c r="L1299" s="368">
        <v>33360</v>
      </c>
      <c r="M1299" s="377">
        <v>45559</v>
      </c>
      <c r="N1299" s="368">
        <f>+Table7[[#This Row],[стойност с ДДС]]-Table7[[#This Row],[направено плащане]]</f>
        <v>0</v>
      </c>
      <c r="O1299" s="421">
        <v>45560</v>
      </c>
    </row>
    <row r="1300" spans="1:15" ht="20.100000000000001" customHeight="1" x14ac:dyDescent="0.25">
      <c r="A1300" s="151" t="s">
        <v>118</v>
      </c>
      <c r="B1300" s="384">
        <v>3916</v>
      </c>
      <c r="C1300" s="376">
        <v>45554</v>
      </c>
      <c r="D1300" s="357"/>
      <c r="E1300" s="358" t="s">
        <v>131</v>
      </c>
      <c r="F1300" s="413"/>
      <c r="G1300" s="356"/>
      <c r="H1300" s="359">
        <v>50</v>
      </c>
      <c r="I1300" s="360">
        <v>57</v>
      </c>
      <c r="J1300" s="360">
        <f t="shared" ref="J1300:J1301" si="220">I1300*H1300</f>
        <v>2850</v>
      </c>
      <c r="K1300" s="361">
        <f t="shared" ref="K1300:K1301" si="221">J1300*1.2</f>
        <v>3420</v>
      </c>
      <c r="L1300" s="356">
        <v>3420</v>
      </c>
      <c r="M1300" s="377">
        <v>45559</v>
      </c>
      <c r="N1300" s="356">
        <f>+Table7[[#This Row],[стойност с ДДС]]-Table7[[#This Row],[направено плащане]]</f>
        <v>0</v>
      </c>
      <c r="O1300" s="421">
        <v>45560</v>
      </c>
    </row>
    <row r="1301" spans="1:15" ht="20.100000000000001" customHeight="1" x14ac:dyDescent="0.25">
      <c r="A1301" s="206" t="s">
        <v>118</v>
      </c>
      <c r="B1301" s="403">
        <v>3916</v>
      </c>
      <c r="C1301" s="377">
        <v>45554</v>
      </c>
      <c r="D1301" s="369"/>
      <c r="E1301" s="404" t="s">
        <v>131</v>
      </c>
      <c r="F1301" s="416"/>
      <c r="G1301" s="368"/>
      <c r="H1301" s="405">
        <v>30</v>
      </c>
      <c r="I1301" s="406">
        <v>57</v>
      </c>
      <c r="J1301" s="406">
        <f t="shared" si="220"/>
        <v>1710</v>
      </c>
      <c r="K1301" s="407">
        <f t="shared" si="221"/>
        <v>2052</v>
      </c>
      <c r="L1301" s="368">
        <v>2052</v>
      </c>
      <c r="M1301" s="377">
        <v>45559</v>
      </c>
      <c r="N1301" s="368">
        <f>+Table7[[#This Row],[стойност с ДДС]]-Table7[[#This Row],[направено плащане]]</f>
        <v>0</v>
      </c>
      <c r="O1301" s="421">
        <v>45560</v>
      </c>
    </row>
    <row r="1302" spans="1:15" ht="20.100000000000001" customHeight="1" x14ac:dyDescent="0.25">
      <c r="A1302" s="206" t="s">
        <v>1017</v>
      </c>
      <c r="B1302" s="403">
        <v>1103</v>
      </c>
      <c r="C1302" s="377">
        <v>45554</v>
      </c>
      <c r="D1302" s="369"/>
      <c r="E1302" s="404" t="s">
        <v>131</v>
      </c>
      <c r="F1302" s="416"/>
      <c r="G1302" s="368"/>
      <c r="H1302" s="405">
        <v>500</v>
      </c>
      <c r="I1302" s="406">
        <v>56</v>
      </c>
      <c r="J1302" s="406">
        <f t="shared" ref="J1302:J1308" si="222">I1302*H1302</f>
        <v>28000</v>
      </c>
      <c r="K1302" s="407">
        <f t="shared" ref="K1302:K1307" si="223">J1302*1.2</f>
        <v>33600</v>
      </c>
      <c r="L1302" s="368">
        <v>33600</v>
      </c>
      <c r="M1302" s="377">
        <v>45559</v>
      </c>
      <c r="N1302" s="368">
        <f>+Table7[[#This Row],[стойност с ДДС]]-Table7[[#This Row],[направено плащане]]</f>
        <v>0</v>
      </c>
      <c r="O1302" s="421">
        <v>45560</v>
      </c>
    </row>
    <row r="1303" spans="1:15" ht="20.100000000000001" customHeight="1" x14ac:dyDescent="0.25">
      <c r="A1303" s="206" t="s">
        <v>157</v>
      </c>
      <c r="B1303" s="403">
        <v>13633</v>
      </c>
      <c r="C1303" s="377">
        <v>45553</v>
      </c>
      <c r="D1303" s="369"/>
      <c r="E1303" s="404" t="s">
        <v>131</v>
      </c>
      <c r="F1303" s="416"/>
      <c r="G1303" s="368"/>
      <c r="H1303" s="405">
        <v>200</v>
      </c>
      <c r="I1303" s="406">
        <v>56.3</v>
      </c>
      <c r="J1303" s="406">
        <f t="shared" si="222"/>
        <v>11260</v>
      </c>
      <c r="K1303" s="407">
        <f t="shared" si="223"/>
        <v>13512</v>
      </c>
      <c r="L1303" s="368">
        <v>13512</v>
      </c>
      <c r="M1303" s="377">
        <v>45559</v>
      </c>
      <c r="N1303" s="368">
        <f>+Table7[[#This Row],[стойност с ДДС]]-Table7[[#This Row],[направено плащане]]</f>
        <v>0</v>
      </c>
      <c r="O1303" s="421">
        <v>45560</v>
      </c>
    </row>
    <row r="1304" spans="1:15" ht="20.100000000000001" customHeight="1" x14ac:dyDescent="0.25">
      <c r="A1304" s="206" t="s">
        <v>1017</v>
      </c>
      <c r="B1304" s="403">
        <v>1108</v>
      </c>
      <c r="C1304" s="377">
        <v>45555</v>
      </c>
      <c r="D1304" s="369"/>
      <c r="E1304" s="404" t="s">
        <v>131</v>
      </c>
      <c r="F1304" s="416"/>
      <c r="G1304" s="368"/>
      <c r="H1304" s="405">
        <v>1500</v>
      </c>
      <c r="I1304" s="406">
        <v>55.5</v>
      </c>
      <c r="J1304" s="406">
        <f t="shared" si="222"/>
        <v>83250</v>
      </c>
      <c r="K1304" s="407">
        <f t="shared" si="223"/>
        <v>99900</v>
      </c>
      <c r="L1304" s="368">
        <v>99900</v>
      </c>
      <c r="M1304" s="377">
        <v>45562</v>
      </c>
      <c r="N1304" s="368">
        <f>+Table7[[#This Row],[стойност с ДДС]]-Table7[[#This Row],[направено плащане]]</f>
        <v>0</v>
      </c>
      <c r="O1304" s="421">
        <v>45565</v>
      </c>
    </row>
    <row r="1305" spans="1:15" ht="20.100000000000001" customHeight="1" x14ac:dyDescent="0.25">
      <c r="A1305" s="206" t="s">
        <v>268</v>
      </c>
      <c r="B1305" s="403">
        <v>2000001167</v>
      </c>
      <c r="C1305" s="377">
        <v>45554</v>
      </c>
      <c r="D1305" s="369"/>
      <c r="E1305" s="404" t="s">
        <v>263</v>
      </c>
      <c r="F1305" s="416"/>
      <c r="G1305" s="368"/>
      <c r="H1305" s="405">
        <v>7750</v>
      </c>
      <c r="I1305" s="406">
        <v>59.4</v>
      </c>
      <c r="J1305" s="406">
        <f t="shared" si="222"/>
        <v>460350</v>
      </c>
      <c r="K1305" s="407">
        <f t="shared" si="223"/>
        <v>552420</v>
      </c>
      <c r="L1305" s="368"/>
      <c r="M1305" s="377"/>
      <c r="N1305" s="368">
        <f>+Table7[[#This Row],[стойност с ДДС]]-Table7[[#This Row],[направено плащане]]</f>
        <v>552420</v>
      </c>
      <c r="O1305" s="421">
        <v>45580</v>
      </c>
    </row>
    <row r="1306" spans="1:15" ht="20.100000000000001" customHeight="1" x14ac:dyDescent="0.25">
      <c r="A1306" s="206" t="s">
        <v>268</v>
      </c>
      <c r="B1306" s="384">
        <v>2000001166</v>
      </c>
      <c r="C1306" s="376">
        <v>45554</v>
      </c>
      <c r="D1306" s="357"/>
      <c r="E1306" s="404" t="s">
        <v>263</v>
      </c>
      <c r="F1306" s="413"/>
      <c r="G1306" s="356"/>
      <c r="H1306" s="359">
        <v>7750</v>
      </c>
      <c r="I1306" s="360">
        <v>59.4</v>
      </c>
      <c r="J1306" s="360">
        <f t="shared" si="222"/>
        <v>460350</v>
      </c>
      <c r="K1306" s="361">
        <f t="shared" si="223"/>
        <v>552420</v>
      </c>
      <c r="L1306" s="356">
        <v>552420</v>
      </c>
      <c r="M1306" s="376">
        <v>45560</v>
      </c>
      <c r="N1306" s="356">
        <f>+Table7[[#This Row],[стойност с ДДС]]-Table7[[#This Row],[направено плащане]]</f>
        <v>0</v>
      </c>
      <c r="O1306" s="422">
        <v>45561</v>
      </c>
    </row>
    <row r="1307" spans="1:15" ht="20.100000000000001" customHeight="1" x14ac:dyDescent="0.25">
      <c r="A1307" s="206" t="s">
        <v>118</v>
      </c>
      <c r="B1307" s="403">
        <v>3925</v>
      </c>
      <c r="C1307" s="377">
        <v>45554</v>
      </c>
      <c r="D1307" s="369"/>
      <c r="E1307" s="404" t="s">
        <v>131</v>
      </c>
      <c r="F1307" s="416"/>
      <c r="G1307" s="368"/>
      <c r="H1307" s="405">
        <v>500</v>
      </c>
      <c r="I1307" s="406">
        <v>56.5</v>
      </c>
      <c r="J1307" s="406">
        <f t="shared" si="222"/>
        <v>28250</v>
      </c>
      <c r="K1307" s="407">
        <f t="shared" si="223"/>
        <v>33900</v>
      </c>
      <c r="L1307" s="368">
        <v>33900</v>
      </c>
      <c r="M1307" s="377">
        <v>45560</v>
      </c>
      <c r="N1307" s="368">
        <f>+Table7[[#This Row],[стойност с ДДС]]-Table7[[#This Row],[направено плащане]]</f>
        <v>0</v>
      </c>
      <c r="O1307" s="421">
        <v>45561</v>
      </c>
    </row>
    <row r="1308" spans="1:15" ht="20.100000000000001" customHeight="1" x14ac:dyDescent="0.25">
      <c r="A1308" s="206" t="s">
        <v>159</v>
      </c>
      <c r="B1308" s="403" t="s">
        <v>1759</v>
      </c>
      <c r="C1308" s="377">
        <v>45554</v>
      </c>
      <c r="D1308" s="369"/>
      <c r="E1308" s="404" t="s">
        <v>131</v>
      </c>
      <c r="F1308" s="416"/>
      <c r="G1308" s="368"/>
      <c r="H1308" s="405">
        <v>600</v>
      </c>
      <c r="I1308" s="406">
        <f>28.88799*1.9563</f>
        <v>56.513574836999993</v>
      </c>
      <c r="J1308" s="406">
        <f t="shared" si="222"/>
        <v>33908.144902199994</v>
      </c>
      <c r="K1308" s="407">
        <v>33908.144902199994</v>
      </c>
      <c r="L1308" s="368"/>
      <c r="M1308" s="377">
        <v>45560</v>
      </c>
      <c r="N1308" s="368">
        <f>+Table7[[#This Row],[стойност с ДДС]]-Table7[[#This Row],[направено плащане]]</f>
        <v>33908.144902199994</v>
      </c>
      <c r="O1308" s="421">
        <v>45561</v>
      </c>
    </row>
    <row r="1309" spans="1:15" ht="20.100000000000001" customHeight="1" x14ac:dyDescent="0.25">
      <c r="A1309" s="151"/>
      <c r="B1309" s="384"/>
      <c r="C1309" s="376"/>
      <c r="D1309" s="357"/>
      <c r="E1309" s="391" t="s">
        <v>623</v>
      </c>
      <c r="F1309" s="413" t="s">
        <v>1</v>
      </c>
      <c r="G1309" s="356"/>
      <c r="H1309" s="359">
        <v>1</v>
      </c>
      <c r="I1309" s="360">
        <v>3000</v>
      </c>
      <c r="J1309" s="360">
        <f t="shared" ref="J1309:J1310" si="224">I1309*H1309</f>
        <v>3000</v>
      </c>
      <c r="K1309" s="361">
        <v>5868.9</v>
      </c>
      <c r="L1309" s="356">
        <v>5868.9</v>
      </c>
      <c r="M1309" s="377">
        <v>45559</v>
      </c>
      <c r="N1309" s="356">
        <f>+Table7[[#This Row],[стойност с ДДС]]-Table7[[#This Row],[направено плащане]]</f>
        <v>0</v>
      </c>
      <c r="O1309" s="362"/>
    </row>
    <row r="1310" spans="1:15" ht="20.100000000000001" customHeight="1" x14ac:dyDescent="0.25">
      <c r="A1310" s="206"/>
      <c r="B1310" s="403"/>
      <c r="C1310" s="377"/>
      <c r="D1310" s="369"/>
      <c r="E1310" s="408" t="s">
        <v>623</v>
      </c>
      <c r="F1310" s="413" t="s">
        <v>2</v>
      </c>
      <c r="G1310" s="368"/>
      <c r="H1310" s="405">
        <v>1</v>
      </c>
      <c r="I1310" s="406">
        <v>1485.58</v>
      </c>
      <c r="J1310" s="406">
        <f t="shared" si="224"/>
        <v>1485.58</v>
      </c>
      <c r="K1310" s="407">
        <v>2906.24</v>
      </c>
      <c r="L1310" s="368">
        <v>2906.24</v>
      </c>
      <c r="M1310" s="377">
        <v>45559</v>
      </c>
      <c r="N1310" s="368">
        <f>+Table7[[#This Row],[стойност с ДДС]]-Table7[[#This Row],[направено плащане]]</f>
        <v>0</v>
      </c>
      <c r="O1310" s="370"/>
    </row>
    <row r="1311" spans="1:15" ht="20.100000000000001" customHeight="1" x14ac:dyDescent="0.25">
      <c r="A1311" s="151"/>
      <c r="B1311" s="384"/>
      <c r="C1311" s="376"/>
      <c r="D1311" s="357"/>
      <c r="E1311" s="408" t="s">
        <v>623</v>
      </c>
      <c r="F1311" s="416" t="s">
        <v>1624</v>
      </c>
      <c r="G1311" s="356"/>
      <c r="H1311" s="359">
        <v>1</v>
      </c>
      <c r="I1311" s="360">
        <v>2469.73</v>
      </c>
      <c r="J1311" s="360">
        <f t="shared" ref="J1311:J1317" si="225">I1311*H1311</f>
        <v>2469.73</v>
      </c>
      <c r="K1311" s="361">
        <v>4831.53</v>
      </c>
      <c r="L1311" s="356">
        <v>4831.53</v>
      </c>
      <c r="M1311" s="377">
        <v>45559</v>
      </c>
      <c r="N1311" s="356">
        <f>+Table7[[#This Row],[стойност с ДДС]]-Table7[[#This Row],[направено плащане]]</f>
        <v>0</v>
      </c>
      <c r="O1311" s="362"/>
    </row>
    <row r="1312" spans="1:15" ht="20.100000000000001" customHeight="1" x14ac:dyDescent="0.3">
      <c r="A1312" s="206" t="s">
        <v>606</v>
      </c>
      <c r="B1312" s="403">
        <v>61953</v>
      </c>
      <c r="C1312" s="377">
        <v>45554</v>
      </c>
      <c r="D1312" s="369"/>
      <c r="E1312" s="49" t="s">
        <v>609</v>
      </c>
      <c r="F1312" s="416"/>
      <c r="G1312" s="368"/>
      <c r="H1312" s="405">
        <v>1</v>
      </c>
      <c r="I1312" s="406">
        <f>200*1.9563</f>
        <v>391.26</v>
      </c>
      <c r="J1312" s="406">
        <f t="shared" si="225"/>
        <v>391.26</v>
      </c>
      <c r="K1312" s="407">
        <v>391.26</v>
      </c>
      <c r="L1312" s="368">
        <v>391.26</v>
      </c>
      <c r="M1312" s="377">
        <v>45559</v>
      </c>
      <c r="N1312" s="368">
        <f>+Table7[[#This Row],[стойност с ДДС]]-Table7[[#This Row],[направено плащане]]</f>
        <v>0</v>
      </c>
      <c r="O1312" s="370"/>
    </row>
    <row r="1313" spans="1:15" ht="20.100000000000001" customHeight="1" x14ac:dyDescent="0.25">
      <c r="A1313" s="206" t="s">
        <v>37</v>
      </c>
      <c r="B1313" s="403">
        <v>8000002307</v>
      </c>
      <c r="C1313" s="377">
        <v>45559</v>
      </c>
      <c r="D1313" s="369"/>
      <c r="E1313" s="404" t="s">
        <v>131</v>
      </c>
      <c r="F1313" s="416" t="s">
        <v>1760</v>
      </c>
      <c r="G1313" s="368"/>
      <c r="H1313" s="405">
        <v>500</v>
      </c>
      <c r="I1313" s="406">
        <v>55.3</v>
      </c>
      <c r="J1313" s="406">
        <f t="shared" si="225"/>
        <v>27650</v>
      </c>
      <c r="K1313" s="407">
        <f>J1313*1.2</f>
        <v>33180</v>
      </c>
      <c r="L1313" s="368">
        <v>33180</v>
      </c>
      <c r="M1313" s="377">
        <v>45562</v>
      </c>
      <c r="N1313" s="368">
        <f>+Table7[[#This Row],[стойност с ДДС]]-Table7[[#This Row],[направено плащане]]</f>
        <v>0</v>
      </c>
      <c r="O1313" s="421">
        <v>45565</v>
      </c>
    </row>
    <row r="1314" spans="1:15" ht="20.100000000000001" customHeight="1" x14ac:dyDescent="0.25">
      <c r="A1314" s="206" t="s">
        <v>118</v>
      </c>
      <c r="B1314" s="403">
        <v>3937</v>
      </c>
      <c r="C1314" s="377">
        <v>45555</v>
      </c>
      <c r="D1314" s="369"/>
      <c r="E1314" s="404" t="s">
        <v>131</v>
      </c>
      <c r="F1314" s="416" t="s">
        <v>1761</v>
      </c>
      <c r="G1314" s="368"/>
      <c r="H1314" s="405">
        <v>1500</v>
      </c>
      <c r="I1314" s="406">
        <v>55.4</v>
      </c>
      <c r="J1314" s="406">
        <f t="shared" si="225"/>
        <v>83100</v>
      </c>
      <c r="K1314" s="407">
        <f>J1314*1.2</f>
        <v>99720</v>
      </c>
      <c r="L1314" s="368">
        <v>99720</v>
      </c>
      <c r="M1314" s="377">
        <v>45561</v>
      </c>
      <c r="N1314" s="368">
        <f>+Table7[[#This Row],[стойност с ДДС]]-Table7[[#This Row],[направено плащане]]</f>
        <v>0</v>
      </c>
      <c r="O1314" s="421">
        <v>45562</v>
      </c>
    </row>
    <row r="1315" spans="1:15" ht="20.100000000000001" customHeight="1" x14ac:dyDescent="0.25">
      <c r="A1315" s="206" t="s">
        <v>118</v>
      </c>
      <c r="B1315" s="403">
        <v>3944</v>
      </c>
      <c r="C1315" s="377">
        <v>45557</v>
      </c>
      <c r="D1315" s="369"/>
      <c r="E1315" s="404" t="s">
        <v>131</v>
      </c>
      <c r="F1315" s="416" t="s">
        <v>1762</v>
      </c>
      <c r="G1315" s="368"/>
      <c r="H1315" s="405">
        <v>100</v>
      </c>
      <c r="I1315" s="406">
        <v>55</v>
      </c>
      <c r="J1315" s="406">
        <f t="shared" si="225"/>
        <v>5500</v>
      </c>
      <c r="K1315" s="407">
        <f>J1315*1.2</f>
        <v>6600</v>
      </c>
      <c r="L1315" s="368">
        <v>6600</v>
      </c>
      <c r="M1315" s="377">
        <v>45561</v>
      </c>
      <c r="N1315" s="368">
        <f>+Table7[[#This Row],[стойност с ДДС]]-Table7[[#This Row],[направено плащане]]</f>
        <v>0</v>
      </c>
      <c r="O1315" s="421">
        <v>45562</v>
      </c>
    </row>
    <row r="1316" spans="1:15" ht="20.100000000000001" customHeight="1" x14ac:dyDescent="0.25">
      <c r="A1316" s="206" t="s">
        <v>118</v>
      </c>
      <c r="B1316" s="403">
        <v>3944</v>
      </c>
      <c r="C1316" s="377">
        <v>45557</v>
      </c>
      <c r="D1316" s="369"/>
      <c r="E1316" s="404" t="s">
        <v>131</v>
      </c>
      <c r="F1316" s="416" t="s">
        <v>1763</v>
      </c>
      <c r="G1316" s="368"/>
      <c r="H1316" s="405">
        <v>20</v>
      </c>
      <c r="I1316" s="406">
        <v>56</v>
      </c>
      <c r="J1316" s="406">
        <f t="shared" si="225"/>
        <v>1120</v>
      </c>
      <c r="K1316" s="407">
        <f>J1316*1.2</f>
        <v>1344</v>
      </c>
      <c r="L1316" s="368">
        <v>1344</v>
      </c>
      <c r="M1316" s="377">
        <v>45561</v>
      </c>
      <c r="N1316" s="368">
        <f>+Table7[[#This Row],[стойност с ДДС]]-Table7[[#This Row],[направено плащане]]</f>
        <v>0</v>
      </c>
      <c r="O1316" s="421">
        <v>45562</v>
      </c>
    </row>
    <row r="1317" spans="1:15" ht="20.100000000000001" customHeight="1" x14ac:dyDescent="0.25">
      <c r="A1317" s="206" t="s">
        <v>118</v>
      </c>
      <c r="B1317" s="403">
        <v>3946</v>
      </c>
      <c r="C1317" s="377">
        <v>45558</v>
      </c>
      <c r="D1317" s="369"/>
      <c r="E1317" s="404" t="s">
        <v>131</v>
      </c>
      <c r="F1317" s="416" t="s">
        <v>1764</v>
      </c>
      <c r="G1317" s="368"/>
      <c r="H1317" s="405">
        <v>500</v>
      </c>
      <c r="I1317" s="406">
        <v>55.5</v>
      </c>
      <c r="J1317" s="406">
        <f t="shared" si="225"/>
        <v>27750</v>
      </c>
      <c r="K1317" s="407">
        <f>J1317*1.2</f>
        <v>33300</v>
      </c>
      <c r="L1317" s="368">
        <v>33300</v>
      </c>
      <c r="M1317" s="377">
        <v>45562</v>
      </c>
      <c r="N1317" s="368">
        <f>+Table7[[#This Row],[стойност с ДДС]]-Table7[[#This Row],[направено плащане]]</f>
        <v>0</v>
      </c>
      <c r="O1317" s="421">
        <v>45565</v>
      </c>
    </row>
    <row r="1318" spans="1:15" ht="20.100000000000001" customHeight="1" x14ac:dyDescent="0.25">
      <c r="A1318" s="151" t="s">
        <v>118</v>
      </c>
      <c r="B1318" s="384">
        <v>3946</v>
      </c>
      <c r="C1318" s="376">
        <v>45558</v>
      </c>
      <c r="D1318" s="357"/>
      <c r="E1318" s="358" t="s">
        <v>131</v>
      </c>
      <c r="F1318" s="413" t="s">
        <v>1765</v>
      </c>
      <c r="G1318" s="356"/>
      <c r="H1318" s="359">
        <v>250</v>
      </c>
      <c r="I1318" s="360">
        <v>250</v>
      </c>
      <c r="J1318" s="360">
        <f t="shared" ref="J1318:J1319" si="226">I1318*H1318</f>
        <v>62500</v>
      </c>
      <c r="K1318" s="361">
        <f t="shared" ref="K1318:K1319" si="227">J1318*1.2</f>
        <v>75000</v>
      </c>
      <c r="L1318" s="356">
        <v>75000</v>
      </c>
      <c r="M1318" s="376">
        <v>45562</v>
      </c>
      <c r="N1318" s="356">
        <f>+Table7[[#This Row],[стойност с ДДС]]-Table7[[#This Row],[направено плащане]]</f>
        <v>0</v>
      </c>
      <c r="O1318" s="421">
        <v>45565</v>
      </c>
    </row>
    <row r="1319" spans="1:15" ht="20.100000000000001" customHeight="1" x14ac:dyDescent="0.25">
      <c r="A1319" s="151" t="s">
        <v>118</v>
      </c>
      <c r="B1319" s="384">
        <v>3946</v>
      </c>
      <c r="C1319" s="376">
        <v>45558</v>
      </c>
      <c r="D1319" s="357"/>
      <c r="E1319" s="358" t="s">
        <v>131</v>
      </c>
      <c r="F1319" s="413" t="s">
        <v>1766</v>
      </c>
      <c r="G1319" s="356"/>
      <c r="H1319" s="359">
        <v>80</v>
      </c>
      <c r="I1319" s="360">
        <v>8</v>
      </c>
      <c r="J1319" s="360">
        <f t="shared" si="226"/>
        <v>640</v>
      </c>
      <c r="K1319" s="361">
        <f t="shared" si="227"/>
        <v>768</v>
      </c>
      <c r="L1319" s="356">
        <v>768</v>
      </c>
      <c r="M1319" s="376">
        <v>45562</v>
      </c>
      <c r="N1319" s="356">
        <f>+Table7[[#This Row],[стойност с ДДС]]-Table7[[#This Row],[направено плащане]]</f>
        <v>0</v>
      </c>
      <c r="O1319" s="421">
        <v>45565</v>
      </c>
    </row>
    <row r="1320" spans="1:15" ht="20.100000000000001" customHeight="1" x14ac:dyDescent="0.25">
      <c r="A1320" s="206" t="s">
        <v>159</v>
      </c>
      <c r="B1320" s="403" t="s">
        <v>1767</v>
      </c>
      <c r="C1320" s="377" t="s">
        <v>1768</v>
      </c>
      <c r="D1320" s="369"/>
      <c r="E1320" s="358" t="s">
        <v>131</v>
      </c>
      <c r="F1320" s="416" t="s">
        <v>1769</v>
      </c>
      <c r="G1320" s="368"/>
      <c r="H1320" s="405">
        <v>36</v>
      </c>
      <c r="I1320" s="406">
        <f>28.63235*1.9563</f>
        <v>56.013466304999994</v>
      </c>
      <c r="J1320" s="406">
        <f t="shared" ref="J1320:J1329" si="228">I1320*H1320</f>
        <v>2016.4847869799999</v>
      </c>
      <c r="K1320" s="407">
        <v>2000.37</v>
      </c>
      <c r="L1320" s="368">
        <v>2000.37</v>
      </c>
      <c r="M1320" s="377">
        <v>45561</v>
      </c>
      <c r="N1320" s="368">
        <f>+Table7[[#This Row],[стойност с ДДС]]-Table7[[#This Row],[направено плащане]]</f>
        <v>0</v>
      </c>
      <c r="O1320" s="421">
        <v>45562</v>
      </c>
    </row>
    <row r="1321" spans="1:15" ht="20.100000000000001" customHeight="1" x14ac:dyDescent="0.25">
      <c r="A1321" s="206" t="s">
        <v>159</v>
      </c>
      <c r="B1321" s="403" t="s">
        <v>1767</v>
      </c>
      <c r="C1321" s="377" t="s">
        <v>1768</v>
      </c>
      <c r="D1321" s="369"/>
      <c r="E1321" s="404" t="s">
        <v>131</v>
      </c>
      <c r="F1321" s="416" t="s">
        <v>1770</v>
      </c>
      <c r="G1321" s="368"/>
      <c r="H1321" s="405">
        <v>30</v>
      </c>
      <c r="I1321" s="406">
        <f>30*1.9563</f>
        <v>58.689</v>
      </c>
      <c r="J1321" s="406">
        <f t="shared" si="228"/>
        <v>1760.67</v>
      </c>
      <c r="K1321" s="407">
        <v>1680</v>
      </c>
      <c r="L1321" s="368">
        <v>1680</v>
      </c>
      <c r="M1321" s="377">
        <v>45561</v>
      </c>
      <c r="N1321" s="368">
        <f>+Table7[[#This Row],[стойност с ДДС]]-Table7[[#This Row],[направено плащане]]</f>
        <v>0</v>
      </c>
      <c r="O1321" s="421">
        <v>45562</v>
      </c>
    </row>
    <row r="1322" spans="1:15" ht="20.100000000000001" customHeight="1" x14ac:dyDescent="0.25">
      <c r="A1322" s="206" t="s">
        <v>153</v>
      </c>
      <c r="B1322" s="403">
        <v>524</v>
      </c>
      <c r="C1322" s="377">
        <v>45555</v>
      </c>
      <c r="D1322" s="369"/>
      <c r="E1322" s="404" t="s">
        <v>131</v>
      </c>
      <c r="F1322" s="416" t="s">
        <v>1771</v>
      </c>
      <c r="G1322" s="368"/>
      <c r="H1322" s="405">
        <v>540</v>
      </c>
      <c r="I1322" s="406">
        <v>55.2</v>
      </c>
      <c r="J1322" s="406">
        <f t="shared" si="228"/>
        <v>29808</v>
      </c>
      <c r="K1322" s="407">
        <f t="shared" ref="K1322:K1329" si="229">J1322*1.2</f>
        <v>35769.599999999999</v>
      </c>
      <c r="L1322" s="368">
        <v>35769.599999999999</v>
      </c>
      <c r="M1322" s="377">
        <v>45561</v>
      </c>
      <c r="N1322" s="368">
        <f>+Table7[[#This Row],[стойност с ДДС]]-Table7[[#This Row],[направено плащане]]</f>
        <v>0</v>
      </c>
      <c r="O1322" s="421">
        <v>45555</v>
      </c>
    </row>
    <row r="1323" spans="1:15" ht="20.100000000000001" customHeight="1" x14ac:dyDescent="0.25">
      <c r="A1323" s="206" t="s">
        <v>157</v>
      </c>
      <c r="B1323" s="403">
        <v>13636</v>
      </c>
      <c r="C1323" s="377">
        <v>45559</v>
      </c>
      <c r="D1323" s="369"/>
      <c r="E1323" s="404" t="s">
        <v>131</v>
      </c>
      <c r="F1323" s="416" t="s">
        <v>1772</v>
      </c>
      <c r="G1323" s="368"/>
      <c r="H1323" s="405">
        <v>30</v>
      </c>
      <c r="I1323" s="406">
        <v>55</v>
      </c>
      <c r="J1323" s="406">
        <f t="shared" si="228"/>
        <v>1650</v>
      </c>
      <c r="K1323" s="407">
        <f t="shared" si="229"/>
        <v>1980</v>
      </c>
      <c r="L1323" s="368">
        <v>1980</v>
      </c>
      <c r="M1323" s="377">
        <v>45562</v>
      </c>
      <c r="N1323" s="368">
        <f>+Table7[[#This Row],[стойност с ДДС]]-Table7[[#This Row],[направено плащане]]</f>
        <v>0</v>
      </c>
      <c r="O1323" s="421">
        <v>45565</v>
      </c>
    </row>
    <row r="1324" spans="1:15" ht="20.100000000000001" customHeight="1" x14ac:dyDescent="0.25">
      <c r="A1324" s="206" t="s">
        <v>159</v>
      </c>
      <c r="B1324" s="403" t="s">
        <v>1773</v>
      </c>
      <c r="C1324" s="377">
        <v>45559</v>
      </c>
      <c r="D1324" s="369"/>
      <c r="E1324" s="404" t="s">
        <v>131</v>
      </c>
      <c r="F1324" s="416" t="s">
        <v>1774</v>
      </c>
      <c r="G1324" s="368"/>
      <c r="H1324" s="405">
        <v>500</v>
      </c>
      <c r="I1324" s="406">
        <f>28.27444*1.9563</f>
        <v>55.313286971999993</v>
      </c>
      <c r="J1324" s="406">
        <f t="shared" si="228"/>
        <v>27656.643485999997</v>
      </c>
      <c r="K1324" s="407">
        <v>27656.639999999999</v>
      </c>
      <c r="L1324" s="368">
        <v>27656.639999999999</v>
      </c>
      <c r="M1324" s="377">
        <v>45565</v>
      </c>
      <c r="N1324" s="368">
        <f>+Table7[[#This Row],[стойност с ДДС]]-Table7[[#This Row],[направено плащане]]</f>
        <v>0</v>
      </c>
      <c r="O1324" s="421">
        <v>45566</v>
      </c>
    </row>
    <row r="1325" spans="1:15" ht="20.100000000000001" customHeight="1" x14ac:dyDescent="0.25">
      <c r="A1325" s="206" t="s">
        <v>1723</v>
      </c>
      <c r="B1325" s="403">
        <v>2000004375</v>
      </c>
      <c r="C1325" s="377">
        <v>45559</v>
      </c>
      <c r="D1325" s="369"/>
      <c r="E1325" s="404" t="s">
        <v>131</v>
      </c>
      <c r="F1325" s="416" t="s">
        <v>1775</v>
      </c>
      <c r="G1325" s="368"/>
      <c r="H1325" s="405">
        <v>19</v>
      </c>
      <c r="I1325" s="406">
        <v>57</v>
      </c>
      <c r="J1325" s="406">
        <f t="shared" si="228"/>
        <v>1083</v>
      </c>
      <c r="K1325" s="407">
        <f t="shared" si="229"/>
        <v>1299.5999999999999</v>
      </c>
      <c r="L1325" s="368">
        <v>1299.5999999999999</v>
      </c>
      <c r="M1325" s="377">
        <v>45560</v>
      </c>
      <c r="N1325" s="368">
        <f>+Table7[[#This Row],[стойност с ДДС]]-Table7[[#This Row],[направено плащане]]</f>
        <v>0</v>
      </c>
      <c r="O1325" s="421">
        <v>45565</v>
      </c>
    </row>
    <row r="1326" spans="1:15" ht="20.100000000000001" customHeight="1" x14ac:dyDescent="0.25">
      <c r="A1326" s="206" t="s">
        <v>1723</v>
      </c>
      <c r="B1326" s="403">
        <v>2000004375</v>
      </c>
      <c r="C1326" s="377">
        <v>45559</v>
      </c>
      <c r="D1326" s="369"/>
      <c r="E1326" s="404" t="s">
        <v>131</v>
      </c>
      <c r="F1326" s="416" t="s">
        <v>1775</v>
      </c>
      <c r="G1326" s="368"/>
      <c r="H1326" s="405">
        <v>30</v>
      </c>
      <c r="I1326" s="406">
        <v>56</v>
      </c>
      <c r="J1326" s="406">
        <f t="shared" si="228"/>
        <v>1680</v>
      </c>
      <c r="K1326" s="407">
        <f t="shared" si="229"/>
        <v>2016</v>
      </c>
      <c r="L1326" s="368">
        <v>2016</v>
      </c>
      <c r="M1326" s="377">
        <v>45560</v>
      </c>
      <c r="N1326" s="368">
        <f>+Table7[[#This Row],[стойност с ДДС]]-Table7[[#This Row],[направено плащане]]</f>
        <v>0</v>
      </c>
      <c r="O1326" s="421">
        <v>45565</v>
      </c>
    </row>
    <row r="1327" spans="1:15" ht="20.100000000000001" customHeight="1" x14ac:dyDescent="0.25">
      <c r="A1327" s="206" t="s">
        <v>226</v>
      </c>
      <c r="B1327" s="403">
        <v>1100018436</v>
      </c>
      <c r="C1327" s="377">
        <v>45559</v>
      </c>
      <c r="D1327" s="369"/>
      <c r="E1327" s="404" t="s">
        <v>131</v>
      </c>
      <c r="F1327" s="416" t="s">
        <v>1776</v>
      </c>
      <c r="G1327" s="368"/>
      <c r="H1327" s="405">
        <v>200</v>
      </c>
      <c r="I1327" s="406">
        <v>55.5</v>
      </c>
      <c r="J1327" s="406">
        <f t="shared" si="228"/>
        <v>11100</v>
      </c>
      <c r="K1327" s="407">
        <f t="shared" si="229"/>
        <v>13320</v>
      </c>
      <c r="L1327" s="368">
        <v>13320</v>
      </c>
      <c r="M1327" s="377">
        <v>45562</v>
      </c>
      <c r="N1327" s="368">
        <f>+Table7[[#This Row],[стойност с ДДС]]-Table7[[#This Row],[направено плащане]]</f>
        <v>0</v>
      </c>
      <c r="O1327" s="421">
        <v>45565</v>
      </c>
    </row>
    <row r="1328" spans="1:15" ht="20.100000000000001" customHeight="1" x14ac:dyDescent="0.25">
      <c r="A1328" s="206" t="s">
        <v>268</v>
      </c>
      <c r="B1328" s="403">
        <v>2000001175</v>
      </c>
      <c r="C1328" s="377">
        <v>45558</v>
      </c>
      <c r="D1328" s="369"/>
      <c r="E1328" s="404" t="s">
        <v>131</v>
      </c>
      <c r="F1328" s="416"/>
      <c r="G1328" s="368"/>
      <c r="H1328" s="405">
        <v>30</v>
      </c>
      <c r="I1328" s="406">
        <v>56</v>
      </c>
      <c r="J1328" s="406">
        <f t="shared" si="228"/>
        <v>1680</v>
      </c>
      <c r="K1328" s="407">
        <f t="shared" si="229"/>
        <v>2016</v>
      </c>
      <c r="L1328" s="368">
        <v>2016</v>
      </c>
      <c r="M1328" s="377">
        <v>45565</v>
      </c>
      <c r="N1328" s="368">
        <f>+Table7[[#This Row],[стойност с ДДС]]-Table7[[#This Row],[направено плащане]]</f>
        <v>0</v>
      </c>
      <c r="O1328" s="421">
        <v>45566</v>
      </c>
    </row>
    <row r="1329" spans="1:15" ht="20.100000000000001" customHeight="1" x14ac:dyDescent="0.25">
      <c r="A1329" s="206" t="s">
        <v>118</v>
      </c>
      <c r="B1329" s="389">
        <v>3962</v>
      </c>
      <c r="C1329" s="377">
        <v>45559</v>
      </c>
      <c r="D1329" s="369"/>
      <c r="E1329" s="404" t="s">
        <v>131</v>
      </c>
      <c r="F1329" s="416" t="s">
        <v>1777</v>
      </c>
      <c r="G1329" s="368"/>
      <c r="H1329" s="405">
        <v>500</v>
      </c>
      <c r="I1329" s="406">
        <v>55.5</v>
      </c>
      <c r="J1329" s="406">
        <f t="shared" si="228"/>
        <v>27750</v>
      </c>
      <c r="K1329" s="407">
        <f t="shared" si="229"/>
        <v>33300</v>
      </c>
      <c r="L1329" s="368">
        <v>33300</v>
      </c>
      <c r="M1329" s="377">
        <v>45565</v>
      </c>
      <c r="N1329" s="368">
        <f>+Table7[[#This Row],[стойност с ДДС]]-Table7[[#This Row],[направено плащане]]</f>
        <v>0</v>
      </c>
      <c r="O1329" s="421">
        <v>45566</v>
      </c>
    </row>
    <row r="1330" spans="1:15" ht="20.100000000000001" customHeight="1" x14ac:dyDescent="0.25">
      <c r="A1330" s="206" t="s">
        <v>235</v>
      </c>
      <c r="B1330" s="403">
        <v>9601811</v>
      </c>
      <c r="C1330" s="377">
        <v>45560</v>
      </c>
      <c r="D1330" s="369"/>
      <c r="E1330" s="404" t="s">
        <v>263</v>
      </c>
      <c r="F1330" s="416"/>
      <c r="G1330" s="368"/>
      <c r="H1330" s="405"/>
      <c r="I1330" s="406">
        <f>140430*1.9563</f>
        <v>274723.20899999997</v>
      </c>
      <c r="J1330" s="406">
        <v>274723.20899999997</v>
      </c>
      <c r="K1330" s="407">
        <v>274723.20899999997</v>
      </c>
      <c r="L1330" s="368">
        <v>274723.20899999997</v>
      </c>
      <c r="M1330" s="377">
        <v>45561</v>
      </c>
      <c r="N1330" s="368">
        <f>+Table7[[#This Row],[стойност с ДДС]]-Table7[[#This Row],[направено плащане]]</f>
        <v>0</v>
      </c>
      <c r="O1330" s="421">
        <v>45561</v>
      </c>
    </row>
    <row r="1331" spans="1:15" ht="20.100000000000001" customHeight="1" x14ac:dyDescent="0.25">
      <c r="A1331" s="206" t="s">
        <v>235</v>
      </c>
      <c r="B1331" s="403">
        <v>9601812</v>
      </c>
      <c r="C1331" s="377">
        <v>45560</v>
      </c>
      <c r="D1331" s="369"/>
      <c r="E1331" s="404" t="s">
        <v>263</v>
      </c>
      <c r="F1331" s="416"/>
      <c r="G1331" s="368"/>
      <c r="H1331" s="405"/>
      <c r="I1331" s="406">
        <v>274723.20899999997</v>
      </c>
      <c r="J1331" s="406">
        <v>274723.20899999997</v>
      </c>
      <c r="K1331" s="407">
        <v>274723.20899999997</v>
      </c>
      <c r="L1331" s="368"/>
      <c r="M1331" s="377"/>
      <c r="N1331" s="368">
        <f>+Table7[[#This Row],[стойност с ДДС]]-Table7[[#This Row],[направено плащане]]</f>
        <v>274723.20899999997</v>
      </c>
      <c r="O1331" s="421">
        <v>45580</v>
      </c>
    </row>
    <row r="1332" spans="1:15" ht="20.100000000000001" customHeight="1" x14ac:dyDescent="0.25">
      <c r="A1332" s="206" t="s">
        <v>159</v>
      </c>
      <c r="B1332" s="403" t="s">
        <v>1778</v>
      </c>
      <c r="C1332" s="377">
        <v>45560</v>
      </c>
      <c r="D1332" s="369"/>
      <c r="E1332" s="404" t="s">
        <v>131</v>
      </c>
      <c r="F1332" s="416" t="s">
        <v>1779</v>
      </c>
      <c r="G1332" s="368"/>
      <c r="H1332" s="405">
        <v>1000</v>
      </c>
      <c r="I1332" s="406">
        <v>28.7346</v>
      </c>
      <c r="J1332" s="406">
        <f t="shared" ref="J1332:J1338" si="230">I1332*H1332</f>
        <v>28734.6</v>
      </c>
      <c r="K1332" s="407"/>
      <c r="L1332" s="368"/>
      <c r="M1332" s="377"/>
      <c r="N1332" s="368">
        <f>+Table7[[#This Row],[стойност с ДДС]]-Table7[[#This Row],[направено плащане]]</f>
        <v>0</v>
      </c>
      <c r="O1332" s="370"/>
    </row>
    <row r="1333" spans="1:15" ht="20.100000000000001" customHeight="1" x14ac:dyDescent="0.25">
      <c r="A1333" s="206" t="s">
        <v>159</v>
      </c>
      <c r="B1333" s="403" t="s">
        <v>1778</v>
      </c>
      <c r="C1333" s="377">
        <v>45560</v>
      </c>
      <c r="D1333" s="369"/>
      <c r="E1333" s="404" t="s">
        <v>131</v>
      </c>
      <c r="F1333" s="416" t="s">
        <v>1780</v>
      </c>
      <c r="G1333" s="368"/>
      <c r="H1333" s="405">
        <v>150</v>
      </c>
      <c r="I1333" s="406">
        <v>28.785730000000001</v>
      </c>
      <c r="J1333" s="406">
        <f t="shared" si="230"/>
        <v>4317.8595000000005</v>
      </c>
      <c r="K1333" s="407"/>
      <c r="L1333" s="368"/>
      <c r="M1333" s="377"/>
      <c r="N1333" s="368">
        <f>+Table7[[#This Row],[стойност с ДДС]]-Table7[[#This Row],[направено плащане]]</f>
        <v>0</v>
      </c>
      <c r="O1333" s="370"/>
    </row>
    <row r="1334" spans="1:15" ht="20.100000000000001" customHeight="1" x14ac:dyDescent="0.25">
      <c r="A1334" s="206" t="s">
        <v>99</v>
      </c>
      <c r="B1334" s="403">
        <v>20001358</v>
      </c>
      <c r="C1334" s="377">
        <v>45561</v>
      </c>
      <c r="D1334" s="369"/>
      <c r="E1334" s="404" t="s">
        <v>131</v>
      </c>
      <c r="F1334" s="416" t="s">
        <v>1781</v>
      </c>
      <c r="G1334" s="368"/>
      <c r="H1334" s="405">
        <v>40</v>
      </c>
      <c r="I1334" s="406">
        <v>58</v>
      </c>
      <c r="J1334" s="406">
        <f t="shared" si="230"/>
        <v>2320</v>
      </c>
      <c r="K1334" s="407">
        <f t="shared" ref="K1334:K1341" si="231">J1334*1.2</f>
        <v>2784</v>
      </c>
      <c r="L1334" s="368">
        <v>2784</v>
      </c>
      <c r="M1334" s="377">
        <v>45562</v>
      </c>
      <c r="N1334" s="368">
        <f>+Table7[[#This Row],[стойност с ДДС]]-Table7[[#This Row],[направено плащане]]</f>
        <v>0</v>
      </c>
      <c r="O1334" s="370"/>
    </row>
    <row r="1335" spans="1:15" ht="20.100000000000001" customHeight="1" x14ac:dyDescent="0.25">
      <c r="A1335" s="206" t="s">
        <v>99</v>
      </c>
      <c r="B1335" s="384">
        <v>20001352</v>
      </c>
      <c r="C1335" s="376">
        <v>45558</v>
      </c>
      <c r="D1335" s="357"/>
      <c r="E1335" s="404" t="s">
        <v>131</v>
      </c>
      <c r="F1335" s="413" t="s">
        <v>1782</v>
      </c>
      <c r="G1335" s="356"/>
      <c r="H1335" s="359">
        <v>50</v>
      </c>
      <c r="I1335" s="360">
        <v>57.5</v>
      </c>
      <c r="J1335" s="360">
        <f t="shared" si="230"/>
        <v>2875</v>
      </c>
      <c r="K1335" s="361">
        <f t="shared" si="231"/>
        <v>3450</v>
      </c>
      <c r="L1335" s="356">
        <v>3450</v>
      </c>
      <c r="M1335" s="376">
        <v>45562</v>
      </c>
      <c r="N1335" s="356">
        <f>+Table7[[#This Row],[стойност с ДДС]]-Table7[[#This Row],[направено плащане]]</f>
        <v>0</v>
      </c>
      <c r="O1335" s="362"/>
    </row>
    <row r="1336" spans="1:15" ht="20.100000000000001" customHeight="1" x14ac:dyDescent="0.25">
      <c r="A1336" s="206" t="s">
        <v>268</v>
      </c>
      <c r="B1336" s="403">
        <v>200001181</v>
      </c>
      <c r="C1336" s="377">
        <v>45561</v>
      </c>
      <c r="D1336" s="369"/>
      <c r="E1336" s="404" t="s">
        <v>131</v>
      </c>
      <c r="F1336" s="416"/>
      <c r="G1336" s="368"/>
      <c r="H1336" s="405">
        <v>50</v>
      </c>
      <c r="I1336" s="406">
        <v>59</v>
      </c>
      <c r="J1336" s="406">
        <f t="shared" si="230"/>
        <v>2950</v>
      </c>
      <c r="K1336" s="407">
        <f t="shared" si="231"/>
        <v>3540</v>
      </c>
      <c r="L1336" s="368"/>
      <c r="M1336" s="377"/>
      <c r="N1336" s="368">
        <f>+Table7[[#This Row],[стойност с ДДС]]-Table7[[#This Row],[направено плащане]]</f>
        <v>3540</v>
      </c>
      <c r="O1336" s="421">
        <v>45568</v>
      </c>
    </row>
    <row r="1337" spans="1:15" ht="20.100000000000001" customHeight="1" x14ac:dyDescent="0.25">
      <c r="A1337" s="206" t="s">
        <v>118</v>
      </c>
      <c r="B1337" s="403">
        <v>3977</v>
      </c>
      <c r="C1337" s="377">
        <v>45561</v>
      </c>
      <c r="D1337" s="369"/>
      <c r="E1337" s="404" t="s">
        <v>131</v>
      </c>
      <c r="F1337" s="416" t="s">
        <v>1784</v>
      </c>
      <c r="G1337" s="368"/>
      <c r="H1337" s="405">
        <v>1000</v>
      </c>
      <c r="I1337" s="406">
        <v>57.5</v>
      </c>
      <c r="J1337" s="406">
        <f t="shared" si="230"/>
        <v>57500</v>
      </c>
      <c r="K1337" s="407">
        <f t="shared" si="231"/>
        <v>69000</v>
      </c>
      <c r="L1337" s="368"/>
      <c r="M1337" s="377"/>
      <c r="N1337" s="368">
        <f>+Table7[[#This Row],[стойност с ДДС]]-Table7[[#This Row],[направено плащане]]</f>
        <v>69000</v>
      </c>
      <c r="O1337" s="421">
        <v>45568</v>
      </c>
    </row>
    <row r="1338" spans="1:15" ht="20.100000000000001" customHeight="1" x14ac:dyDescent="0.25">
      <c r="A1338" s="206" t="s">
        <v>159</v>
      </c>
      <c r="B1338" s="403" t="s">
        <v>1785</v>
      </c>
      <c r="C1338" s="377">
        <v>45561</v>
      </c>
      <c r="D1338" s="369"/>
      <c r="E1338" s="404" t="s">
        <v>131</v>
      </c>
      <c r="F1338" s="416" t="s">
        <v>1786</v>
      </c>
      <c r="G1338" s="368"/>
      <c r="H1338" s="405">
        <v>260</v>
      </c>
      <c r="I1338" s="406">
        <f>29.39928*1.9563</f>
        <v>57.513811464</v>
      </c>
      <c r="J1338" s="406">
        <f t="shared" si="230"/>
        <v>14953.59098064</v>
      </c>
      <c r="K1338" s="407">
        <f t="shared" si="231"/>
        <v>17944.309176767998</v>
      </c>
      <c r="L1338" s="368"/>
      <c r="M1338" s="377"/>
      <c r="N1338" s="368">
        <f>+Table7[[#This Row],[стойност с ДДС]]-Table7[[#This Row],[направено плащане]]</f>
        <v>17944.309176767998</v>
      </c>
      <c r="O1338" s="370"/>
    </row>
    <row r="1339" spans="1:15" ht="20.100000000000001" customHeight="1" x14ac:dyDescent="0.25">
      <c r="A1339" s="206" t="s">
        <v>157</v>
      </c>
      <c r="B1339" s="403">
        <v>13674</v>
      </c>
      <c r="C1339" s="377">
        <v>45565</v>
      </c>
      <c r="D1339" s="369"/>
      <c r="E1339" s="404" t="s">
        <v>131</v>
      </c>
      <c r="F1339" s="416" t="s">
        <v>1787</v>
      </c>
      <c r="G1339" s="368"/>
      <c r="H1339" s="405">
        <v>50</v>
      </c>
      <c r="I1339" s="406">
        <v>57</v>
      </c>
      <c r="J1339" s="406">
        <f>I1339*H1339</f>
        <v>2850</v>
      </c>
      <c r="K1339" s="407">
        <f t="shared" si="231"/>
        <v>3420</v>
      </c>
      <c r="L1339" s="368"/>
      <c r="M1339" s="377"/>
      <c r="N1339" s="368">
        <f>+Table7[[#This Row],[стойност с ДДС]]-Table7[[#This Row],[направено плащане]]</f>
        <v>3420</v>
      </c>
      <c r="O1339" s="421">
        <v>45569</v>
      </c>
    </row>
    <row r="1340" spans="1:15" ht="20.100000000000001" customHeight="1" x14ac:dyDescent="0.25">
      <c r="A1340" s="206" t="s">
        <v>37</v>
      </c>
      <c r="B1340" s="403">
        <v>8000002338</v>
      </c>
      <c r="C1340" s="377">
        <v>45565</v>
      </c>
      <c r="D1340" s="369"/>
      <c r="E1340" s="404" t="s">
        <v>131</v>
      </c>
      <c r="F1340" s="416" t="s">
        <v>1788</v>
      </c>
      <c r="G1340" s="368"/>
      <c r="H1340" s="405">
        <v>500</v>
      </c>
      <c r="I1340" s="406">
        <v>57</v>
      </c>
      <c r="J1340" s="406">
        <f>I1340*H1340</f>
        <v>28500</v>
      </c>
      <c r="K1340" s="407">
        <f t="shared" si="231"/>
        <v>34200</v>
      </c>
      <c r="L1340" s="368"/>
      <c r="M1340" s="377"/>
      <c r="N1340" s="368">
        <f>+Table7[[#This Row],[стойност с ДДС]]-Table7[[#This Row],[направено плащане]]</f>
        <v>34200</v>
      </c>
      <c r="O1340" s="421">
        <v>45569</v>
      </c>
    </row>
    <row r="1341" spans="1:15" ht="20.100000000000001" customHeight="1" x14ac:dyDescent="0.25">
      <c r="A1341" s="206" t="s">
        <v>118</v>
      </c>
      <c r="B1341" s="377">
        <v>3997</v>
      </c>
      <c r="C1341" s="377">
        <v>45563</v>
      </c>
      <c r="D1341" s="369"/>
      <c r="E1341" s="404" t="s">
        <v>131</v>
      </c>
      <c r="F1341" s="416" t="s">
        <v>1789</v>
      </c>
      <c r="G1341" s="368"/>
      <c r="H1341" s="405">
        <v>100</v>
      </c>
      <c r="I1341" s="406">
        <v>57</v>
      </c>
      <c r="J1341" s="406">
        <f>I1341*H1341</f>
        <v>5700</v>
      </c>
      <c r="K1341" s="407">
        <f t="shared" si="231"/>
        <v>6840</v>
      </c>
      <c r="L1341" s="368"/>
      <c r="M1341" s="377"/>
      <c r="N1341" s="368">
        <f>+Table7[[#This Row],[стойност с ДДС]]-Table7[[#This Row],[направено плащане]]</f>
        <v>6840</v>
      </c>
      <c r="O1341" s="421">
        <v>45569</v>
      </c>
    </row>
    <row r="1342" spans="1:15" ht="20.100000000000001" customHeight="1" x14ac:dyDescent="0.25">
      <c r="A1342" s="151" t="s">
        <v>118</v>
      </c>
      <c r="B1342" s="384">
        <v>3997</v>
      </c>
      <c r="C1342" s="376">
        <v>45563</v>
      </c>
      <c r="D1342" s="357"/>
      <c r="E1342" s="358" t="s">
        <v>131</v>
      </c>
      <c r="F1342" s="413" t="s">
        <v>1790</v>
      </c>
      <c r="G1342" s="356"/>
      <c r="H1342" s="359">
        <v>100</v>
      </c>
      <c r="I1342" s="360">
        <v>57</v>
      </c>
      <c r="J1342" s="360">
        <f t="shared" ref="J1342:J1344" si="232">I1342*H1342</f>
        <v>5700</v>
      </c>
      <c r="K1342" s="361">
        <f t="shared" ref="K1342:K1344" si="233">J1342*1.2</f>
        <v>6840</v>
      </c>
      <c r="L1342" s="356"/>
      <c r="M1342" s="376"/>
      <c r="N1342" s="356">
        <f>+Table7[[#This Row],[стойност с ДДС]]-Table7[[#This Row],[направено плащане]]</f>
        <v>6840</v>
      </c>
      <c r="O1342" s="421">
        <v>45569</v>
      </c>
    </row>
    <row r="1343" spans="1:15" ht="20.100000000000001" customHeight="1" x14ac:dyDescent="0.25">
      <c r="A1343" s="151" t="s">
        <v>118</v>
      </c>
      <c r="B1343" s="384">
        <v>3997</v>
      </c>
      <c r="C1343" s="376">
        <v>45563</v>
      </c>
      <c r="D1343" s="357"/>
      <c r="E1343" s="358" t="s">
        <v>131</v>
      </c>
      <c r="F1343" s="413" t="s">
        <v>1791</v>
      </c>
      <c r="G1343" s="356"/>
      <c r="H1343" s="359">
        <v>100</v>
      </c>
      <c r="I1343" s="360">
        <v>57.5</v>
      </c>
      <c r="J1343" s="360">
        <f t="shared" si="232"/>
        <v>5750</v>
      </c>
      <c r="K1343" s="361">
        <f t="shared" si="233"/>
        <v>6900</v>
      </c>
      <c r="L1343" s="356"/>
      <c r="M1343" s="376"/>
      <c r="N1343" s="356">
        <f>+Table7[[#This Row],[стойност с ДДС]]-Table7[[#This Row],[направено плащане]]</f>
        <v>6900</v>
      </c>
      <c r="O1343" s="421">
        <v>45569</v>
      </c>
    </row>
    <row r="1344" spans="1:15" ht="20.100000000000001" customHeight="1" x14ac:dyDescent="0.25">
      <c r="A1344" s="206" t="s">
        <v>118</v>
      </c>
      <c r="B1344" s="403">
        <v>3997</v>
      </c>
      <c r="C1344" s="377">
        <v>45563</v>
      </c>
      <c r="D1344" s="369"/>
      <c r="E1344" s="404" t="s">
        <v>131</v>
      </c>
      <c r="F1344" s="416" t="s">
        <v>1792</v>
      </c>
      <c r="G1344" s="368"/>
      <c r="H1344" s="405">
        <v>50</v>
      </c>
      <c r="I1344" s="406">
        <v>57.5</v>
      </c>
      <c r="J1344" s="406">
        <f t="shared" si="232"/>
        <v>2875</v>
      </c>
      <c r="K1344" s="407">
        <f t="shared" si="233"/>
        <v>3450</v>
      </c>
      <c r="L1344" s="368"/>
      <c r="M1344" s="377"/>
      <c r="N1344" s="368">
        <f>+Table7[[#This Row],[стойност с ДДС]]-Table7[[#This Row],[направено плащане]]</f>
        <v>3450</v>
      </c>
      <c r="O1344" s="421">
        <v>45569</v>
      </c>
    </row>
    <row r="1345" spans="1:15" ht="20.100000000000001" customHeight="1" x14ac:dyDescent="0.25">
      <c r="A1345" s="206" t="s">
        <v>118</v>
      </c>
      <c r="B1345" s="384">
        <v>3988</v>
      </c>
      <c r="C1345" s="376">
        <v>45562</v>
      </c>
      <c r="D1345" s="357"/>
      <c r="E1345" s="404" t="s">
        <v>131</v>
      </c>
      <c r="F1345" s="413" t="s">
        <v>1793</v>
      </c>
      <c r="G1345" s="356"/>
      <c r="H1345" s="359">
        <v>1000</v>
      </c>
      <c r="I1345" s="360">
        <v>56.5</v>
      </c>
      <c r="J1345" s="360">
        <f t="shared" ref="J1345:J1346" si="234">I1345*H1345</f>
        <v>56500</v>
      </c>
      <c r="K1345" s="361">
        <f t="shared" ref="K1345:K1346" si="235">J1345*1.2</f>
        <v>67800</v>
      </c>
      <c r="L1345" s="356"/>
      <c r="M1345" s="376"/>
      <c r="N1345" s="356">
        <f>+Table7[[#This Row],[стойност с ДДС]]-Table7[[#This Row],[направено плащане]]</f>
        <v>67800</v>
      </c>
      <c r="O1345" s="421">
        <v>45569</v>
      </c>
    </row>
    <row r="1346" spans="1:15" ht="20.100000000000001" customHeight="1" x14ac:dyDescent="0.25">
      <c r="A1346" s="206" t="s">
        <v>118</v>
      </c>
      <c r="B1346" s="384">
        <v>3988</v>
      </c>
      <c r="C1346" s="376">
        <v>45562</v>
      </c>
      <c r="D1346" s="357"/>
      <c r="E1346" s="404" t="s">
        <v>131</v>
      </c>
      <c r="F1346" s="413" t="s">
        <v>1794</v>
      </c>
      <c r="G1346" s="356"/>
      <c r="H1346" s="359">
        <v>600</v>
      </c>
      <c r="I1346" s="360">
        <v>56.6</v>
      </c>
      <c r="J1346" s="360">
        <f t="shared" si="234"/>
        <v>33960</v>
      </c>
      <c r="K1346" s="361">
        <f t="shared" si="235"/>
        <v>40752</v>
      </c>
      <c r="L1346" s="356"/>
      <c r="M1346" s="376"/>
      <c r="N1346" s="356">
        <f>+Table7[[#This Row],[стойност с ДДС]]-Table7[[#This Row],[направено плащане]]</f>
        <v>40752</v>
      </c>
      <c r="O1346" s="421">
        <v>45569</v>
      </c>
    </row>
    <row r="1347" spans="1:15" ht="20.100000000000001" customHeight="1" x14ac:dyDescent="0.25">
      <c r="A1347" s="206" t="s">
        <v>159</v>
      </c>
      <c r="B1347" s="403" t="s">
        <v>1795</v>
      </c>
      <c r="C1347" s="377">
        <v>45564</v>
      </c>
      <c r="D1347" s="369"/>
      <c r="E1347" s="404" t="s">
        <v>131</v>
      </c>
      <c r="F1347" s="416" t="s">
        <v>1796</v>
      </c>
      <c r="G1347" s="368"/>
      <c r="H1347" s="405">
        <v>350</v>
      </c>
      <c r="I1347" s="406">
        <f>29.19477*1.9563</f>
        <v>57.113728550999994</v>
      </c>
      <c r="J1347" s="406">
        <f>I1347*H1347</f>
        <v>19989.804992849997</v>
      </c>
      <c r="K1347" s="407"/>
      <c r="L1347" s="368"/>
      <c r="M1347" s="377"/>
      <c r="N1347" s="368">
        <f>+Table7[[#This Row],[стойност с ДДС]]-Table7[[#This Row],[направено плащане]]</f>
        <v>0</v>
      </c>
      <c r="O1347" s="421">
        <v>45570</v>
      </c>
    </row>
    <row r="1348" spans="1:15" ht="20.100000000000001" customHeight="1" x14ac:dyDescent="0.25">
      <c r="A1348" s="206" t="s">
        <v>1017</v>
      </c>
      <c r="B1348" s="403">
        <v>1126</v>
      </c>
      <c r="C1348" s="377">
        <v>45564</v>
      </c>
      <c r="D1348" s="369"/>
      <c r="E1348" s="404" t="s">
        <v>131</v>
      </c>
      <c r="F1348" s="416" t="s">
        <v>1797</v>
      </c>
      <c r="G1348" s="368"/>
      <c r="H1348" s="405">
        <v>100</v>
      </c>
      <c r="I1348" s="406">
        <v>56.5</v>
      </c>
      <c r="J1348" s="406">
        <f>I1348*H1348</f>
        <v>5650</v>
      </c>
      <c r="K1348" s="407">
        <f>J1348*1.2</f>
        <v>6780</v>
      </c>
      <c r="L1348" s="368"/>
      <c r="M1348" s="377"/>
      <c r="N1348" s="368">
        <f>+Table7[[#This Row],[стойност с ДДС]]-Table7[[#This Row],[направено плащане]]</f>
        <v>6780</v>
      </c>
      <c r="O1348" s="421">
        <v>45565</v>
      </c>
    </row>
    <row r="1349" spans="1:15" ht="20.100000000000001" customHeight="1" x14ac:dyDescent="0.25">
      <c r="A1349" s="206" t="s">
        <v>1017</v>
      </c>
      <c r="B1349" s="403">
        <v>1130</v>
      </c>
      <c r="C1349" s="376">
        <v>45565</v>
      </c>
      <c r="D1349" s="357"/>
      <c r="E1349" s="404" t="s">
        <v>131</v>
      </c>
      <c r="F1349" s="413" t="s">
        <v>1798</v>
      </c>
      <c r="G1349" s="356"/>
      <c r="H1349" s="359">
        <v>500</v>
      </c>
      <c r="I1349" s="360">
        <v>62.5</v>
      </c>
      <c r="J1349" s="360">
        <f>I1349*H1349</f>
        <v>31250</v>
      </c>
      <c r="K1349" s="361">
        <f>J1349*1.2</f>
        <v>37500</v>
      </c>
      <c r="L1349" s="356"/>
      <c r="M1349" s="376"/>
      <c r="N1349" s="356">
        <f>+Table7[[#This Row],[стойност с ДДС]]-Table7[[#This Row],[направено плащане]]</f>
        <v>37500</v>
      </c>
      <c r="O1349" s="362"/>
    </row>
  </sheetData>
  <phoneticPr fontId="11" type="noConversion"/>
  <pageMargins left="0.7" right="0.7" top="0.75" bottom="0.75" header="0.3" footer="0.3"/>
  <pageSetup paperSize="9" orientation="portrait" r:id="rId1"/>
  <ignoredErrors>
    <ignoredError sqref="K141" unlockedFormula="1"/>
    <ignoredError sqref="F664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9776-E939-4D2D-A3D0-7C3EE29C47ED}">
  <sheetPr>
    <tabColor theme="7" tint="0.79998168889431442"/>
  </sheetPr>
  <dimension ref="A1:AK67"/>
  <sheetViews>
    <sheetView zoomScale="80" zoomScaleNormal="8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C31" sqref="C31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81">
        <v>45292</v>
      </c>
      <c r="F2" s="81">
        <f>+E2+1</f>
        <v>45293</v>
      </c>
      <c r="G2" s="81">
        <f t="shared" ref="G2:AI2" si="0">+F2+1</f>
        <v>45294</v>
      </c>
      <c r="H2" s="81">
        <f t="shared" si="0"/>
        <v>45295</v>
      </c>
      <c r="I2" s="81">
        <f t="shared" si="0"/>
        <v>45296</v>
      </c>
      <c r="J2" s="83">
        <f t="shared" si="0"/>
        <v>45297</v>
      </c>
      <c r="K2" s="83">
        <f t="shared" si="0"/>
        <v>45298</v>
      </c>
      <c r="L2" s="81">
        <f t="shared" si="0"/>
        <v>45299</v>
      </c>
      <c r="M2" s="81">
        <f t="shared" si="0"/>
        <v>45300</v>
      </c>
      <c r="N2" s="81">
        <f t="shared" si="0"/>
        <v>45301</v>
      </c>
      <c r="O2" s="81">
        <f>+N2+1</f>
        <v>45302</v>
      </c>
      <c r="P2" s="81">
        <f t="shared" si="0"/>
        <v>45303</v>
      </c>
      <c r="Q2" s="85">
        <f t="shared" si="0"/>
        <v>45304</v>
      </c>
      <c r="R2" s="85">
        <f t="shared" si="0"/>
        <v>45305</v>
      </c>
      <c r="S2" s="81">
        <f t="shared" si="0"/>
        <v>45306</v>
      </c>
      <c r="T2" s="81">
        <f t="shared" si="0"/>
        <v>45307</v>
      </c>
      <c r="U2" s="81">
        <f t="shared" si="0"/>
        <v>45308</v>
      </c>
      <c r="V2" s="81">
        <f t="shared" si="0"/>
        <v>45309</v>
      </c>
      <c r="W2" s="81">
        <f t="shared" si="0"/>
        <v>45310</v>
      </c>
      <c r="X2" s="83">
        <f t="shared" si="0"/>
        <v>45311</v>
      </c>
      <c r="Y2" s="83">
        <f t="shared" si="0"/>
        <v>45312</v>
      </c>
      <c r="Z2" s="81">
        <f t="shared" si="0"/>
        <v>45313</v>
      </c>
      <c r="AA2" s="81">
        <f t="shared" si="0"/>
        <v>45314</v>
      </c>
      <c r="AB2" s="81">
        <f t="shared" si="0"/>
        <v>45315</v>
      </c>
      <c r="AC2" s="81">
        <f t="shared" si="0"/>
        <v>45316</v>
      </c>
      <c r="AD2" s="81">
        <f t="shared" si="0"/>
        <v>45317</v>
      </c>
      <c r="AE2" s="83">
        <f t="shared" si="0"/>
        <v>45318</v>
      </c>
      <c r="AF2" s="83">
        <f t="shared" si="0"/>
        <v>45319</v>
      </c>
      <c r="AG2" s="81">
        <f t="shared" si="0"/>
        <v>45320</v>
      </c>
      <c r="AH2" s="81">
        <f t="shared" si="0"/>
        <v>45321</v>
      </c>
      <c r="AI2" s="81">
        <f t="shared" si="0"/>
        <v>45322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419740.09</v>
      </c>
      <c r="U3" s="54">
        <f t="shared" si="1"/>
        <v>35507.760000000002</v>
      </c>
      <c r="V3" s="54">
        <f t="shared" si="1"/>
        <v>0</v>
      </c>
      <c r="W3" s="54">
        <f t="shared" si="1"/>
        <v>18.59</v>
      </c>
      <c r="X3" s="54">
        <f t="shared" si="1"/>
        <v>0</v>
      </c>
      <c r="Y3" s="54">
        <f t="shared" si="1"/>
        <v>0</v>
      </c>
      <c r="Z3" s="54">
        <f t="shared" si="1"/>
        <v>150852.84</v>
      </c>
      <c r="AA3" s="54">
        <f t="shared" si="1"/>
        <v>1897.92</v>
      </c>
      <c r="AB3" s="54">
        <f t="shared" si="1"/>
        <v>0</v>
      </c>
      <c r="AC3" s="54">
        <f t="shared" si="1"/>
        <v>178821.24000000002</v>
      </c>
      <c r="AD3" s="54">
        <f t="shared" si="1"/>
        <v>8366535.0499999998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9153373.4900000002</v>
      </c>
      <c r="AK3" s="54">
        <f>+AJ3</f>
        <v>9153373.4900000002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3">SUM(D5,D9,D10)</f>
        <v>0</v>
      </c>
      <c r="E4" s="73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I4" si="4">SUM(I5,I9,I10)</f>
        <v>0</v>
      </c>
      <c r="J4" s="77">
        <f t="shared" si="4"/>
        <v>0</v>
      </c>
      <c r="K4" s="77">
        <f t="shared" si="4"/>
        <v>0</v>
      </c>
      <c r="L4" s="73">
        <f t="shared" si="4"/>
        <v>0</v>
      </c>
      <c r="M4" s="73">
        <f t="shared" si="4"/>
        <v>0</v>
      </c>
      <c r="N4" s="73">
        <f t="shared" si="4"/>
        <v>0</v>
      </c>
      <c r="O4" s="73">
        <f t="shared" si="4"/>
        <v>0</v>
      </c>
      <c r="P4" s="73">
        <f t="shared" si="4"/>
        <v>0</v>
      </c>
      <c r="Q4" s="77">
        <f t="shared" si="4"/>
        <v>0</v>
      </c>
      <c r="R4" s="77">
        <f t="shared" si="4"/>
        <v>0</v>
      </c>
      <c r="S4" s="73">
        <f t="shared" si="4"/>
        <v>0</v>
      </c>
      <c r="T4" s="73">
        <f t="shared" si="4"/>
        <v>283927.26</v>
      </c>
      <c r="U4" s="73">
        <f t="shared" si="4"/>
        <v>21312.9</v>
      </c>
      <c r="V4" s="73">
        <f t="shared" si="4"/>
        <v>0</v>
      </c>
      <c r="W4" s="73">
        <f t="shared" si="4"/>
        <v>0</v>
      </c>
      <c r="X4" s="77">
        <f t="shared" si="4"/>
        <v>0</v>
      </c>
      <c r="Y4" s="77">
        <f t="shared" si="4"/>
        <v>0</v>
      </c>
      <c r="Z4" s="73">
        <f t="shared" si="4"/>
        <v>135142.72</v>
      </c>
      <c r="AA4" s="73">
        <f t="shared" si="4"/>
        <v>1897.92</v>
      </c>
      <c r="AB4" s="73">
        <f t="shared" si="4"/>
        <v>0</v>
      </c>
      <c r="AC4" s="73">
        <f t="shared" si="4"/>
        <v>9055.2000000000007</v>
      </c>
      <c r="AD4" s="73">
        <f t="shared" si="4"/>
        <v>8366525</v>
      </c>
      <c r="AE4" s="77">
        <f t="shared" si="4"/>
        <v>0</v>
      </c>
      <c r="AF4" s="77">
        <f t="shared" si="4"/>
        <v>0</v>
      </c>
      <c r="AG4" s="73">
        <f t="shared" si="4"/>
        <v>0</v>
      </c>
      <c r="AH4" s="73">
        <f t="shared" si="4"/>
        <v>0</v>
      </c>
      <c r="AI4" s="73">
        <f t="shared" si="4"/>
        <v>0</v>
      </c>
      <c r="AJ4" s="57">
        <f t="shared" si="2"/>
        <v>8817861</v>
      </c>
      <c r="AK4" s="58">
        <f>+AJ4</f>
        <v>8817861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5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I5" si="6">SUM(I6:I8)</f>
        <v>0</v>
      </c>
      <c r="J5" s="76">
        <f t="shared" si="6"/>
        <v>0</v>
      </c>
      <c r="K5" s="76">
        <f t="shared" si="6"/>
        <v>0</v>
      </c>
      <c r="L5" s="74">
        <f t="shared" si="6"/>
        <v>0</v>
      </c>
      <c r="M5" s="74">
        <f t="shared" si="6"/>
        <v>0</v>
      </c>
      <c r="N5" s="74">
        <f t="shared" si="6"/>
        <v>0</v>
      </c>
      <c r="O5" s="74">
        <f t="shared" si="6"/>
        <v>0</v>
      </c>
      <c r="P5" s="74">
        <f t="shared" si="6"/>
        <v>0</v>
      </c>
      <c r="Q5" s="76">
        <f t="shared" si="6"/>
        <v>0</v>
      </c>
      <c r="R5" s="76">
        <f t="shared" si="6"/>
        <v>0</v>
      </c>
      <c r="S5" s="74">
        <f t="shared" si="6"/>
        <v>0</v>
      </c>
      <c r="T5" s="74">
        <f t="shared" si="6"/>
        <v>283927.26</v>
      </c>
      <c r="U5" s="74">
        <f t="shared" si="6"/>
        <v>995.57999999999993</v>
      </c>
      <c r="V5" s="74">
        <f t="shared" si="6"/>
        <v>0</v>
      </c>
      <c r="W5" s="74">
        <f t="shared" si="6"/>
        <v>0</v>
      </c>
      <c r="X5" s="76">
        <f t="shared" si="6"/>
        <v>0</v>
      </c>
      <c r="Y5" s="76">
        <f t="shared" si="6"/>
        <v>0</v>
      </c>
      <c r="Z5" s="74">
        <f t="shared" si="6"/>
        <v>124666.72</v>
      </c>
      <c r="AA5" s="74">
        <f t="shared" si="6"/>
        <v>0</v>
      </c>
      <c r="AB5" s="74">
        <f t="shared" si="6"/>
        <v>0</v>
      </c>
      <c r="AC5" s="74">
        <f t="shared" si="6"/>
        <v>0</v>
      </c>
      <c r="AD5" s="74">
        <f t="shared" si="6"/>
        <v>8366525</v>
      </c>
      <c r="AE5" s="76">
        <f t="shared" si="6"/>
        <v>0</v>
      </c>
      <c r="AF5" s="76">
        <f t="shared" si="6"/>
        <v>0</v>
      </c>
      <c r="AG5" s="74">
        <f t="shared" si="6"/>
        <v>0</v>
      </c>
      <c r="AH5" s="74">
        <f t="shared" si="6"/>
        <v>0</v>
      </c>
      <c r="AI5" s="74">
        <f t="shared" si="6"/>
        <v>0</v>
      </c>
      <c r="AJ5" s="61">
        <f t="shared" si="2"/>
        <v>8776114.5600000005</v>
      </c>
      <c r="AK5" s="58">
        <f t="shared" ref="AK5:AK22" si="7">+AJ5</f>
        <v>8776114.5600000005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5"/>
      <c r="F6" s="75"/>
      <c r="G6" s="75"/>
      <c r="H6" s="75"/>
      <c r="I6" s="75"/>
      <c r="J6" s="78"/>
      <c r="K6" s="78"/>
      <c r="L6" s="75"/>
      <c r="M6" s="75"/>
      <c r="N6" s="75"/>
      <c r="O6" s="75"/>
      <c r="P6" s="75"/>
      <c r="Q6" s="78"/>
      <c r="R6" s="78"/>
      <c r="S6" s="75"/>
      <c r="T6" s="75"/>
      <c r="U6" s="75"/>
      <c r="V6" s="75"/>
      <c r="W6" s="75"/>
      <c r="X6" s="78"/>
      <c r="Y6" s="78"/>
      <c r="Z6" s="75"/>
      <c r="AA6" s="75"/>
      <c r="AB6" s="75"/>
      <c r="AC6" s="75"/>
      <c r="AD6" s="75"/>
      <c r="AE6" s="78"/>
      <c r="AF6" s="78"/>
      <c r="AG6" s="75"/>
      <c r="AH6" s="75"/>
      <c r="AI6" s="75"/>
      <c r="AJ6" s="66">
        <f t="shared" si="2"/>
        <v>0</v>
      </c>
      <c r="AK6" s="58">
        <f t="shared" si="7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Януари'!$C$7,приходи!$M:$M,'ПП Януари'!E2)</f>
        <v>0</v>
      </c>
      <c r="F7" s="74">
        <f>SUMIFS(приходи!$L:$L,приходи!$E:$E,'ПП Януари'!$C$7,приходи!$M:$M,'ПП Януари'!F2)</f>
        <v>0</v>
      </c>
      <c r="G7" s="74">
        <f>SUMIFS(приходи!$L:$L,приходи!$E:$E,'ПП Януари'!$C$7,приходи!$M:$M,'ПП Януари'!G2)</f>
        <v>0</v>
      </c>
      <c r="H7" s="74">
        <f>SUMIFS(приходи!$L:$L,приходи!$E:$E,'ПП Януари'!$C$7,приходи!$M:$M,'ПП Януари'!H2)</f>
        <v>0</v>
      </c>
      <c r="I7" s="74">
        <f>SUMIFS(приходи!$L:$L,приходи!$E:$E,'ПП Януари'!$C$7,приходи!$M:$M,'ПП Януари'!I2)</f>
        <v>0</v>
      </c>
      <c r="J7" s="76">
        <f>SUMIFS(приходи!$L:$L,приходи!$E:$E,'ПП Януари'!$C$7,приходи!$M:$M,'ПП Януари'!J2)</f>
        <v>0</v>
      </c>
      <c r="K7" s="76">
        <f>SUMIFS(приходи!$L:$L,приходи!$E:$E,'ПП Януари'!$C$7,приходи!$M:$M,'ПП Януари'!K2)</f>
        <v>0</v>
      </c>
      <c r="L7" s="74">
        <f>SUMIFS(приходи!$L:$L,приходи!$E:$E,'ПП Януари'!$C$7,приходи!$M:$M,'ПП Януари'!L2)</f>
        <v>0</v>
      </c>
      <c r="M7" s="74">
        <f>SUMIFS(приходи!$L:$L,приходи!$E:$E,'ПП Януари'!$C$7,приходи!$M:$M,'ПП Януари'!M2)</f>
        <v>0</v>
      </c>
      <c r="N7" s="74">
        <f>SUMIFS(приходи!$L:$L,приходи!$E:$E,'ПП Януари'!$C$7,приходи!$M:$M,'ПП Януари'!N2)</f>
        <v>0</v>
      </c>
      <c r="O7" s="74">
        <f>SUMIFS(приходи!$L:$L,приходи!$E:$E,'ПП Януари'!$C$7,приходи!$M:$M,'ПП Януари'!O2)</f>
        <v>0</v>
      </c>
      <c r="P7" s="74">
        <f>SUMIFS(приходи!$L:$L,приходи!$E:$E,'ПП Януари'!$C$7,приходи!$M:$M,'ПП Януари'!P2)</f>
        <v>0</v>
      </c>
      <c r="Q7" s="76">
        <f>SUMIFS(приходи!$L:$L,приходи!$E:$E,'ПП Януари'!$C$7,приходи!$M:$M,'ПП Януари'!Q2)</f>
        <v>0</v>
      </c>
      <c r="R7" s="76">
        <f>SUMIFS(приходи!$L:$L,приходи!$E:$E,'ПП Януари'!$C$7,приходи!$M:$M,'ПП Януари'!R2)</f>
        <v>0</v>
      </c>
      <c r="S7" s="74">
        <f>SUMIFS(приходи!$L:$L,приходи!$E:$E,'ПП Януари'!$C$7,приходи!$M:$M,'ПП Януари'!S2)</f>
        <v>0</v>
      </c>
      <c r="T7" s="74">
        <f>SUMIFS(приходи!$L:$L,приходи!$E:$E,'ПП Януари'!$C$7,приходи!$M:$M,'ПП Януари'!T2)</f>
        <v>283927.26</v>
      </c>
      <c r="U7" s="74">
        <f>SUMIFS(приходи!$L:$L,приходи!$E:$E,'ПП Януари'!$C$7,приходи!$M:$M,'ПП Януари'!U2)</f>
        <v>0</v>
      </c>
      <c r="V7" s="74">
        <f>SUMIFS(приходи!$L:$L,приходи!$E:$E,'ПП Януари'!$C$7,приходи!$M:$M,'ПП Януари'!V2)</f>
        <v>0</v>
      </c>
      <c r="W7" s="74">
        <f>SUMIFS(приходи!$L:$L,приходи!$E:$E,'ПП Януари'!$C$7,приходи!$M:$M,'ПП Януари'!W2)</f>
        <v>0</v>
      </c>
      <c r="X7" s="76">
        <f>SUMIFS(приходи!$L:$L,приходи!$E:$E,'ПП Януари'!$C$7,приходи!$M:$M,'ПП Януари'!X2)</f>
        <v>0</v>
      </c>
      <c r="Y7" s="76">
        <f>SUMIFS(приходи!$L:$L,приходи!$E:$E,'ПП Януари'!$C$7,приходи!$M:$M,'ПП Януари'!Y2)</f>
        <v>0</v>
      </c>
      <c r="Z7" s="74">
        <f>SUMIFS(приходи!$L:$L,приходи!$E:$E,'ПП Януари'!$C$7,приходи!$M:$M,'ПП Януари'!Z2)</f>
        <v>0</v>
      </c>
      <c r="AA7" s="74">
        <f>SUMIFS(приходи!$L:$L,приходи!$E:$E,'ПП Януари'!$C$7,приходи!$M:$M,'ПП Януари'!AA2)</f>
        <v>0</v>
      </c>
      <c r="AB7" s="74">
        <f>SUMIFS(приходи!$L:$L,приходи!$E:$E,'ПП Януари'!$C$7,приходи!$M:$M,'ПП Януари'!AB2)</f>
        <v>0</v>
      </c>
      <c r="AC7" s="74">
        <f>SUMIFS(приходи!$L:$L,приходи!$E:$E,'ПП Януари'!$C$7,приходи!$M:$M,'ПП Януари'!AC2)</f>
        <v>0</v>
      </c>
      <c r="AD7" s="74">
        <f>SUMIFS(приходи!$L:$L,приходи!$E:$E,'ПП Януари'!$C$7,приходи!$M:$M,'ПП Януари'!AD2)</f>
        <v>8366525</v>
      </c>
      <c r="AE7" s="76">
        <f>SUMIFS(приходи!$L:$L,приходи!$E:$E,'ПП Януари'!$C$7,приходи!$M:$M,'ПП Януари'!AE2)</f>
        <v>0</v>
      </c>
      <c r="AF7" s="76">
        <f>SUMIFS(приходи!$L:$L,приходи!$E:$E,'ПП Януари'!$C$7,приходи!$M:$M,'ПП Януари'!AF2)</f>
        <v>0</v>
      </c>
      <c r="AG7" s="74">
        <f>SUMIFS(приходи!$L:$L,приходи!$E:$E,'ПП Януари'!$C$7,приходи!$M:$M,'ПП Януари'!AG2)</f>
        <v>0</v>
      </c>
      <c r="AH7" s="74">
        <f>SUMIFS(приходи!$L:$L,приходи!$E:$E,'ПП Януари'!$C$7,приходи!$M:$M,'ПП Януари'!AH2)</f>
        <v>0</v>
      </c>
      <c r="AI7" s="74">
        <f>SUMIFS(приходи!$L:$L,приходи!$E:$E,'ПП Януари'!$C$7,приходи!$M:$M,'ПП Януари'!AI2)</f>
        <v>0</v>
      </c>
      <c r="AJ7" s="61">
        <f t="shared" si="2"/>
        <v>8650452.2599999998</v>
      </c>
      <c r="AK7" s="58">
        <f t="shared" si="7"/>
        <v>8650452.2599999998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Януари'!$C$8,приходи!$M:$M,'ПП Януари'!E2)</f>
        <v>0</v>
      </c>
      <c r="F8" s="74">
        <f>SUMIFS(приходи!$L:$L,приходи!$E:$E,'ПП Януари'!$C$8,приходи!$M:$M,'ПП Януари'!F2)</f>
        <v>0</v>
      </c>
      <c r="G8" s="74">
        <f>SUMIFS(приходи!$L:$L,приходи!$E:$E,'ПП Януари'!$C$8,приходи!$M:$M,'ПП Януари'!G2)</f>
        <v>0</v>
      </c>
      <c r="H8" s="74">
        <f>SUMIFS(приходи!$L:$L,приходи!$E:$E,'ПП Януари'!$C$8,приходи!$M:$M,'ПП Януари'!H2)</f>
        <v>0</v>
      </c>
      <c r="I8" s="74">
        <f>SUMIFS(приходи!$L:$L,приходи!$E:$E,'ПП Януари'!$C$8,приходи!$M:$M,'ПП Януари'!I2)</f>
        <v>0</v>
      </c>
      <c r="J8" s="76">
        <f>SUMIFS(приходи!$L:$L,приходи!$E:$E,'ПП Януари'!$C$8,приходи!$M:$M,'ПП Януари'!J2)</f>
        <v>0</v>
      </c>
      <c r="K8" s="76">
        <f>SUMIFS(приходи!$L:$L,приходи!$E:$E,'ПП Януари'!$C$8,приходи!$M:$M,'ПП Януари'!K2)</f>
        <v>0</v>
      </c>
      <c r="L8" s="74">
        <f>SUMIFS(приходи!$L:$L,приходи!$E:$E,'ПП Януари'!$C$8,приходи!$M:$M,'ПП Януари'!L2)</f>
        <v>0</v>
      </c>
      <c r="M8" s="74">
        <f>SUMIFS(приходи!$L:$L,приходи!$E:$E,'ПП Януари'!$C$8,приходи!$M:$M,'ПП Януари'!M2)</f>
        <v>0</v>
      </c>
      <c r="N8" s="74">
        <f>SUMIFS(приходи!$L:$L,приходи!$E:$E,'ПП Януари'!$C$8,приходи!$M:$M,'ПП Януари'!N2)</f>
        <v>0</v>
      </c>
      <c r="O8" s="74">
        <f>SUMIFS(приходи!$L:$L,приходи!$E:$E,'ПП Януари'!$C$8,приходи!$M:$M,'ПП Януари'!O2)</f>
        <v>0</v>
      </c>
      <c r="P8" s="74">
        <f>SUMIFS(приходи!$L:$L,приходи!$E:$E,'ПП Януари'!$C$8,приходи!$M:$M,'ПП Януари'!P2)</f>
        <v>0</v>
      </c>
      <c r="Q8" s="76">
        <f>SUMIFS(приходи!$L:$L,приходи!$E:$E,'ПП Януари'!$C$8,приходи!$M:$M,'ПП Януари'!Q2)</f>
        <v>0</v>
      </c>
      <c r="R8" s="76">
        <f>SUMIFS(приходи!$L:$L,приходи!$E:$E,'ПП Януари'!$C$8,приходи!$M:$M,'ПП Януари'!R2)</f>
        <v>0</v>
      </c>
      <c r="S8" s="74">
        <f>SUMIFS(приходи!$L:$L,приходи!$E:$E,'ПП Януари'!$C$8,приходи!$M:$M,'ПП Януари'!S2)</f>
        <v>0</v>
      </c>
      <c r="T8" s="74">
        <f>SUMIFS(приходи!$L:$L,приходи!$E:$E,'ПП Януари'!$C$8,приходи!$M:$M,'ПП Януари'!T2)</f>
        <v>0</v>
      </c>
      <c r="U8" s="74">
        <f>SUMIFS(приходи!$L:$L,приходи!$E:$E,'ПП Януари'!$C$8,приходи!$M:$M,'ПП Януари'!U2)</f>
        <v>995.57999999999993</v>
      </c>
      <c r="V8" s="74">
        <f>SUMIFS(приходи!$L:$L,приходи!$E:$E,'ПП Януари'!$C$8,приходи!$M:$M,'ПП Януари'!V2)</f>
        <v>0</v>
      </c>
      <c r="W8" s="74">
        <f>SUMIFS(приходи!$L:$L,приходи!$E:$E,'ПП Януари'!$C$8,приходи!$M:$M,'ПП Януари'!W2)</f>
        <v>0</v>
      </c>
      <c r="X8" s="76">
        <f>SUMIFS(приходи!$L:$L,приходи!$E:$E,'ПП Януари'!$C$8,приходи!$M:$M,'ПП Януари'!X2)</f>
        <v>0</v>
      </c>
      <c r="Y8" s="76">
        <f>SUMIFS(приходи!$L:$L,приходи!$E:$E,'ПП Януари'!$C$8,приходи!$M:$M,'ПП Януари'!Y2)</f>
        <v>0</v>
      </c>
      <c r="Z8" s="74">
        <f>SUMIFS(приходи!$L:$L,приходи!$E:$E,'ПП Януари'!$C$8,приходи!$M:$M,'ПП Януари'!Z2)</f>
        <v>124666.72</v>
      </c>
      <c r="AA8" s="74">
        <f>SUMIFS(приходи!$L:$L,приходи!$E:$E,'ПП Януари'!$C$8,приходи!$M:$M,'ПП Януари'!AA2)</f>
        <v>0</v>
      </c>
      <c r="AB8" s="74">
        <f>SUMIFS(приходи!$L:$L,приходи!$E:$E,'ПП Януари'!$C$8,приходи!$M:$M,'ПП Януари'!AB2)</f>
        <v>0</v>
      </c>
      <c r="AC8" s="74">
        <f>SUMIFS(приходи!$L:$L,приходи!$E:$E,'ПП Януари'!$C$8,приходи!$M:$M,'ПП Януари'!AC2)</f>
        <v>0</v>
      </c>
      <c r="AD8" s="74">
        <f>SUMIFS(приходи!$L:$L,приходи!$E:$E,'ПП Януари'!$C$8,приходи!$M:$M,'ПП Януари'!AD2)</f>
        <v>0</v>
      </c>
      <c r="AE8" s="76">
        <f>SUMIFS(приходи!$L:$L,приходи!$E:$E,'ПП Януари'!$C$8,приходи!$M:$M,'ПП Януари'!AE2)</f>
        <v>0</v>
      </c>
      <c r="AF8" s="76">
        <f>SUMIFS(приходи!$L:$L,приходи!$E:$E,'ПП Януари'!$C$8,приходи!$M:$M,'ПП Януари'!AF2)</f>
        <v>0</v>
      </c>
      <c r="AG8" s="74">
        <f>SUMIFS(приходи!$L:$L,приходи!$E:$E,'ПП Януари'!$C$8,приходи!$M:$M,'ПП Януари'!AG2)</f>
        <v>0</v>
      </c>
      <c r="AH8" s="74">
        <f>SUMIFS(приходи!$L:$L,приходи!$E:$E,'ПП Януари'!$C$8,приходи!$M:$M,'ПП Януари'!AH2)</f>
        <v>0</v>
      </c>
      <c r="AI8" s="74">
        <f>SUMIFS(приходи!$L:$L,приходи!$E:$E,'ПП Януари'!$C$8,приходи!$M:$M,'ПП Януари'!AI2)</f>
        <v>0</v>
      </c>
      <c r="AJ8" s="61">
        <f t="shared" si="2"/>
        <v>125662.3</v>
      </c>
      <c r="AK8" s="58">
        <f t="shared" si="7"/>
        <v>125662.3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Януари'!$C$9,приходи!$M:$M,'ПП Януари'!E2)</f>
        <v>0</v>
      </c>
      <c r="F9" s="74">
        <f>SUMIFS(приходи!$L:$L,приходи!$E:$E,'ПП Януари'!$C$9,приходи!$M:$M,'ПП Януари'!F2)</f>
        <v>0</v>
      </c>
      <c r="G9" s="74">
        <f>SUMIFS(приходи!$L:$L,приходи!$E:$E,'ПП Януари'!$C$9,приходи!$M:$M,'ПП Януари'!G2)</f>
        <v>0</v>
      </c>
      <c r="H9" s="74">
        <f>SUMIFS(приходи!$L:$L,приходи!$E:$E,'ПП Януари'!$C$9,приходи!$M:$M,'ПП Януари'!H2)</f>
        <v>0</v>
      </c>
      <c r="I9" s="74">
        <f>SUMIFS(приходи!$L:$L,приходи!$E:$E,'ПП Януари'!$C$9,приходи!$M:$M,'ПП Януари'!I2)</f>
        <v>0</v>
      </c>
      <c r="J9" s="76">
        <f>SUMIFS(приходи!$L:$L,приходи!$E:$E,'ПП Януари'!$C$9,приходи!$M:$M,'ПП Януари'!J2)</f>
        <v>0</v>
      </c>
      <c r="K9" s="76">
        <f>SUMIFS(приходи!$L:$L,приходи!$E:$E,'ПП Януари'!$C$9,приходи!$M:$M,'ПП Януари'!K2)</f>
        <v>0</v>
      </c>
      <c r="L9" s="74">
        <f>SUMIFS(приходи!$L:$L,приходи!$E:$E,'ПП Януари'!$C$9,приходи!$M:$M,'ПП Януари'!L2)</f>
        <v>0</v>
      </c>
      <c r="M9" s="74">
        <f>SUMIFS(приходи!$L:$L,приходи!$E:$E,'ПП Януари'!$C$9,приходи!$M:$M,'ПП Януари'!M2)</f>
        <v>0</v>
      </c>
      <c r="N9" s="74">
        <f>SUMIFS(приходи!$L:$L,приходи!$E:$E,'ПП Януари'!$C$9,приходи!$M:$M,'ПП Януари'!N2)</f>
        <v>0</v>
      </c>
      <c r="O9" s="74">
        <f>SUMIFS(приходи!$L:$L,приходи!$E:$E,'ПП Януари'!$C$9,приходи!$M:$M,'ПП Януари'!O2)</f>
        <v>0</v>
      </c>
      <c r="P9" s="74">
        <f>SUMIFS(приходи!$L:$L,приходи!$E:$E,'ПП Януари'!$C$9,приходи!$M:$M,'ПП Януари'!P2)</f>
        <v>0</v>
      </c>
      <c r="Q9" s="76">
        <f>SUMIFS(приходи!$L:$L,приходи!$E:$E,'ПП Януари'!$C$9,приходи!$M:$M,'ПП Януари'!Q2)</f>
        <v>0</v>
      </c>
      <c r="R9" s="76">
        <f>SUMIFS(приходи!$L:$L,приходи!$E:$E,'ПП Януари'!$C$9,приходи!$M:$M,'ПП Януари'!R2)</f>
        <v>0</v>
      </c>
      <c r="S9" s="74">
        <f>SUMIFS(приходи!$L:$L,приходи!$E:$E,'ПП Януари'!$C$9,приходи!$M:$M,'ПП Януари'!S2)</f>
        <v>0</v>
      </c>
      <c r="T9" s="74">
        <f>SUMIFS(приходи!$L:$L,приходи!$E:$E,'ПП Януари'!$C$9,приходи!$M:$M,'ПП Януари'!T2)</f>
        <v>0</v>
      </c>
      <c r="U9" s="74">
        <f>SUMIFS(приходи!$L:$L,приходи!$E:$E,'ПП Януари'!$C$9,приходи!$M:$M,'ПП Януари'!U2)</f>
        <v>20317.32</v>
      </c>
      <c r="V9" s="74">
        <f>SUMIFS(приходи!$L:$L,приходи!$E:$E,'ПП Януари'!$C$9,приходи!$M:$M,'ПП Януари'!V2)</f>
        <v>0</v>
      </c>
      <c r="W9" s="74">
        <f>SUMIFS(приходи!$L:$L,приходи!$E:$E,'ПП Януари'!$C$9,приходи!$M:$M,'ПП Януари'!W2)</f>
        <v>0</v>
      </c>
      <c r="X9" s="76">
        <f>SUMIFS(приходи!$L:$L,приходи!$E:$E,'ПП Януари'!$C$9,приходи!$M:$M,'ПП Януари'!X2)</f>
        <v>0</v>
      </c>
      <c r="Y9" s="76">
        <f>SUMIFS(приходи!$L:$L,приходи!$E:$E,'ПП Януари'!$C$9,приходи!$M:$M,'ПП Януари'!Y2)</f>
        <v>0</v>
      </c>
      <c r="Z9" s="74">
        <f>SUMIFS(приходи!$L:$L,приходи!$E:$E,'ПП Януари'!$C$9,приходи!$M:$M,'ПП Януари'!Z2)</f>
        <v>10476</v>
      </c>
      <c r="AA9" s="74">
        <f>SUMIFS(приходи!$L:$L,приходи!$E:$E,'ПП Януари'!$C$9,приходи!$M:$M,'ПП Януари'!AA2)</f>
        <v>1897.92</v>
      </c>
      <c r="AB9" s="74">
        <f>SUMIFS(приходи!$L:$L,приходи!$E:$E,'ПП Януари'!$C$9,приходи!$M:$M,'ПП Януари'!AB2)</f>
        <v>0</v>
      </c>
      <c r="AC9" s="74">
        <f>SUMIFS(приходи!$L:$L,приходи!$E:$E,'ПП Януари'!$C$9,приходи!$M:$M,'ПП Януари'!AC2)</f>
        <v>9055.2000000000007</v>
      </c>
      <c r="AD9" s="74">
        <f>SUMIFS(приходи!$L:$L,приходи!$E:$E,'ПП Януари'!$C$9,приходи!$M:$M,'ПП Януари'!AD2)</f>
        <v>0</v>
      </c>
      <c r="AE9" s="76">
        <f>SUMIFS(приходи!$L:$L,приходи!$E:$E,'ПП Януари'!$C$9,приходи!$M:$M,'ПП Януари'!AE2)</f>
        <v>0</v>
      </c>
      <c r="AF9" s="76">
        <f>SUMIFS(приходи!$L:$L,приходи!$E:$E,'ПП Януари'!$C$9,приходи!$M:$M,'ПП Януари'!AF2)</f>
        <v>0</v>
      </c>
      <c r="AG9" s="74">
        <f>SUMIFS(приходи!$L:$L,приходи!$E:$E,'ПП Януари'!$C$9,приходи!$M:$M,'ПП Януари'!AG2)</f>
        <v>0</v>
      </c>
      <c r="AH9" s="74">
        <f>SUMIFS(приходи!$L:$L,приходи!$E:$E,'ПП Януари'!$C$9,приходи!$M:$M,'ПП Януари'!AH2)</f>
        <v>0</v>
      </c>
      <c r="AI9" s="74">
        <f>SUMIFS(приходи!$L:$L,приходи!$E:$E,'ПП Януари'!$C$9,приходи!$M:$M,'ПП Януари'!AI2)</f>
        <v>0</v>
      </c>
      <c r="AJ9" s="61">
        <f t="shared" si="2"/>
        <v>41746.44</v>
      </c>
      <c r="AK9" s="58">
        <f t="shared" si="7"/>
        <v>41746.44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Януари'!$C$10,приходи!$M:$M,'ПП Януари'!E2)</f>
        <v>0</v>
      </c>
      <c r="F10" s="74">
        <f>SUMIFS(приходи!$L:$L,приходи!$E:$E,'ПП Януари'!$C$10,приходи!$M:$M,'ПП Януари'!F2)</f>
        <v>0</v>
      </c>
      <c r="G10" s="74">
        <f>SUMIFS(приходи!$L:$L,приходи!$E:$E,'ПП Януари'!$C$10,приходи!$M:$M,'ПП Януари'!G2)</f>
        <v>0</v>
      </c>
      <c r="H10" s="74">
        <f>SUMIFS(приходи!$L:$L,приходи!$E:$E,'ПП Януари'!$C$10,приходи!$M:$M,'ПП Януари'!H2)</f>
        <v>0</v>
      </c>
      <c r="I10" s="74">
        <f>SUMIFS(приходи!$L:$L,приходи!$E:$E,'ПП Януари'!$C$10,приходи!$M:$M,'ПП Януари'!I2)</f>
        <v>0</v>
      </c>
      <c r="J10" s="76">
        <f>SUMIFS(приходи!$L:$L,приходи!$E:$E,'ПП Януари'!$C$10,приходи!$M:$M,'ПП Януари'!J2)</f>
        <v>0</v>
      </c>
      <c r="K10" s="76">
        <f>SUMIFS(приходи!$L:$L,приходи!$E:$E,'ПП Януари'!$C$10,приходи!$M:$M,'ПП Януари'!K2)</f>
        <v>0</v>
      </c>
      <c r="L10" s="74">
        <f>SUMIFS(приходи!$L:$L,приходи!$E:$E,'ПП Януари'!$C$10,приходи!$M:$M,'ПП Януари'!L2)</f>
        <v>0</v>
      </c>
      <c r="M10" s="74">
        <f>SUMIFS(приходи!$L:$L,приходи!$E:$E,'ПП Януари'!$C$10,приходи!$M:$M,'ПП Януари'!M2)</f>
        <v>0</v>
      </c>
      <c r="N10" s="74">
        <f>SUMIFS(приходи!$L:$L,приходи!$E:$E,'ПП Януари'!$C$10,приходи!$M:$M,'ПП Януари'!N2)</f>
        <v>0</v>
      </c>
      <c r="O10" s="74">
        <f>SUMIFS(приходи!$L:$L,приходи!$E:$E,'ПП Януари'!$C$10,приходи!$M:$M,'ПП Януари'!O2)</f>
        <v>0</v>
      </c>
      <c r="P10" s="74">
        <f>SUMIFS(приходи!$L:$L,приходи!$E:$E,'ПП Януари'!$C$10,приходи!$M:$M,'ПП Януари'!P2)</f>
        <v>0</v>
      </c>
      <c r="Q10" s="76">
        <f>SUMIFS(приходи!$L:$L,приходи!$E:$E,'ПП Януари'!$C$10,приходи!$M:$M,'ПП Януари'!Q2)</f>
        <v>0</v>
      </c>
      <c r="R10" s="76">
        <f>SUMIFS(приходи!$L:$L,приходи!$E:$E,'ПП Януари'!$C$10,приходи!$M:$M,'ПП Януари'!R2)</f>
        <v>0</v>
      </c>
      <c r="S10" s="74">
        <f>SUMIFS(приходи!$L:$L,приходи!$E:$E,'ПП Януари'!$C$10,приходи!$M:$M,'ПП Януари'!S2)</f>
        <v>0</v>
      </c>
      <c r="T10" s="74">
        <f>SUMIFS(приходи!$L:$L,приходи!$E:$E,'ПП Януари'!$C$10,приходи!$M:$M,'ПП Януари'!T2)</f>
        <v>0</v>
      </c>
      <c r="U10" s="74">
        <f>SUMIFS(приходи!$L:$L,приходи!$E:$E,'ПП Януари'!$C$10,приходи!$M:$M,'ПП Януари'!U2)</f>
        <v>0</v>
      </c>
      <c r="V10" s="74">
        <f>SUMIFS(приходи!$L:$L,приходи!$E:$E,'ПП Януари'!$C$10,приходи!$M:$M,'ПП Януари'!V2)</f>
        <v>0</v>
      </c>
      <c r="W10" s="74">
        <f>SUMIFS(приходи!$L:$L,приходи!$E:$E,'ПП Януари'!$C$10,приходи!$M:$M,'ПП Януари'!W2)</f>
        <v>0</v>
      </c>
      <c r="X10" s="76">
        <f>SUMIFS(приходи!$L:$L,приходи!$E:$E,'ПП Януари'!$C$10,приходи!$M:$M,'ПП Януари'!X2)</f>
        <v>0</v>
      </c>
      <c r="Y10" s="76">
        <f>SUMIFS(приходи!$L:$L,приходи!$E:$E,'ПП Януари'!$C$10,приходи!$M:$M,'ПП Януари'!Y2)</f>
        <v>0</v>
      </c>
      <c r="Z10" s="74">
        <f>SUMIFS(приходи!$L:$L,приходи!$E:$E,'ПП Януари'!$C$10,приходи!$M:$M,'ПП Януари'!Z2)</f>
        <v>0</v>
      </c>
      <c r="AA10" s="74">
        <f>SUMIFS(приходи!$L:$L,приходи!$E:$E,'ПП Януари'!$C$10,приходи!$M:$M,'ПП Януари'!AA2)</f>
        <v>0</v>
      </c>
      <c r="AB10" s="74">
        <f>SUMIFS(приходи!$L:$L,приходи!$E:$E,'ПП Януари'!$C$10,приходи!$M:$M,'ПП Януари'!AB2)</f>
        <v>0</v>
      </c>
      <c r="AC10" s="74">
        <f>SUMIFS(приходи!$L:$L,приходи!$E:$E,'ПП Януари'!$C$10,приходи!$M:$M,'ПП Януари'!AC2)</f>
        <v>0</v>
      </c>
      <c r="AD10" s="74">
        <f>SUMIFS(приходи!$L:$L,приходи!$E:$E,'ПП Януари'!$C$10,приходи!$M:$M,'ПП Януари'!AD2)</f>
        <v>0</v>
      </c>
      <c r="AE10" s="76">
        <f>SUMIFS(приходи!$L:$L,приходи!$E:$E,'ПП Януари'!$C$10,приходи!$M:$M,'ПП Януари'!AE2)</f>
        <v>0</v>
      </c>
      <c r="AF10" s="76">
        <f>SUMIFS(приходи!$L:$L,приходи!$E:$E,'ПП Януари'!$C$10,приходи!$M:$M,'ПП Януари'!AF2)</f>
        <v>0</v>
      </c>
      <c r="AG10" s="74">
        <f>SUMIFS(приходи!$L:$L,приходи!$E:$E,'ПП Януари'!$C$10,приходи!$M:$M,'ПП Януари'!AG2)</f>
        <v>0</v>
      </c>
      <c r="AH10" s="74">
        <f>SUMIFS(приходи!$L:$L,приходи!$E:$E,'ПП Януари'!$C$10,приходи!$M:$M,'ПП Януари'!AH2)</f>
        <v>0</v>
      </c>
      <c r="AI10" s="74">
        <f>SUMIFS(приходи!$L:$L,приходи!$E:$E,'ПП Януари'!$C$10,приходи!$M:$M,'ПП Януари'!AI2)</f>
        <v>0</v>
      </c>
      <c r="AJ10" s="61">
        <f t="shared" si="2"/>
        <v>0</v>
      </c>
      <c r="AK10" s="58">
        <f t="shared" si="7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8">SUM(D12:D13,D20,D21,D22)</f>
        <v>0</v>
      </c>
      <c r="E11" s="73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7">
        <f t="shared" si="8"/>
        <v>0</v>
      </c>
      <c r="K11" s="77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7">
        <f t="shared" si="8"/>
        <v>0</v>
      </c>
      <c r="R11" s="77">
        <f t="shared" si="8"/>
        <v>0</v>
      </c>
      <c r="S11" s="73">
        <f t="shared" si="8"/>
        <v>0</v>
      </c>
      <c r="T11" s="73">
        <f t="shared" si="8"/>
        <v>135812.83000000002</v>
      </c>
      <c r="U11" s="73">
        <f t="shared" si="8"/>
        <v>14194.859999999999</v>
      </c>
      <c r="V11" s="73">
        <f t="shared" si="8"/>
        <v>0</v>
      </c>
      <c r="W11" s="73">
        <f t="shared" si="8"/>
        <v>18.59</v>
      </c>
      <c r="X11" s="77">
        <f t="shared" si="8"/>
        <v>0</v>
      </c>
      <c r="Y11" s="77">
        <f t="shared" si="8"/>
        <v>0</v>
      </c>
      <c r="Z11" s="73">
        <f t="shared" si="8"/>
        <v>15710.119999999999</v>
      </c>
      <c r="AA11" s="73">
        <f t="shared" si="8"/>
        <v>0</v>
      </c>
      <c r="AB11" s="73">
        <f t="shared" si="8"/>
        <v>0</v>
      </c>
      <c r="AC11" s="73">
        <f t="shared" si="8"/>
        <v>169766.04</v>
      </c>
      <c r="AD11" s="73">
        <f t="shared" si="8"/>
        <v>10.050000000000001</v>
      </c>
      <c r="AE11" s="77">
        <f t="shared" si="8"/>
        <v>0</v>
      </c>
      <c r="AF11" s="77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335512.49</v>
      </c>
      <c r="AK11" s="58">
        <f t="shared" si="7"/>
        <v>335512.49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Януари'!$C$12,приходи!$M:$M,'ПП Януари'!E2)</f>
        <v>0</v>
      </c>
      <c r="F12" s="74">
        <f>SUMIFS(приходи!$L:$L,приходи!$E:$E,'ПП Януари'!$C$12,приходи!$M:$M,'ПП Януари'!F2)</f>
        <v>0</v>
      </c>
      <c r="G12" s="74">
        <f>SUMIFS(приходи!$L:$L,приходи!$E:$E,'ПП Януари'!$C$12,приходи!$M:$M,'ПП Януари'!G2)</f>
        <v>0</v>
      </c>
      <c r="H12" s="74">
        <f>SUMIFS(приходи!$L:$L,приходи!$E:$E,'ПП Януари'!$C$12,приходи!$M:$M,'ПП Януари'!H2)</f>
        <v>0</v>
      </c>
      <c r="I12" s="74">
        <f>SUMIFS(приходи!$L:$L,приходи!$E:$E,'ПП Януари'!$C$12,приходи!$M:$M,'ПП Януари'!I2)</f>
        <v>0</v>
      </c>
      <c r="J12" s="76">
        <f>SUMIFS(приходи!$L:$L,приходи!$E:$E,'ПП Януари'!$C$12,приходи!$M:$M,'ПП Януари'!J2)</f>
        <v>0</v>
      </c>
      <c r="K12" s="76">
        <f>SUMIFS(приходи!$L:$L,приходи!$E:$E,'ПП Януари'!$C$12,приходи!$M:$M,'ПП Януари'!K2)</f>
        <v>0</v>
      </c>
      <c r="L12" s="74">
        <f>SUMIFS(приходи!$L:$L,приходи!$E:$E,'ПП Януари'!$C$12,приходи!$M:$M,'ПП Януари'!L2)</f>
        <v>0</v>
      </c>
      <c r="M12" s="74">
        <f>SUMIFS(приходи!$L:$L,приходи!$E:$E,'ПП Януари'!$C$12,приходи!$M:$M,'ПП Януари'!M2)</f>
        <v>0</v>
      </c>
      <c r="N12" s="74">
        <f>SUMIFS(приходи!$L:$L,приходи!$E:$E,'ПП Януари'!$C$12,приходи!$M:$M,'ПП Януари'!N2)</f>
        <v>0</v>
      </c>
      <c r="O12" s="74">
        <f>SUMIFS(приходи!$L:$L,приходи!$E:$E,'ПП Януари'!$C$12,приходи!$M:$M,'ПП Януари'!O2)</f>
        <v>0</v>
      </c>
      <c r="P12" s="74">
        <f>SUMIFS(приходи!$L:$L,приходи!$E:$E,'ПП Януари'!$C$12,приходи!$M:$M,'ПП Януари'!P2)</f>
        <v>0</v>
      </c>
      <c r="Q12" s="76">
        <f>SUMIFS(приходи!$L:$L,приходи!$E:$E,'ПП Януари'!$C$12,приходи!$M:$M,'ПП Януари'!Q2)</f>
        <v>0</v>
      </c>
      <c r="R12" s="76">
        <f>SUMIFS(приходи!$L:$L,приходи!$E:$E,'ПП Януари'!$C$12,приходи!$M:$M,'ПП Януари'!R2)</f>
        <v>0</v>
      </c>
      <c r="S12" s="74">
        <f>SUMIFS(приходи!$L:$L,приходи!$E:$E,'ПП Януари'!$C$12,приходи!$M:$M,'ПП Януари'!S2)</f>
        <v>0</v>
      </c>
      <c r="T12" s="74">
        <f>SUMIFS(приходи!$L:$L,приходи!$E:$E,'ПП Януари'!$C$12,приходи!$M:$M,'ПП Януари'!T2)</f>
        <v>0</v>
      </c>
      <c r="U12" s="74">
        <f>SUMIFS(приходи!$L:$L,приходи!$E:$E,'ПП Януари'!$C$12,приходи!$M:$M,'ПП Януари'!U2)</f>
        <v>4.5199999999999996</v>
      </c>
      <c r="V12" s="74">
        <f>SUMIFS(приходи!$L:$L,приходи!$E:$E,'ПП Януари'!$C$12,приходи!$M:$M,'ПП Януари'!V2)</f>
        <v>0</v>
      </c>
      <c r="W12" s="74">
        <f>SUMIFS(приходи!$L:$L,приходи!$E:$E,'ПП Януари'!$C$12,приходи!$M:$M,'ПП Януари'!W2)</f>
        <v>0</v>
      </c>
      <c r="X12" s="76">
        <f>SUMIFS(приходи!$L:$L,приходи!$E:$E,'ПП Януари'!$C$12,приходи!$M:$M,'ПП Януари'!X2)</f>
        <v>0</v>
      </c>
      <c r="Y12" s="76">
        <f>SUMIFS(приходи!$L:$L,приходи!$E:$E,'ПП Януари'!$C$12,приходи!$M:$M,'ПП Януари'!Y2)</f>
        <v>0</v>
      </c>
      <c r="Z12" s="74">
        <f>SUMIFS(приходи!$L:$L,приходи!$E:$E,'ПП Януари'!$C$12,приходи!$M:$M,'ПП Януари'!Z2)</f>
        <v>2087.13</v>
      </c>
      <c r="AA12" s="74">
        <f>SUMIFS(приходи!$L:$L,приходи!$E:$E,'ПП Януари'!$C$12,приходи!$M:$M,'ПП Януари'!AA2)</f>
        <v>0</v>
      </c>
      <c r="AB12" s="74">
        <f>SUMIFS(приходи!$L:$L,приходи!$E:$E,'ПП Януари'!$C$12,приходи!$M:$M,'ПП Януари'!AB2)</f>
        <v>0</v>
      </c>
      <c r="AC12" s="74">
        <f>SUMIFS(приходи!$L:$L,приходи!$E:$E,'ПП Януари'!$C$12,приходи!$M:$M,'ПП Януари'!AC2)</f>
        <v>0</v>
      </c>
      <c r="AD12" s="74">
        <f>SUMIFS(приходи!$L:$L,приходи!$E:$E,'ПП Януари'!$C$12,приходи!$M:$M,'ПП Януари'!AD2)</f>
        <v>6.69</v>
      </c>
      <c r="AE12" s="76">
        <f>SUMIFS(приходи!$L:$L,приходи!$E:$E,'ПП Януари'!$C$12,приходи!$M:$M,'ПП Януари'!AE2)</f>
        <v>0</v>
      </c>
      <c r="AF12" s="76">
        <f>SUMIFS(приходи!$L:$L,приходи!$E:$E,'ПП Януари'!$C$12,приходи!$M:$M,'ПП Януари'!AF2)</f>
        <v>0</v>
      </c>
      <c r="AG12" s="74">
        <f>SUMIFS(приходи!$L:$L,приходи!$E:$E,'ПП Януари'!$C$12,приходи!$M:$M,'ПП Януари'!AG2)</f>
        <v>0</v>
      </c>
      <c r="AH12" s="74">
        <f>SUMIFS(приходи!$L:$L,приходи!$E:$E,'ПП Януари'!$C$12,приходи!$M:$M,'ПП Януари'!AH2)</f>
        <v>0</v>
      </c>
      <c r="AI12" s="74">
        <f>SUMIFS(приходи!$L:$L,приходи!$E:$E,'ПП Януари'!$C$12,приходи!$M:$M,'ПП Януари'!AI2)</f>
        <v>0</v>
      </c>
      <c r="AJ12" s="61">
        <f t="shared" si="2"/>
        <v>2098.34</v>
      </c>
      <c r="AK12" s="58">
        <f t="shared" si="7"/>
        <v>2098.34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6">
        <f t="shared" si="10"/>
        <v>0</v>
      </c>
      <c r="R13" s="76">
        <f t="shared" si="10"/>
        <v>0</v>
      </c>
      <c r="S13" s="74">
        <f t="shared" si="10"/>
        <v>0</v>
      </c>
      <c r="T13" s="74">
        <f t="shared" si="10"/>
        <v>135812.83000000002</v>
      </c>
      <c r="U13" s="74">
        <f t="shared" si="10"/>
        <v>14190.339999999998</v>
      </c>
      <c r="V13" s="74">
        <f t="shared" si="10"/>
        <v>0</v>
      </c>
      <c r="W13" s="74">
        <f t="shared" si="10"/>
        <v>18.59</v>
      </c>
      <c r="X13" s="76">
        <f t="shared" si="10"/>
        <v>0</v>
      </c>
      <c r="Y13" s="76">
        <f t="shared" si="10"/>
        <v>0</v>
      </c>
      <c r="Z13" s="74">
        <f t="shared" si="10"/>
        <v>13622.99</v>
      </c>
      <c r="AA13" s="74">
        <f t="shared" si="10"/>
        <v>0</v>
      </c>
      <c r="AB13" s="74">
        <f t="shared" si="10"/>
        <v>0</v>
      </c>
      <c r="AC13" s="74">
        <f t="shared" si="10"/>
        <v>169766.04</v>
      </c>
      <c r="AD13" s="74">
        <f t="shared" si="10"/>
        <v>3.36</v>
      </c>
      <c r="AE13" s="76">
        <f t="shared" si="10"/>
        <v>0</v>
      </c>
      <c r="AF13" s="76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333414.15000000002</v>
      </c>
      <c r="AK13" s="58">
        <f t="shared" si="7"/>
        <v>333414.15000000002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Януари'!$C$14,приходи!$M:$M,'ПП Януари'!E2)</f>
        <v>0</v>
      </c>
      <c r="F14" s="74">
        <f>SUMIFS(приходи!$L:$L,приходи!$E:$E,'ПП Януари'!$C$14,приходи!$M:$M,'ПП Януари'!F2)</f>
        <v>0</v>
      </c>
      <c r="G14" s="74">
        <f>SUMIFS(приходи!$L:$L,приходи!$E:$E,'ПП Януари'!$C$14,приходи!$M:$M,'ПП Януари'!G2)</f>
        <v>0</v>
      </c>
      <c r="H14" s="74">
        <f>SUMIFS(приходи!$L:$L,приходи!$E:$E,'ПП Януари'!$C$14,приходи!$M:$M,'ПП Януари'!H2)</f>
        <v>0</v>
      </c>
      <c r="I14" s="74">
        <f>SUMIFS(приходи!$L:$L,приходи!$E:$E,'ПП Януари'!$C$14,приходи!$M:$M,'ПП Януари'!I2)</f>
        <v>0</v>
      </c>
      <c r="J14" s="76">
        <f>SUMIFS(приходи!$L:$L,приходи!$E:$E,'ПП Януари'!$C$14,приходи!$M:$M,'ПП Януари'!J2)</f>
        <v>0</v>
      </c>
      <c r="K14" s="76">
        <f>SUMIFS(приходи!$L:$L,приходи!$E:$E,'ПП Януари'!$C$14,приходи!$M:$M,'ПП Януари'!K2)</f>
        <v>0</v>
      </c>
      <c r="L14" s="74">
        <f>SUMIFS(приходи!$L:$L,приходи!$E:$E,'ПП Януари'!$C$14,приходи!$M:$M,'ПП Януари'!L2)</f>
        <v>0</v>
      </c>
      <c r="M14" s="74">
        <f>SUMIFS(приходи!$L:$L,приходи!$E:$E,'ПП Януари'!$C$14,приходи!$M:$M,'ПП Януари'!M2)</f>
        <v>0</v>
      </c>
      <c r="N14" s="74">
        <f>SUMIFS(приходи!$L:$L,приходи!$E:$E,'ПП Януари'!$C$14,приходи!$M:$M,'ПП Януари'!N2)</f>
        <v>0</v>
      </c>
      <c r="O14" s="74">
        <f>SUMIFS(приходи!$L:$L,приходи!$E:$E,'ПП Януари'!$C$14,приходи!$M:$M,'ПП Януари'!O2)</f>
        <v>0</v>
      </c>
      <c r="P14" s="74">
        <f>SUMIFS(приходи!$L:$L,приходи!$E:$E,'ПП Януари'!$C$14,приходи!$M:$M,'ПП Януари'!P2)</f>
        <v>0</v>
      </c>
      <c r="Q14" s="76">
        <f>SUMIFS(приходи!$L:$L,приходи!$E:$E,'ПП Януари'!$C$14,приходи!$M:$M,'ПП Януари'!Q2)</f>
        <v>0</v>
      </c>
      <c r="R14" s="76">
        <f>SUMIFS(приходи!$L:$L,приходи!$E:$E,'ПП Януари'!$C$14,приходи!$M:$M,'ПП Януари'!R2)</f>
        <v>0</v>
      </c>
      <c r="S14" s="74">
        <f>SUMIFS(приходи!$L:$L,приходи!$E:$E,'ПП Януари'!$C$14,приходи!$M:$M,'ПП Януари'!S2)</f>
        <v>0</v>
      </c>
      <c r="T14" s="74">
        <f>SUMIFS(приходи!$L:$L,приходи!$E:$E,'ПП Януари'!$C$14,приходи!$M:$M,'ПП Януари'!T2)</f>
        <v>0</v>
      </c>
      <c r="U14" s="74">
        <f>SUMIFS(приходи!$L:$L,приходи!$E:$E,'ПП Януари'!$C$14,приходи!$M:$M,'ПП Януари'!U2)</f>
        <v>615.80999999999995</v>
      </c>
      <c r="V14" s="74">
        <f>SUMIFS(приходи!$L:$L,приходи!$E:$E,'ПП Януари'!$C$14,приходи!$M:$M,'ПП Януари'!V2)</f>
        <v>0</v>
      </c>
      <c r="W14" s="74">
        <f>SUMIFS(приходи!$L:$L,приходи!$E:$E,'ПП Януари'!$C$14,приходи!$M:$M,'ПП Януари'!W2)</f>
        <v>0</v>
      </c>
      <c r="X14" s="76">
        <f>SUMIFS(приходи!$L:$L,приходи!$E:$E,'ПП Януари'!$C$14,приходи!$M:$M,'ПП Януари'!X2)</f>
        <v>0</v>
      </c>
      <c r="Y14" s="76">
        <f>SUMIFS(приходи!$L:$L,приходи!$E:$E,'ПП Януари'!$C$14,приходи!$M:$M,'ПП Януари'!Y2)</f>
        <v>0</v>
      </c>
      <c r="Z14" s="74">
        <f>SUMIFS(приходи!$L:$L,приходи!$E:$E,'ПП Януари'!$C$14,приходи!$M:$M,'ПП Януари'!Z2)</f>
        <v>0</v>
      </c>
      <c r="AA14" s="74">
        <f>SUMIFS(приходи!$L:$L,приходи!$E:$E,'ПП Януари'!$C$14,приходи!$M:$M,'ПП Януари'!AA2)</f>
        <v>0</v>
      </c>
      <c r="AB14" s="74">
        <f>SUMIFS(приходи!$L:$L,приходи!$E:$E,'ПП Януари'!$C$14,приходи!$M:$M,'ПП Януари'!AB2)</f>
        <v>0</v>
      </c>
      <c r="AC14" s="74">
        <f>SUMIFS(приходи!$L:$L,приходи!$E:$E,'ПП Януари'!$C$14,приходи!$M:$M,'ПП Януари'!AC2)</f>
        <v>0</v>
      </c>
      <c r="AD14" s="74">
        <f>SUMIFS(приходи!$L:$L,приходи!$E:$E,'ПП Януари'!$C$14,приходи!$M:$M,'ПП Януари'!AD2)</f>
        <v>0</v>
      </c>
      <c r="AE14" s="76">
        <f>SUMIFS(приходи!$L:$L,приходи!$E:$E,'ПП Януари'!$C$14,приходи!$M:$M,'ПП Януари'!AE2)</f>
        <v>0</v>
      </c>
      <c r="AF14" s="76">
        <f>SUMIFS(приходи!$L:$L,приходи!$E:$E,'ПП Януари'!$C$14,приходи!$M:$M,'ПП Януари'!AF2)</f>
        <v>0</v>
      </c>
      <c r="AG14" s="74">
        <f>SUMIFS(приходи!$L:$L,приходи!$E:$E,'ПП Януари'!$C$14,приходи!$M:$M,'ПП Януари'!AG2)</f>
        <v>0</v>
      </c>
      <c r="AH14" s="74">
        <f>SUMIFS(приходи!$L:$L,приходи!$E:$E,'ПП Януари'!$C$14,приходи!$M:$M,'ПП Януари'!AH2)</f>
        <v>0</v>
      </c>
      <c r="AI14" s="74">
        <f>SUMIFS(приходи!$L:$L,приходи!$E:$E,'ПП Януари'!$C$14,приходи!$M:$M,'ПП Януари'!AI2)</f>
        <v>0</v>
      </c>
      <c r="AJ14" s="61">
        <f t="shared" si="2"/>
        <v>615.80999999999995</v>
      </c>
      <c r="AK14" s="58">
        <f t="shared" si="7"/>
        <v>615.80999999999995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Януари'!$C$15,приходи!$M:$M,'ПП Януари'!E2)</f>
        <v>0</v>
      </c>
      <c r="F15" s="74">
        <f>SUMIFS(приходи!$L:$L,приходи!$E:$E,'ПП Януари'!$C$15,приходи!$M:$M,'ПП Януари'!F2)</f>
        <v>0</v>
      </c>
      <c r="G15" s="74">
        <f>SUMIFS(приходи!$L:$L,приходи!$E:$E,'ПП Януари'!$C$15,приходи!$M:$M,'ПП Януари'!G2)</f>
        <v>0</v>
      </c>
      <c r="H15" s="74">
        <f>SUMIFS(приходи!$L:$L,приходи!$E:$E,'ПП Януари'!$C$15,приходи!$M:$M,'ПП Януари'!H2)</f>
        <v>0</v>
      </c>
      <c r="I15" s="74">
        <f>SUMIFS(приходи!$L:$L,приходи!$E:$E,'ПП Януари'!$C$15,приходи!$M:$M,'ПП Януари'!I2)</f>
        <v>0</v>
      </c>
      <c r="J15" s="76">
        <f>SUMIFS(приходи!$L:$L,приходи!$E:$E,'ПП Януари'!$C$15,приходи!$M:$M,'ПП Януари'!J2)</f>
        <v>0</v>
      </c>
      <c r="K15" s="76">
        <f>SUMIFS(приходи!$L:$L,приходи!$E:$E,'ПП Януари'!$C$15,приходи!$M:$M,'ПП Януари'!K2)</f>
        <v>0</v>
      </c>
      <c r="L15" s="74">
        <f>SUMIFS(приходи!$L:$L,приходи!$E:$E,'ПП Януари'!$C$15,приходи!$M:$M,'ПП Януари'!L2)</f>
        <v>0</v>
      </c>
      <c r="M15" s="74">
        <f>SUMIFS(приходи!$L:$L,приходи!$E:$E,'ПП Януари'!$C$15,приходи!$M:$M,'ПП Януари'!M2)</f>
        <v>0</v>
      </c>
      <c r="N15" s="74">
        <f>SUMIFS(приходи!$L:$L,приходи!$E:$E,'ПП Януари'!$C$15,приходи!$M:$M,'ПП Януари'!N2)</f>
        <v>0</v>
      </c>
      <c r="O15" s="74">
        <f>SUMIFS(приходи!$L:$L,приходи!$E:$E,'ПП Януари'!$C$15,приходи!$M:$M,'ПП Януари'!O2)</f>
        <v>0</v>
      </c>
      <c r="P15" s="74">
        <f>SUMIFS(приходи!$L:$L,приходи!$E:$E,'ПП Януари'!$C$15,приходи!$M:$M,'ПП Януари'!P2)</f>
        <v>0</v>
      </c>
      <c r="Q15" s="76">
        <f>SUMIFS(приходи!$L:$L,приходи!$E:$E,'ПП Януари'!$C$15,приходи!$M:$M,'ПП Януари'!Q2)</f>
        <v>0</v>
      </c>
      <c r="R15" s="76">
        <f>SUMIFS(приходи!$L:$L,приходи!$E:$E,'ПП Януари'!$C$15,приходи!$M:$M,'ПП Януари'!R2)</f>
        <v>0</v>
      </c>
      <c r="S15" s="74">
        <f>SUMIFS(приходи!$L:$L,приходи!$E:$E,'ПП Януари'!$C$15,приходи!$M:$M,'ПП Януари'!S2)</f>
        <v>0</v>
      </c>
      <c r="T15" s="74">
        <f>SUMIFS(приходи!$L:$L,приходи!$E:$E,'ПП Януари'!$C$15,приходи!$M:$M,'ПП Януари'!T2)</f>
        <v>0</v>
      </c>
      <c r="U15" s="74">
        <f>SUMIFS(приходи!$L:$L,приходи!$E:$E,'ПП Януари'!$C$15,приходи!$M:$M,'ПП Януари'!U2)</f>
        <v>0</v>
      </c>
      <c r="V15" s="74">
        <f>SUMIFS(приходи!$L:$L,приходи!$E:$E,'ПП Януари'!$C$15,приходи!$M:$M,'ПП Януари'!V2)</f>
        <v>0</v>
      </c>
      <c r="W15" s="74">
        <f>SUMIFS(приходи!$L:$L,приходи!$E:$E,'ПП Януари'!$C$15,приходи!$M:$M,'ПП Януари'!W2)</f>
        <v>18.59</v>
      </c>
      <c r="X15" s="76">
        <f>SUMIFS(приходи!$L:$L,приходи!$E:$E,'ПП Януари'!$C$15,приходи!$M:$M,'ПП Януари'!X2)</f>
        <v>0</v>
      </c>
      <c r="Y15" s="76">
        <f>SUMIFS(приходи!$L:$L,приходи!$E:$E,'ПП Януари'!$C$15,приходи!$M:$M,'ПП Януари'!Y2)</f>
        <v>0</v>
      </c>
      <c r="Z15" s="74">
        <f>SUMIFS(приходи!$L:$L,приходи!$E:$E,'ПП Януари'!$C$15,приходи!$M:$M,'ПП Януари'!Z2)</f>
        <v>0</v>
      </c>
      <c r="AA15" s="74">
        <f>SUMIFS(приходи!$L:$L,приходи!$E:$E,'ПП Януари'!$C$15,приходи!$M:$M,'ПП Януари'!AA2)</f>
        <v>0</v>
      </c>
      <c r="AB15" s="74">
        <f>SUMIFS(приходи!$L:$L,приходи!$E:$E,'ПП Януари'!$C$15,приходи!$M:$M,'ПП Януари'!AB2)</f>
        <v>0</v>
      </c>
      <c r="AC15" s="74">
        <f>SUMIFS(приходи!$L:$L,приходи!$E:$E,'ПП Януари'!$C$15,приходи!$M:$M,'ПП Януари'!AC2)</f>
        <v>0</v>
      </c>
      <c r="AD15" s="74">
        <f>SUMIFS(приходи!$L:$L,приходи!$E:$E,'ПП Януари'!$C$15,приходи!$M:$M,'ПП Януари'!AD2)</f>
        <v>0</v>
      </c>
      <c r="AE15" s="76">
        <f>SUMIFS(приходи!$L:$L,приходи!$E:$E,'ПП Януари'!$C$15,приходи!$M:$M,'ПП Януари'!AE2)</f>
        <v>0</v>
      </c>
      <c r="AF15" s="76">
        <f>SUMIFS(приходи!$L:$L,приходи!$E:$E,'ПП Януари'!$C$15,приходи!$M:$M,'ПП Януари'!AF2)</f>
        <v>0</v>
      </c>
      <c r="AG15" s="74">
        <f>SUMIFS(приходи!$L:$L,приходи!$E:$E,'ПП Януари'!$C$15,приходи!$M:$M,'ПП Януари'!AG2)</f>
        <v>0</v>
      </c>
      <c r="AH15" s="74">
        <f>SUMIFS(приходи!$L:$L,приходи!$E:$E,'ПП Януари'!$C$15,приходи!$M:$M,'ПП Януари'!AH2)</f>
        <v>0</v>
      </c>
      <c r="AI15" s="74">
        <f>SUMIFS(приходи!$L:$L,приходи!$E:$E,'ПП Януари'!$C$15,приходи!$M:$M,'ПП Януари'!AI2)</f>
        <v>0</v>
      </c>
      <c r="AJ15" s="61">
        <f t="shared" si="2"/>
        <v>18.59</v>
      </c>
      <c r="AK15" s="58">
        <f t="shared" si="7"/>
        <v>18.59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Януари'!$C$16,приходи!$M:$M,'ПП Януари'!E2)</f>
        <v>0</v>
      </c>
      <c r="F16" s="74">
        <f>SUMIFS(приходи!$L:$L,приходи!$E:$E,'ПП Януари'!$C$16,приходи!$M:$M,'ПП Януари'!F2)</f>
        <v>0</v>
      </c>
      <c r="G16" s="74">
        <f>SUMIFS(приходи!$L:$L,приходи!$E:$E,'ПП Януари'!$C$16,приходи!$M:$M,'ПП Януари'!G2)</f>
        <v>0</v>
      </c>
      <c r="H16" s="74">
        <f>SUMIFS(приходи!$L:$L,приходи!$E:$E,'ПП Януари'!$C$16,приходи!$M:$M,'ПП Януари'!H2)</f>
        <v>0</v>
      </c>
      <c r="I16" s="74">
        <f>SUMIFS(приходи!$L:$L,приходи!$E:$E,'ПП Януари'!$C$16,приходи!$M:$M,'ПП Януари'!I2)</f>
        <v>0</v>
      </c>
      <c r="J16" s="76">
        <f>SUMIFS(приходи!$L:$L,приходи!$E:$E,'ПП Януари'!$C$16,приходи!$M:$M,'ПП Януари'!J2)</f>
        <v>0</v>
      </c>
      <c r="K16" s="76">
        <f>SUMIFS(приходи!$L:$L,приходи!$E:$E,'ПП Януари'!$C$16,приходи!$M:$M,'ПП Януари'!K2)</f>
        <v>0</v>
      </c>
      <c r="L16" s="74">
        <f>SUMIFS(приходи!$L:$L,приходи!$E:$E,'ПП Януари'!$C$16,приходи!$M:$M,'ПП Януари'!L2)</f>
        <v>0</v>
      </c>
      <c r="M16" s="74">
        <f>SUMIFS(приходи!$L:$L,приходи!$E:$E,'ПП Януари'!$C$16,приходи!$M:$M,'ПП Януари'!M2)</f>
        <v>0</v>
      </c>
      <c r="N16" s="74">
        <f>SUMIFS(приходи!$L:$L,приходи!$E:$E,'ПП Януари'!$C$16,приходи!$M:$M,'ПП Януари'!N2)</f>
        <v>0</v>
      </c>
      <c r="O16" s="74">
        <f>SUMIFS(приходи!$L:$L,приходи!$E:$E,'ПП Януари'!$C$16,приходи!$M:$M,'ПП Януари'!O2)</f>
        <v>0</v>
      </c>
      <c r="P16" s="74">
        <f>SUMIFS(приходи!$L:$L,приходи!$E:$E,'ПП Януари'!$C$16,приходи!$M:$M,'ПП Януари'!P2)</f>
        <v>0</v>
      </c>
      <c r="Q16" s="76">
        <f>SUMIFS(приходи!$L:$L,приходи!$E:$E,'ПП Януари'!$C$16,приходи!$M:$M,'ПП Януари'!Q2)</f>
        <v>0</v>
      </c>
      <c r="R16" s="76">
        <f>SUMIFS(приходи!$L:$L,приходи!$E:$E,'ПП Януари'!$C$16,приходи!$M:$M,'ПП Януари'!R2)</f>
        <v>0</v>
      </c>
      <c r="S16" s="74">
        <f>SUMIFS(приходи!$L:$L,приходи!$E:$E,'ПП Януари'!$C$16,приходи!$M:$M,'ПП Януари'!S2)</f>
        <v>0</v>
      </c>
      <c r="T16" s="74">
        <f>SUMIFS(приходи!$L:$L,приходи!$E:$E,'ПП Януари'!$C$16,приходи!$M:$M,'ПП Януари'!T2)</f>
        <v>135812.83000000002</v>
      </c>
      <c r="U16" s="74">
        <f>SUMIFS(приходи!$L:$L,приходи!$E:$E,'ПП Януари'!$C$16,приходи!$M:$M,'ПП Януари'!U2)</f>
        <v>13574.529999999999</v>
      </c>
      <c r="V16" s="74">
        <f>SUMIFS(приходи!$L:$L,приходи!$E:$E,'ПП Януари'!$C$16,приходи!$M:$M,'ПП Януари'!V2)</f>
        <v>0</v>
      </c>
      <c r="W16" s="74">
        <f>SUMIFS(приходи!$L:$L,приходи!$E:$E,'ПП Януари'!$C$16,приходи!$M:$M,'ПП Януари'!W2)</f>
        <v>0</v>
      </c>
      <c r="X16" s="76">
        <f>SUMIFS(приходи!$L:$L,приходи!$E:$E,'ПП Януари'!$C$16,приходи!$M:$M,'ПП Януари'!X2)</f>
        <v>0</v>
      </c>
      <c r="Y16" s="76">
        <f>SUMIFS(приходи!$L:$L,приходи!$E:$E,'ПП Януари'!$C$16,приходи!$M:$M,'ПП Януари'!Y2)</f>
        <v>0</v>
      </c>
      <c r="Z16" s="74">
        <f>SUMIFS(приходи!$L:$L,приходи!$E:$E,'ПП Януари'!$C$16,приходи!$M:$M,'ПП Януари'!Z2)</f>
        <v>169.76</v>
      </c>
      <c r="AA16" s="74">
        <f>SUMIFS(приходи!$L:$L,приходи!$E:$E,'ПП Януари'!$C$16,приходи!$M:$M,'ПП Януари'!AA2)</f>
        <v>0</v>
      </c>
      <c r="AB16" s="74">
        <f>SUMIFS(приходи!$L:$L,приходи!$E:$E,'ПП Януари'!$C$16,приходи!$M:$M,'ПП Януари'!AB2)</f>
        <v>0</v>
      </c>
      <c r="AC16" s="74">
        <f>SUMIFS(приходи!$L:$L,приходи!$E:$E,'ПП Януари'!$C$16,приходи!$M:$M,'ПП Януари'!AC2)</f>
        <v>169766.04</v>
      </c>
      <c r="AD16" s="74">
        <f>SUMIFS(приходи!$L:$L,приходи!$E:$E,'ПП Януари'!$C$16,приходи!$M:$M,'ПП Януари'!AD2)</f>
        <v>0</v>
      </c>
      <c r="AE16" s="76">
        <f>SUMIFS(приходи!$L:$L,приходи!$E:$E,'ПП Януари'!$C$16,приходи!$M:$M,'ПП Януари'!AE2)</f>
        <v>0</v>
      </c>
      <c r="AF16" s="76">
        <f>SUMIFS(приходи!$L:$L,приходи!$E:$E,'ПП Януари'!$C$16,приходи!$M:$M,'ПП Януари'!AF2)</f>
        <v>0</v>
      </c>
      <c r="AG16" s="74">
        <f>SUMIFS(приходи!$L:$L,приходи!$E:$E,'ПП Януари'!$C$16,приходи!$M:$M,'ПП Януари'!AG2)</f>
        <v>0</v>
      </c>
      <c r="AH16" s="74">
        <f>SUMIFS(приходи!$L:$L,приходи!$E:$E,'ПП Януари'!$C$16,приходи!$M:$M,'ПП Януари'!AH2)</f>
        <v>0</v>
      </c>
      <c r="AI16" s="74">
        <f>SUMIFS(приходи!$L:$L,приходи!$E:$E,'ПП Януари'!$C$16,приходи!$M:$M,'ПП Януари'!AI2)</f>
        <v>0</v>
      </c>
      <c r="AJ16" s="61">
        <f t="shared" si="2"/>
        <v>319323.16000000003</v>
      </c>
      <c r="AK16" s="58">
        <f t="shared" si="7"/>
        <v>319323.16000000003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Януари'!$C$17,приходи!$M:$M,'ПП Януари'!E2)</f>
        <v>0</v>
      </c>
      <c r="F17" s="74">
        <f>SUMIFS(приходи!$L:$L,приходи!$E:$E,'ПП Януари'!$C$17,приходи!$M:$M,'ПП Януари'!F2)</f>
        <v>0</v>
      </c>
      <c r="G17" s="74">
        <f>SUMIFS(приходи!$L:$L,приходи!$E:$E,'ПП Януари'!$C$17,приходи!$M:$M,'ПП Януари'!G2)</f>
        <v>0</v>
      </c>
      <c r="H17" s="74">
        <f>SUMIFS(приходи!$L:$L,приходи!$E:$E,'ПП Януари'!$C$17,приходи!$M:$M,'ПП Януари'!H2)</f>
        <v>0</v>
      </c>
      <c r="I17" s="74">
        <f>SUMIFS(приходи!$L:$L,приходи!$E:$E,'ПП Януари'!$C$17,приходи!$M:$M,'ПП Януари'!I2)</f>
        <v>0</v>
      </c>
      <c r="J17" s="76">
        <f>SUMIFS(приходи!$L:$L,приходи!$E:$E,'ПП Януари'!$C$17,приходи!$M:$M,'ПП Януари'!J2)</f>
        <v>0</v>
      </c>
      <c r="K17" s="76">
        <f>SUMIFS(приходи!$L:$L,приходи!$E:$E,'ПП Януари'!$C$17,приходи!$M:$M,'ПП Януари'!K2)</f>
        <v>0</v>
      </c>
      <c r="L17" s="74">
        <f>SUMIFS(приходи!$L:$L,приходи!$E:$E,'ПП Януари'!$C$17,приходи!$M:$M,'ПП Януари'!L2)</f>
        <v>0</v>
      </c>
      <c r="M17" s="74">
        <f>SUMIFS(приходи!$L:$L,приходи!$E:$E,'ПП Януари'!$C$17,приходи!$M:$M,'ПП Януари'!M2)</f>
        <v>0</v>
      </c>
      <c r="N17" s="74">
        <f>SUMIFS(приходи!$L:$L,приходи!$E:$E,'ПП Януари'!$C$17,приходи!$M:$M,'ПП Януари'!N2)</f>
        <v>0</v>
      </c>
      <c r="O17" s="74">
        <f>SUMIFS(приходи!$L:$L,приходи!$E:$E,'ПП Януари'!$C$17,приходи!$M:$M,'ПП Януари'!O2)</f>
        <v>0</v>
      </c>
      <c r="P17" s="74">
        <f>SUMIFS(приходи!$L:$L,приходи!$E:$E,'ПП Януари'!$C$17,приходи!$M:$M,'ПП Януари'!P2)</f>
        <v>0</v>
      </c>
      <c r="Q17" s="76">
        <f>SUMIFS(приходи!$L:$L,приходи!$E:$E,'ПП Януари'!$C$17,приходи!$M:$M,'ПП Януари'!Q2)</f>
        <v>0</v>
      </c>
      <c r="R17" s="76">
        <f>SUMIFS(приходи!$L:$L,приходи!$E:$E,'ПП Януари'!$C$17,приходи!$M:$M,'ПП Януари'!R2)</f>
        <v>0</v>
      </c>
      <c r="S17" s="74">
        <f>SUMIFS(приходи!$L:$L,приходи!$E:$E,'ПП Януари'!$C$17,приходи!$M:$M,'ПП Януари'!S2)</f>
        <v>0</v>
      </c>
      <c r="T17" s="74">
        <f>SUMIFS(приходи!$L:$L,приходи!$E:$E,'ПП Януари'!$C$17,приходи!$M:$M,'ПП Януари'!T2)</f>
        <v>0</v>
      </c>
      <c r="U17" s="74">
        <f>SUMIFS(приходи!$L:$L,приходи!$E:$E,'ПП Януари'!$C$17,приходи!$M:$M,'ПП Януари'!U2)</f>
        <v>0</v>
      </c>
      <c r="V17" s="74">
        <f>SUMIFS(приходи!$L:$L,приходи!$E:$E,'ПП Януари'!$C$17,приходи!$M:$M,'ПП Януари'!V2)</f>
        <v>0</v>
      </c>
      <c r="W17" s="74">
        <f>SUMIFS(приходи!$L:$L,приходи!$E:$E,'ПП Януари'!$C$17,приходи!$M:$M,'ПП Януари'!W2)</f>
        <v>0</v>
      </c>
      <c r="X17" s="76">
        <f>SUMIFS(приходи!$L:$L,приходи!$E:$E,'ПП Януари'!$C$17,приходи!$M:$M,'ПП Януари'!X2)</f>
        <v>0</v>
      </c>
      <c r="Y17" s="76">
        <f>SUMIFS(приходи!$L:$L,приходи!$E:$E,'ПП Януари'!$C$17,приходи!$M:$M,'ПП Януари'!Y2)</f>
        <v>0</v>
      </c>
      <c r="Z17" s="74">
        <f>SUMIFS(приходи!$L:$L,приходи!$E:$E,'ПП Януари'!$C$17,приходи!$M:$M,'ПП Януари'!Z2)</f>
        <v>13230.73</v>
      </c>
      <c r="AA17" s="74">
        <f>SUMIFS(приходи!$L:$L,приходи!$E:$E,'ПП Януари'!$C$17,приходи!$M:$M,'ПП Януари'!AA2)</f>
        <v>0</v>
      </c>
      <c r="AB17" s="74">
        <f>SUMIFS(приходи!$L:$L,приходи!$E:$E,'ПП Януари'!$C$17,приходи!$M:$M,'ПП Януари'!AB2)</f>
        <v>0</v>
      </c>
      <c r="AC17" s="74">
        <f>SUMIFS(приходи!$L:$L,приходи!$E:$E,'ПП Януари'!$C$17,приходи!$M:$M,'ПП Януари'!AC2)</f>
        <v>0</v>
      </c>
      <c r="AD17" s="74">
        <f>SUMIFS(приходи!$L:$L,приходи!$E:$E,'ПП Януари'!$C$17,приходи!$M:$M,'ПП Януари'!AD2)</f>
        <v>0</v>
      </c>
      <c r="AE17" s="76">
        <f>SUMIFS(приходи!$L:$L,приходи!$E:$E,'ПП Януари'!$C$17,приходи!$M:$M,'ПП Януари'!AE2)</f>
        <v>0</v>
      </c>
      <c r="AF17" s="76">
        <f>SUMIFS(приходи!$L:$L,приходи!$E:$E,'ПП Януари'!$C$17,приходи!$M:$M,'ПП Януари'!AF2)</f>
        <v>0</v>
      </c>
      <c r="AG17" s="74">
        <f>SUMIFS(приходи!$L:$L,приходи!$E:$E,'ПП Януари'!$C$17,приходи!$M:$M,'ПП Януари'!AG2)</f>
        <v>0</v>
      </c>
      <c r="AH17" s="74">
        <f>SUMIFS(приходи!$L:$L,приходи!$E:$E,'ПП Януари'!$C$17,приходи!$M:$M,'ПП Януари'!AH2)</f>
        <v>0</v>
      </c>
      <c r="AI17" s="74">
        <f>SUMIFS(приходи!$L:$L,приходи!$E:$E,'ПП Януари'!$C$17,приходи!$M:$M,'ПП Януари'!AI2)</f>
        <v>0</v>
      </c>
      <c r="AJ17" s="61">
        <f t="shared" si="2"/>
        <v>13230.73</v>
      </c>
      <c r="AK17" s="58">
        <f t="shared" si="7"/>
        <v>13230.73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Януари'!$C$18,приходи!$M:$M,'ПП Януари'!E2)</f>
        <v>0</v>
      </c>
      <c r="F18" s="74">
        <f>SUMIFS(приходи!$L:$L,приходи!$E:$E,'ПП Януари'!$C$18,приходи!$M:$M,'ПП Януари'!F2)</f>
        <v>0</v>
      </c>
      <c r="G18" s="74">
        <f>SUMIFS(приходи!$L:$L,приходи!$E:$E,'ПП Януари'!$C$18,приходи!$M:$M,'ПП Януари'!G2)</f>
        <v>0</v>
      </c>
      <c r="H18" s="74">
        <f>SUMIFS(приходи!$L:$L,приходи!$E:$E,'ПП Януари'!$C$18,приходи!$M:$M,'ПП Януари'!H2)</f>
        <v>0</v>
      </c>
      <c r="I18" s="74">
        <f>SUMIFS(приходи!$L:$L,приходи!$E:$E,'ПП Януари'!$C$18,приходи!$M:$M,'ПП Януари'!I2)</f>
        <v>0</v>
      </c>
      <c r="J18" s="76">
        <f>SUMIFS(приходи!$L:$L,приходи!$E:$E,'ПП Януари'!$C$18,приходи!$M:$M,'ПП Януари'!J2)</f>
        <v>0</v>
      </c>
      <c r="K18" s="76">
        <f>SUMIFS(приходи!$L:$L,приходи!$E:$E,'ПП Януари'!$C$18,приходи!$M:$M,'ПП Януари'!K2)</f>
        <v>0</v>
      </c>
      <c r="L18" s="74">
        <f>SUMIFS(приходи!$L:$L,приходи!$E:$E,'ПП Януари'!$C$18,приходи!$M:$M,'ПП Януари'!L2)</f>
        <v>0</v>
      </c>
      <c r="M18" s="74">
        <f>SUMIFS(приходи!$L:$L,приходи!$E:$E,'ПП Януари'!$C$18,приходи!$M:$M,'ПП Януари'!M2)</f>
        <v>0</v>
      </c>
      <c r="N18" s="74">
        <f>SUMIFS(приходи!$L:$L,приходи!$E:$E,'ПП Януари'!$C$18,приходи!$M:$M,'ПП Януари'!N2)</f>
        <v>0</v>
      </c>
      <c r="O18" s="74">
        <f>SUMIFS(приходи!$L:$L,приходи!$E:$E,'ПП Януари'!$C$18,приходи!$M:$M,'ПП Януари'!O2)</f>
        <v>0</v>
      </c>
      <c r="P18" s="74">
        <f>SUMIFS(приходи!$L:$L,приходи!$E:$E,'ПП Януари'!$C$18,приходи!$M:$M,'ПП Януари'!P2)</f>
        <v>0</v>
      </c>
      <c r="Q18" s="76">
        <f>SUMIFS(приходи!$L:$L,приходи!$E:$E,'ПП Януари'!$C$18,приходи!$M:$M,'ПП Януари'!Q2)</f>
        <v>0</v>
      </c>
      <c r="R18" s="76">
        <f>SUMIFS(приходи!$L:$L,приходи!$E:$E,'ПП Януари'!$C$18,приходи!$M:$M,'ПП Януари'!R2)</f>
        <v>0</v>
      </c>
      <c r="S18" s="74">
        <f>SUMIFS(приходи!$L:$L,приходи!$E:$E,'ПП Януари'!$C$18,приходи!$M:$M,'ПП Януари'!S2)</f>
        <v>0</v>
      </c>
      <c r="T18" s="74">
        <f>SUMIFS(приходи!$L:$L,приходи!$E:$E,'ПП Януари'!$C$18,приходи!$M:$M,'ПП Януари'!T2)</f>
        <v>0</v>
      </c>
      <c r="U18" s="74">
        <f>SUMIFS(приходи!$L:$L,приходи!$E:$E,'ПП Януари'!$C$18,приходи!$M:$M,'ПП Януари'!U2)</f>
        <v>0</v>
      </c>
      <c r="V18" s="74">
        <f>SUMIFS(приходи!$L:$L,приходи!$E:$E,'ПП Януари'!$C$18,приходи!$M:$M,'ПП Януари'!V2)</f>
        <v>0</v>
      </c>
      <c r="W18" s="74">
        <f>SUMIFS(приходи!$L:$L,приходи!$E:$E,'ПП Януари'!$C$18,приходи!$M:$M,'ПП Януари'!W2)</f>
        <v>0</v>
      </c>
      <c r="X18" s="76">
        <f>SUMIFS(приходи!$L:$L,приходи!$E:$E,'ПП Януари'!$C$18,приходи!$M:$M,'ПП Януари'!X2)</f>
        <v>0</v>
      </c>
      <c r="Y18" s="76">
        <f>SUMIFS(приходи!$L:$L,приходи!$E:$E,'ПП Януари'!$C$18,приходи!$M:$M,'ПП Януари'!Y2)</f>
        <v>0</v>
      </c>
      <c r="Z18" s="74">
        <f>SUMIFS(приходи!$L:$L,приходи!$E:$E,'ПП Януари'!$C$18,приходи!$M:$M,'ПП Януари'!Z2)</f>
        <v>0</v>
      </c>
      <c r="AA18" s="74">
        <f>SUMIFS(приходи!$L:$L,приходи!$E:$E,'ПП Януари'!$C$18,приходи!$M:$M,'ПП Януари'!AA2)</f>
        <v>0</v>
      </c>
      <c r="AB18" s="74">
        <f>SUMIFS(приходи!$L:$L,приходи!$E:$E,'ПП Януари'!$C$18,приходи!$M:$M,'ПП Януари'!AB2)</f>
        <v>0</v>
      </c>
      <c r="AC18" s="74">
        <f>SUMIFS(приходи!$L:$L,приходи!$E:$E,'ПП Януари'!$C$18,приходи!$M:$M,'ПП Януари'!AC2)</f>
        <v>0</v>
      </c>
      <c r="AD18" s="74">
        <f>SUMIFS(приходи!$L:$L,приходи!$E:$E,'ПП Януари'!$C$18,приходи!$M:$M,'ПП Януари'!AD2)</f>
        <v>0</v>
      </c>
      <c r="AE18" s="76">
        <f>SUMIFS(приходи!$L:$L,приходи!$E:$E,'ПП Януари'!$C$18,приходи!$M:$M,'ПП Януари'!AE2)</f>
        <v>0</v>
      </c>
      <c r="AF18" s="76">
        <f>SUMIFS(приходи!$L:$L,приходи!$E:$E,'ПП Януари'!$C$18,приходи!$M:$M,'ПП Януари'!AF2)</f>
        <v>0</v>
      </c>
      <c r="AG18" s="74">
        <f>SUMIFS(приходи!$L:$L,приходи!$E:$E,'ПП Януари'!$C$18,приходи!$M:$M,'ПП Януари'!AG2)</f>
        <v>0</v>
      </c>
      <c r="AH18" s="74">
        <f>SUMIFS(приходи!$L:$L,приходи!$E:$E,'ПП Януари'!$C$18,приходи!$M:$M,'ПП Януари'!AH2)</f>
        <v>0</v>
      </c>
      <c r="AI18" s="74">
        <f>SUMIFS(приходи!$L:$L,приходи!$E:$E,'ПП Януари'!$C$18,приходи!$M:$M,'ПП Януари'!AI2)</f>
        <v>0</v>
      </c>
      <c r="AJ18" s="61">
        <f t="shared" si="2"/>
        <v>0</v>
      </c>
      <c r="AK18" s="58">
        <f t="shared" si="7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Януари'!$C$19,приходи!$M:$M,'ПП Януари'!E2)</f>
        <v>0</v>
      </c>
      <c r="F19" s="74">
        <f>SUMIFS(приходи!$L:$L,приходи!$E:$E,'ПП Януари'!$C$19,приходи!$M:$M,'ПП Януари'!F2)</f>
        <v>0</v>
      </c>
      <c r="G19" s="74">
        <f>SUMIFS(приходи!$L:$L,приходи!$E:$E,'ПП Януари'!$C$19,приходи!$M:$M,'ПП Януари'!G2)</f>
        <v>0</v>
      </c>
      <c r="H19" s="74">
        <f>SUMIFS(приходи!$L:$L,приходи!$E:$E,'ПП Януари'!$C$19,приходи!$M:$M,'ПП Януари'!H2)</f>
        <v>0</v>
      </c>
      <c r="I19" s="74">
        <f>SUMIFS(приходи!$L:$L,приходи!$E:$E,'ПП Януари'!$C$19,приходи!$M:$M,'ПП Януари'!I2)</f>
        <v>0</v>
      </c>
      <c r="J19" s="76">
        <f>SUMIFS(приходи!$L:$L,приходи!$E:$E,'ПП Януари'!$C$19,приходи!$M:$M,'ПП Януари'!J2)</f>
        <v>0</v>
      </c>
      <c r="K19" s="76">
        <f>SUMIFS(приходи!$L:$L,приходи!$E:$E,'ПП Януари'!$C$19,приходи!$M:$M,'ПП Януари'!K2)</f>
        <v>0</v>
      </c>
      <c r="L19" s="74">
        <f>SUMIFS(приходи!$L:$L,приходи!$E:$E,'ПП Януари'!$C$19,приходи!$M:$M,'ПП Януари'!L2)</f>
        <v>0</v>
      </c>
      <c r="M19" s="74">
        <f>SUMIFS(приходи!$L:$L,приходи!$E:$E,'ПП Януари'!$C$19,приходи!$M:$M,'ПП Януари'!M2)</f>
        <v>0</v>
      </c>
      <c r="N19" s="74">
        <f>SUMIFS(приходи!$L:$L,приходи!$E:$E,'ПП Януари'!$C$19,приходи!$M:$M,'ПП Януари'!N2)</f>
        <v>0</v>
      </c>
      <c r="O19" s="74">
        <f>SUMIFS(приходи!$L:$L,приходи!$E:$E,'ПП Януари'!$C$19,приходи!$M:$M,'ПП Януари'!O2)</f>
        <v>0</v>
      </c>
      <c r="P19" s="74">
        <f>SUMIFS(приходи!$L:$L,приходи!$E:$E,'ПП Януари'!$C$19,приходи!$M:$M,'ПП Януари'!P2)</f>
        <v>0</v>
      </c>
      <c r="Q19" s="76">
        <f>SUMIFS(приходи!$L:$L,приходи!$E:$E,'ПП Януари'!$C$19,приходи!$M:$M,'ПП Януари'!Q2)</f>
        <v>0</v>
      </c>
      <c r="R19" s="76">
        <f>SUMIFS(приходи!$L:$L,приходи!$E:$E,'ПП Януари'!$C$19,приходи!$M:$M,'ПП Януари'!R2)</f>
        <v>0</v>
      </c>
      <c r="S19" s="74">
        <f>SUMIFS(приходи!$L:$L,приходи!$E:$E,'ПП Януари'!$C$19,приходи!$M:$M,'ПП Януари'!S2)</f>
        <v>0</v>
      </c>
      <c r="T19" s="74">
        <f>SUMIFS(приходи!$L:$L,приходи!$E:$E,'ПП Януари'!$C$19,приходи!$M:$M,'ПП Януари'!T2)</f>
        <v>0</v>
      </c>
      <c r="U19" s="74">
        <f>SUMIFS(приходи!$L:$L,приходи!$E:$E,'ПП Януари'!$C$19,приходи!$M:$M,'ПП Януари'!U2)</f>
        <v>0</v>
      </c>
      <c r="V19" s="74">
        <f>SUMIFS(приходи!$L:$L,приходи!$E:$E,'ПП Януари'!$C$19,приходи!$M:$M,'ПП Януари'!V2)</f>
        <v>0</v>
      </c>
      <c r="W19" s="74">
        <f>SUMIFS(приходи!$L:$L,приходи!$E:$E,'ПП Януари'!$C$19,приходи!$M:$M,'ПП Януари'!W2)</f>
        <v>0</v>
      </c>
      <c r="X19" s="76">
        <f>SUMIFS(приходи!$L:$L,приходи!$E:$E,'ПП Януари'!$C$19,приходи!$M:$M,'ПП Януари'!X2)</f>
        <v>0</v>
      </c>
      <c r="Y19" s="76">
        <f>SUMIFS(приходи!$L:$L,приходи!$E:$E,'ПП Януари'!$C$19,приходи!$M:$M,'ПП Януари'!Y2)</f>
        <v>0</v>
      </c>
      <c r="Z19" s="74">
        <f>SUMIFS(приходи!$L:$L,приходи!$E:$E,'ПП Януари'!$C$19,приходи!$M:$M,'ПП Януари'!Z2)</f>
        <v>222.5</v>
      </c>
      <c r="AA19" s="74">
        <f>SUMIFS(приходи!$L:$L,приходи!$E:$E,'ПП Януари'!$C$19,приходи!$M:$M,'ПП Януари'!AA2)</f>
        <v>0</v>
      </c>
      <c r="AB19" s="74">
        <f>SUMIFS(приходи!$L:$L,приходи!$E:$E,'ПП Януари'!$C$19,приходи!$M:$M,'ПП Януари'!AB2)</f>
        <v>0</v>
      </c>
      <c r="AC19" s="74">
        <f>SUMIFS(приходи!$L:$L,приходи!$E:$E,'ПП Януари'!$C$19,приходи!$M:$M,'ПП Януари'!AC2)</f>
        <v>0</v>
      </c>
      <c r="AD19" s="74">
        <f>SUMIFS(приходи!$L:$L,приходи!$E:$E,'ПП Януари'!$C$19,приходи!$M:$M,'ПП Януари'!AD2)</f>
        <v>3.36</v>
      </c>
      <c r="AE19" s="76">
        <f>SUMIFS(приходи!$L:$L,приходи!$E:$E,'ПП Януари'!$C$19,приходи!$M:$M,'ПП Януари'!AE2)</f>
        <v>0</v>
      </c>
      <c r="AF19" s="76">
        <f>SUMIFS(приходи!$L:$L,приходи!$E:$E,'ПП Януари'!$C$19,приходи!$M:$M,'ПП Януари'!AF2)</f>
        <v>0</v>
      </c>
      <c r="AG19" s="74">
        <f>SUMIFS(приходи!$L:$L,приходи!$E:$E,'ПП Януари'!$C$19,приходи!$M:$M,'ПП Януари'!AG2)</f>
        <v>0</v>
      </c>
      <c r="AH19" s="74">
        <f>SUMIFS(приходи!$L:$L,приходи!$E:$E,'ПП Януари'!$C$19,приходи!$M:$M,'ПП Януари'!AH2)</f>
        <v>0</v>
      </c>
      <c r="AI19" s="74">
        <f>SUMIFS(приходи!$L:$L,приходи!$E:$E,'ПП Януари'!$C$19,приходи!$M:$M,'ПП Януари'!AI2)</f>
        <v>0</v>
      </c>
      <c r="AJ19" s="61">
        <f t="shared" si="2"/>
        <v>225.86</v>
      </c>
      <c r="AK19" s="58">
        <f t="shared" si="7"/>
        <v>225.86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Януари'!$C$20,приходи!$M:$M,'ПП Януари'!E2)</f>
        <v>0</v>
      </c>
      <c r="F20" s="74">
        <f>SUMIFS(приходи!$L:$L,приходи!$E:$E,'ПП Януари'!$C$20,приходи!$M:$M,'ПП Януари'!F2)</f>
        <v>0</v>
      </c>
      <c r="G20" s="74">
        <f>SUMIFS(приходи!$L:$L,приходи!$E:$E,'ПП Януари'!$C$20,приходи!$M:$M,'ПП Януари'!G2)</f>
        <v>0</v>
      </c>
      <c r="H20" s="74">
        <f>SUMIFS(приходи!$L:$L,приходи!$E:$E,'ПП Януари'!$C$20,приходи!$M:$M,'ПП Януари'!H2)</f>
        <v>0</v>
      </c>
      <c r="I20" s="74">
        <f>SUMIFS(приходи!$L:$L,приходи!$E:$E,'ПП Януари'!$C$20,приходи!$M:$M,'ПП Януари'!I2)</f>
        <v>0</v>
      </c>
      <c r="J20" s="76">
        <f>SUMIFS(приходи!$L:$L,приходи!$E:$E,'ПП Януари'!$C$20,приходи!$M:$M,'ПП Януари'!J2)</f>
        <v>0</v>
      </c>
      <c r="K20" s="76">
        <f>SUMIFS(приходи!$L:$L,приходи!$E:$E,'ПП Януари'!$C$20,приходи!$M:$M,'ПП Януари'!K2)</f>
        <v>0</v>
      </c>
      <c r="L20" s="74">
        <f>SUMIFS(приходи!$L:$L,приходи!$E:$E,'ПП Януари'!$C$20,приходи!$M:$M,'ПП Януари'!L2)</f>
        <v>0</v>
      </c>
      <c r="M20" s="74">
        <f>SUMIFS(приходи!$L:$L,приходи!$E:$E,'ПП Януари'!$C$20,приходи!$M:$M,'ПП Януари'!M2)</f>
        <v>0</v>
      </c>
      <c r="N20" s="74">
        <f>SUMIFS(приходи!$L:$L,приходи!$E:$E,'ПП Януари'!$C$20,приходи!$M:$M,'ПП Януари'!N2)</f>
        <v>0</v>
      </c>
      <c r="O20" s="74">
        <f>SUMIFS(приходи!$L:$L,приходи!$E:$E,'ПП Януари'!$C$20,приходи!$M:$M,'ПП Януари'!O2)</f>
        <v>0</v>
      </c>
      <c r="P20" s="74">
        <f>SUMIFS(приходи!$L:$L,приходи!$E:$E,'ПП Януари'!$C$20,приходи!$M:$M,'ПП Януари'!P2)</f>
        <v>0</v>
      </c>
      <c r="Q20" s="76">
        <f>SUMIFS(приходи!$L:$L,приходи!$E:$E,'ПП Януари'!$C$20,приходи!$M:$M,'ПП Януари'!Q2)</f>
        <v>0</v>
      </c>
      <c r="R20" s="76">
        <f>SUMIFS(приходи!$L:$L,приходи!$E:$E,'ПП Януари'!$C$20,приходи!$M:$M,'ПП Януари'!R2)</f>
        <v>0</v>
      </c>
      <c r="S20" s="74">
        <f>SUMIFS(приходи!$L:$L,приходи!$E:$E,'ПП Януари'!$C$20,приходи!$M:$M,'ПП Януари'!S2)</f>
        <v>0</v>
      </c>
      <c r="T20" s="74">
        <f>SUMIFS(приходи!$L:$L,приходи!$E:$E,'ПП Януари'!$C$20,приходи!$M:$M,'ПП Януари'!T2)</f>
        <v>0</v>
      </c>
      <c r="U20" s="74">
        <f>SUMIFS(приходи!$L:$L,приходи!$E:$E,'ПП Януари'!$C$20,приходи!$M:$M,'ПП Януари'!U2)</f>
        <v>0</v>
      </c>
      <c r="V20" s="74">
        <f>SUMIFS(приходи!$L:$L,приходи!$E:$E,'ПП Януари'!$C$20,приходи!$M:$M,'ПП Януари'!V2)</f>
        <v>0</v>
      </c>
      <c r="W20" s="74">
        <f>SUMIFS(приходи!$L:$L,приходи!$E:$E,'ПП Януари'!$C$20,приходи!$M:$M,'ПП Януари'!W2)</f>
        <v>0</v>
      </c>
      <c r="X20" s="76">
        <f>SUMIFS(приходи!$L:$L,приходи!$E:$E,'ПП Януари'!$C$20,приходи!$M:$M,'ПП Януари'!X2)</f>
        <v>0</v>
      </c>
      <c r="Y20" s="76">
        <f>SUMIFS(приходи!$L:$L,приходи!$E:$E,'ПП Януари'!$C$20,приходи!$M:$M,'ПП Януари'!Y2)</f>
        <v>0</v>
      </c>
      <c r="Z20" s="74">
        <f>SUMIFS(приходи!$L:$L,приходи!$E:$E,'ПП Януари'!$C$20,приходи!$M:$M,'ПП Януари'!Z2)</f>
        <v>0</v>
      </c>
      <c r="AA20" s="74">
        <f>SUMIFS(приходи!$L:$L,приходи!$E:$E,'ПП Януари'!$C$20,приходи!$M:$M,'ПП Януари'!AA2)</f>
        <v>0</v>
      </c>
      <c r="AB20" s="74">
        <f>SUMIFS(приходи!$L:$L,приходи!$E:$E,'ПП Януари'!$C$20,приходи!$M:$M,'ПП Януари'!AB2)</f>
        <v>0</v>
      </c>
      <c r="AC20" s="74">
        <f>SUMIFS(приходи!$L:$L,приходи!$E:$E,'ПП Януари'!$C$20,приходи!$M:$M,'ПП Януари'!AC2)</f>
        <v>0</v>
      </c>
      <c r="AD20" s="74">
        <f>SUMIFS(приходи!$L:$L,приходи!$E:$E,'ПП Януари'!$C$20,приходи!$M:$M,'ПП Януари'!AD2)</f>
        <v>0</v>
      </c>
      <c r="AE20" s="76">
        <f>SUMIFS(приходи!$L:$L,приходи!$E:$E,'ПП Януари'!$C$20,приходи!$M:$M,'ПП Януари'!AE2)</f>
        <v>0</v>
      </c>
      <c r="AF20" s="76">
        <f>SUMIFS(приходи!$L:$L,приходи!$E:$E,'ПП Януари'!$C$20,приходи!$M:$M,'ПП Януари'!AF2)</f>
        <v>0</v>
      </c>
      <c r="AG20" s="74">
        <f>SUMIFS(приходи!$L:$L,приходи!$E:$E,'ПП Януари'!$C$20,приходи!$M:$M,'ПП Януари'!AG2)</f>
        <v>0</v>
      </c>
      <c r="AH20" s="74">
        <f>SUMIFS(приходи!$L:$L,приходи!$E:$E,'ПП Януари'!$C$20,приходи!$M:$M,'ПП Януари'!AH2)</f>
        <v>0</v>
      </c>
      <c r="AI20" s="74">
        <f>SUMIFS(приходи!$L:$L,приходи!$E:$E,'ПП Януари'!$C$20,приходи!$M:$M,'ПП Януари'!AI2)</f>
        <v>0</v>
      </c>
      <c r="AJ20" s="61">
        <f t="shared" si="2"/>
        <v>0</v>
      </c>
      <c r="AK20" s="58">
        <f t="shared" si="7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Януари'!$C$21,приходи!$M:$M,'ПП Януари'!E2)</f>
        <v>0</v>
      </c>
      <c r="F21" s="74">
        <f>SUMIFS(приходи!$L:$L,приходи!$E:$E,'ПП Януари'!$C$21,приходи!$M:$M,'ПП Януари'!F2)</f>
        <v>0</v>
      </c>
      <c r="G21" s="74">
        <f>SUMIFS(приходи!$L:$L,приходи!$E:$E,'ПП Януари'!$C$21,приходи!$M:$M,'ПП Януари'!G2)</f>
        <v>0</v>
      </c>
      <c r="H21" s="74">
        <f>SUMIFS(приходи!$L:$L,приходи!$E:$E,'ПП Януари'!$C$21,приходи!$M:$M,'ПП Януари'!H2)</f>
        <v>0</v>
      </c>
      <c r="I21" s="74">
        <f>SUMIFS(приходи!$L:$L,приходи!$E:$E,'ПП Януари'!$C$21,приходи!$M:$M,'ПП Януари'!I2)</f>
        <v>0</v>
      </c>
      <c r="J21" s="76">
        <f>SUMIFS(приходи!$L:$L,приходи!$E:$E,'ПП Януари'!$C$21,приходи!$M:$M,'ПП Януари'!J2)</f>
        <v>0</v>
      </c>
      <c r="K21" s="76">
        <f>SUMIFS(приходи!$L:$L,приходи!$E:$E,'ПП Януари'!$C$21,приходи!$M:$M,'ПП Януари'!K2)</f>
        <v>0</v>
      </c>
      <c r="L21" s="74">
        <f>SUMIFS(приходи!$L:$L,приходи!$E:$E,'ПП Януари'!$C$21,приходи!$M:$M,'ПП Януари'!L2)</f>
        <v>0</v>
      </c>
      <c r="M21" s="74">
        <f>SUMIFS(приходи!$L:$L,приходи!$E:$E,'ПП Януари'!$C$21,приходи!$M:$M,'ПП Януари'!M2)</f>
        <v>0</v>
      </c>
      <c r="N21" s="74">
        <f>SUMIFS(приходи!$L:$L,приходи!$E:$E,'ПП Януари'!$C$21,приходи!$M:$M,'ПП Януари'!N2)</f>
        <v>0</v>
      </c>
      <c r="O21" s="74">
        <f>SUMIFS(приходи!$L:$L,приходи!$E:$E,'ПП Януари'!$C$21,приходи!$M:$M,'ПП Януари'!O2)</f>
        <v>0</v>
      </c>
      <c r="P21" s="74">
        <f>SUMIFS(приходи!$L:$L,приходи!$E:$E,'ПП Януари'!$C$21,приходи!$M:$M,'ПП Януари'!P2)</f>
        <v>0</v>
      </c>
      <c r="Q21" s="76">
        <f>SUMIFS(приходи!$L:$L,приходи!$E:$E,'ПП Януари'!$C$21,приходи!$M:$M,'ПП Януари'!Q2)</f>
        <v>0</v>
      </c>
      <c r="R21" s="76">
        <f>SUMIFS(приходи!$L:$L,приходи!$E:$E,'ПП Януари'!$C$21,приходи!$M:$M,'ПП Януари'!R2)</f>
        <v>0</v>
      </c>
      <c r="S21" s="74">
        <f>SUMIFS(приходи!$L:$L,приходи!$E:$E,'ПП Януари'!$C$21,приходи!$M:$M,'ПП Януари'!S2)</f>
        <v>0</v>
      </c>
      <c r="T21" s="74">
        <f>SUMIFS(приходи!$L:$L,приходи!$E:$E,'ПП Януари'!$C$21,приходи!$M:$M,'ПП Януари'!T2)</f>
        <v>0</v>
      </c>
      <c r="U21" s="74">
        <f>SUMIFS(приходи!$L:$L,приходи!$E:$E,'ПП Януари'!$C$21,приходи!$M:$M,'ПП Януари'!U2)</f>
        <v>0</v>
      </c>
      <c r="V21" s="74">
        <f>SUMIFS(приходи!$L:$L,приходи!$E:$E,'ПП Януари'!$C$21,приходи!$M:$M,'ПП Януари'!V2)</f>
        <v>0</v>
      </c>
      <c r="W21" s="74">
        <f>SUMIFS(приходи!$L:$L,приходи!$E:$E,'ПП Януари'!$C$21,приходи!$M:$M,'ПП Януари'!W2)</f>
        <v>0</v>
      </c>
      <c r="X21" s="76">
        <f>SUMIFS(приходи!$L:$L,приходи!$E:$E,'ПП Януари'!$C$21,приходи!$M:$M,'ПП Януари'!X2)</f>
        <v>0</v>
      </c>
      <c r="Y21" s="76">
        <f>SUMIFS(приходи!$L:$L,приходи!$E:$E,'ПП Януари'!$C$21,приходи!$M:$M,'ПП Януари'!Y2)</f>
        <v>0</v>
      </c>
      <c r="Z21" s="74">
        <f>SUMIFS(приходи!$L:$L,приходи!$E:$E,'ПП Януари'!$C$21,приходи!$M:$M,'ПП Януари'!Z2)</f>
        <v>0</v>
      </c>
      <c r="AA21" s="74">
        <f>SUMIFS(приходи!$L:$L,приходи!$E:$E,'ПП Януари'!$C$21,приходи!$M:$M,'ПП Януари'!AA2)</f>
        <v>0</v>
      </c>
      <c r="AB21" s="74">
        <f>SUMIFS(приходи!$L:$L,приходи!$E:$E,'ПП Януари'!$C$21,приходи!$M:$M,'ПП Януари'!AB2)</f>
        <v>0</v>
      </c>
      <c r="AC21" s="74">
        <f>SUMIFS(приходи!$L:$L,приходи!$E:$E,'ПП Януари'!$C$21,приходи!$M:$M,'ПП Януари'!AC2)</f>
        <v>0</v>
      </c>
      <c r="AD21" s="74">
        <f>SUMIFS(приходи!$L:$L,приходи!$E:$E,'ПП Януари'!$C$21,приходи!$M:$M,'ПП Януари'!AD2)</f>
        <v>0</v>
      </c>
      <c r="AE21" s="76">
        <f>SUMIFS(приходи!$L:$L,приходи!$E:$E,'ПП Януари'!$C$21,приходи!$M:$M,'ПП Януари'!AE2)</f>
        <v>0</v>
      </c>
      <c r="AF21" s="76">
        <f>SUMIFS(приходи!$L:$L,приходи!$E:$E,'ПП Януари'!$C$21,приходи!$M:$M,'ПП Януари'!AF2)</f>
        <v>0</v>
      </c>
      <c r="AG21" s="74">
        <f>SUMIFS(приходи!$L:$L,приходи!$E:$E,'ПП Януари'!$C$21,приходи!$M:$M,'ПП Януари'!AG2)</f>
        <v>0</v>
      </c>
      <c r="AH21" s="74">
        <f>SUMIFS(приходи!$L:$L,приходи!$E:$E,'ПП Януари'!$C$21,приходи!$M:$M,'ПП Януари'!AH2)</f>
        <v>0</v>
      </c>
      <c r="AI21" s="74">
        <f>SUMIFS(приходи!$L:$L,приходи!$E:$E,'ПП Януари'!$C$21,приходи!$M:$M,'ПП Януари'!AI2)</f>
        <v>0</v>
      </c>
      <c r="AJ21" s="61">
        <f t="shared" si="2"/>
        <v>0</v>
      </c>
      <c r="AK21" s="58">
        <f t="shared" si="7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Януари'!$C$22,приходи!$M:$M,'ПП Януари'!E2)</f>
        <v>0</v>
      </c>
      <c r="F22" s="74">
        <f>SUMIFS(приходи!$L:$L,приходи!$E:$E,'ПП Януари'!$C$22,приходи!$M:$M,'ПП Януари'!F2)</f>
        <v>0</v>
      </c>
      <c r="G22" s="74">
        <f>SUMIFS(приходи!$L:$L,приходи!$E:$E,'ПП Януари'!$C$22,приходи!$M:$M,'ПП Януари'!G2)</f>
        <v>0</v>
      </c>
      <c r="H22" s="74">
        <f>SUMIFS(приходи!$L:$L,приходи!$E:$E,'ПП Януари'!$C$22,приходи!$M:$M,'ПП Януари'!H2)</f>
        <v>0</v>
      </c>
      <c r="I22" s="74">
        <f>SUMIFS(приходи!$L:$L,приходи!$E:$E,'ПП Януари'!$C$22,приходи!$M:$M,'ПП Януари'!I2)</f>
        <v>0</v>
      </c>
      <c r="J22" s="76">
        <f>SUMIFS(приходи!$L:$L,приходи!$E:$E,'ПП Януари'!$C$22,приходи!$M:$M,'ПП Януари'!J2)</f>
        <v>0</v>
      </c>
      <c r="K22" s="76">
        <f>SUMIFS(приходи!$L:$L,приходи!$E:$E,'ПП Януари'!$C$22,приходи!$M:$M,'ПП Януари'!K2)</f>
        <v>0</v>
      </c>
      <c r="L22" s="74">
        <f>SUMIFS(приходи!$L:$L,приходи!$E:$E,'ПП Януари'!$C$22,приходи!$M:$M,'ПП Януари'!L2)</f>
        <v>0</v>
      </c>
      <c r="M22" s="74">
        <f>SUMIFS(приходи!$L:$L,приходи!$E:$E,'ПП Януари'!$C$22,приходи!$M:$M,'ПП Януари'!M2)</f>
        <v>0</v>
      </c>
      <c r="N22" s="74">
        <f>SUMIFS(приходи!$L:$L,приходи!$E:$E,'ПП Януари'!$C$22,приходи!$M:$M,'ПП Януари'!N2)</f>
        <v>0</v>
      </c>
      <c r="O22" s="74">
        <f>SUMIFS(приходи!$L:$L,приходи!$E:$E,'ПП Януари'!$C$22,приходи!$M:$M,'ПП Януари'!O2)</f>
        <v>0</v>
      </c>
      <c r="P22" s="74">
        <f>SUMIFS(приходи!$L:$L,приходи!$E:$E,'ПП Януари'!$C$22,приходи!$M:$M,'ПП Януари'!P2)</f>
        <v>0</v>
      </c>
      <c r="Q22" s="76">
        <f>SUMIFS(приходи!$L:$L,приходи!$E:$E,'ПП Януари'!$C$22,приходи!$M:$M,'ПП Януари'!Q2)</f>
        <v>0</v>
      </c>
      <c r="R22" s="76">
        <f>SUMIFS(приходи!$L:$L,приходи!$E:$E,'ПП Януари'!$C$22,приходи!$M:$M,'ПП Януари'!R2)</f>
        <v>0</v>
      </c>
      <c r="S22" s="74">
        <f>SUMIFS(приходи!$L:$L,приходи!$E:$E,'ПП Януари'!$C$22,приходи!$M:$M,'ПП Януари'!S2)</f>
        <v>0</v>
      </c>
      <c r="T22" s="74">
        <f>SUMIFS(приходи!$L:$L,приходи!$E:$E,'ПП Януари'!$C$22,приходи!$M:$M,'ПП Януари'!T2)</f>
        <v>0</v>
      </c>
      <c r="U22" s="74">
        <f>SUMIFS(приходи!$L:$L,приходи!$E:$E,'ПП Януари'!$C$22,приходи!$M:$M,'ПП Януари'!U2)</f>
        <v>0</v>
      </c>
      <c r="V22" s="74">
        <f>SUMIFS(приходи!$L:$L,приходи!$E:$E,'ПП Януари'!$C$22,приходи!$M:$M,'ПП Януари'!V2)</f>
        <v>0</v>
      </c>
      <c r="W22" s="74">
        <f>SUMIFS(приходи!$L:$L,приходи!$E:$E,'ПП Януари'!$C$22,приходи!$M:$M,'ПП Януари'!W2)</f>
        <v>0</v>
      </c>
      <c r="X22" s="76">
        <f>SUMIFS(приходи!$L:$L,приходи!$E:$E,'ПП Януари'!$C$22,приходи!$M:$M,'ПП Януари'!X2)</f>
        <v>0</v>
      </c>
      <c r="Y22" s="76">
        <f>SUMIFS(приходи!$L:$L,приходи!$E:$E,'ПП Януари'!$C$22,приходи!$M:$M,'ПП Януари'!Y2)</f>
        <v>0</v>
      </c>
      <c r="Z22" s="74">
        <f>SUMIFS(приходи!$L:$L,приходи!$E:$E,'ПП Януари'!$C$22,приходи!$M:$M,'ПП Януари'!Z2)</f>
        <v>0</v>
      </c>
      <c r="AA22" s="74">
        <f>SUMIFS(приходи!$L:$L,приходи!$E:$E,'ПП Януари'!$C$22,приходи!$M:$M,'ПП Януари'!AA2)</f>
        <v>0</v>
      </c>
      <c r="AB22" s="74">
        <f>SUMIFS(приходи!$L:$L,приходи!$E:$E,'ПП Януари'!$C$22,приходи!$M:$M,'ПП Януари'!AB2)</f>
        <v>0</v>
      </c>
      <c r="AC22" s="74">
        <f>SUMIFS(приходи!$L:$L,приходи!$E:$E,'ПП Януари'!$C$22,приходи!$M:$M,'ПП Януари'!AC2)</f>
        <v>0</v>
      </c>
      <c r="AD22" s="74">
        <f>SUMIFS(приходи!$L:$L,приходи!$E:$E,'ПП Януари'!$C$22,приходи!$M:$M,'ПП Януари'!AD2)</f>
        <v>0</v>
      </c>
      <c r="AE22" s="76">
        <f>SUMIFS(приходи!$L:$L,приходи!$E:$E,'ПП Януари'!$C$22,приходи!$M:$M,'ПП Януари'!AE2)</f>
        <v>0</v>
      </c>
      <c r="AF22" s="76">
        <f>SUMIFS(приходи!$L:$L,приходи!$E:$E,'ПП Януари'!$C$22,приходи!$M:$M,'ПП Януари'!AF2)</f>
        <v>0</v>
      </c>
      <c r="AG22" s="74">
        <f>SUMIFS(приходи!$L:$L,приходи!$E:$E,'ПП Януари'!$C$22,приходи!$M:$M,'ПП Януари'!AG2)</f>
        <v>0</v>
      </c>
      <c r="AH22" s="74">
        <f>SUMIFS(приходи!$L:$L,приходи!$E:$E,'ПП Януари'!$C$22,приходи!$M:$M,'ПП Януари'!AH2)</f>
        <v>0</v>
      </c>
      <c r="AI22" s="74">
        <f>SUMIFS(приходи!$L:$L,приходи!$E:$E,'ПП Януари'!$C$22,приходи!$M:$M,'ПП Януари'!AI2)</f>
        <v>0</v>
      </c>
      <c r="AJ22" s="61">
        <f t="shared" si="2"/>
        <v>0</v>
      </c>
      <c r="AK22" s="58">
        <f t="shared" si="7"/>
        <v>0</v>
      </c>
    </row>
    <row r="23" spans="1:37" s="4" customFormat="1" ht="20.100000000000001" customHeight="1" x14ac:dyDescent="0.3">
      <c r="B23" s="2" t="s">
        <v>856</v>
      </c>
      <c r="C23" s="89" t="s">
        <v>857</v>
      </c>
      <c r="D23" s="54">
        <f t="shared" ref="D23:AI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ref="AK23:AK66" si="12">+D23-AJ23</f>
        <v>0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3">SUM(D26:D28)</f>
        <v>0</v>
      </c>
      <c r="E24" s="73">
        <f t="shared" ref="E24:AI24" si="14">SUM(E25:E28)</f>
        <v>0</v>
      </c>
      <c r="F24" s="73">
        <f t="shared" si="14"/>
        <v>0</v>
      </c>
      <c r="G24" s="73">
        <f t="shared" si="14"/>
        <v>0</v>
      </c>
      <c r="H24" s="73">
        <f t="shared" si="14"/>
        <v>0</v>
      </c>
      <c r="I24" s="73">
        <f t="shared" si="14"/>
        <v>0</v>
      </c>
      <c r="J24" s="77">
        <f t="shared" si="14"/>
        <v>0</v>
      </c>
      <c r="K24" s="77">
        <f t="shared" si="14"/>
        <v>0</v>
      </c>
      <c r="L24" s="73">
        <f t="shared" si="14"/>
        <v>0</v>
      </c>
      <c r="M24" s="73">
        <f t="shared" si="14"/>
        <v>0</v>
      </c>
      <c r="N24" s="73">
        <f t="shared" si="14"/>
        <v>0</v>
      </c>
      <c r="O24" s="73">
        <f t="shared" si="14"/>
        <v>0</v>
      </c>
      <c r="P24" s="73">
        <f t="shared" si="14"/>
        <v>0</v>
      </c>
      <c r="Q24" s="77">
        <f t="shared" si="14"/>
        <v>0</v>
      </c>
      <c r="R24" s="77">
        <f t="shared" si="14"/>
        <v>0</v>
      </c>
      <c r="S24" s="73">
        <f t="shared" si="14"/>
        <v>0</v>
      </c>
      <c r="T24" s="73">
        <f t="shared" si="14"/>
        <v>0</v>
      </c>
      <c r="U24" s="73">
        <f t="shared" si="14"/>
        <v>0</v>
      </c>
      <c r="V24" s="73">
        <f t="shared" si="14"/>
        <v>0</v>
      </c>
      <c r="W24" s="73">
        <f t="shared" si="14"/>
        <v>0</v>
      </c>
      <c r="X24" s="77">
        <f t="shared" si="14"/>
        <v>0</v>
      </c>
      <c r="Y24" s="77">
        <f t="shared" si="14"/>
        <v>0</v>
      </c>
      <c r="Z24" s="73">
        <f t="shared" si="14"/>
        <v>0</v>
      </c>
      <c r="AA24" s="73">
        <f t="shared" si="14"/>
        <v>0</v>
      </c>
      <c r="AB24" s="73">
        <f t="shared" si="14"/>
        <v>0</v>
      </c>
      <c r="AC24" s="73">
        <f t="shared" si="14"/>
        <v>0</v>
      </c>
      <c r="AD24" s="73">
        <f t="shared" si="14"/>
        <v>0</v>
      </c>
      <c r="AE24" s="77">
        <f t="shared" si="14"/>
        <v>0</v>
      </c>
      <c r="AF24" s="77">
        <f t="shared" si="14"/>
        <v>0</v>
      </c>
      <c r="AG24" s="73">
        <f t="shared" si="14"/>
        <v>0</v>
      </c>
      <c r="AH24" s="73">
        <f t="shared" si="14"/>
        <v>0</v>
      </c>
      <c r="AI24" s="73">
        <f t="shared" si="14"/>
        <v>0</v>
      </c>
      <c r="AJ24" s="61">
        <f t="shared" si="2"/>
        <v>0</v>
      </c>
      <c r="AK24" s="58">
        <f t="shared" si="12"/>
        <v>0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5"/>
      <c r="F25" s="75"/>
      <c r="G25" s="75"/>
      <c r="H25" s="75"/>
      <c r="I25" s="75"/>
      <c r="J25" s="78"/>
      <c r="K25" s="78"/>
      <c r="L25" s="75"/>
      <c r="M25" s="75"/>
      <c r="N25" s="75"/>
      <c r="O25" s="75"/>
      <c r="P25" s="75"/>
      <c r="Q25" s="78"/>
      <c r="R25" s="78"/>
      <c r="S25" s="75"/>
      <c r="T25" s="75"/>
      <c r="U25" s="75"/>
      <c r="V25" s="75"/>
      <c r="W25" s="75"/>
      <c r="X25" s="78"/>
      <c r="Y25" s="78"/>
      <c r="Z25" s="75"/>
      <c r="AA25" s="75"/>
      <c r="AB25" s="75"/>
      <c r="AC25" s="75"/>
      <c r="AD25" s="75"/>
      <c r="AE25" s="78"/>
      <c r="AF25" s="78"/>
      <c r="AG25" s="75"/>
      <c r="AH25" s="75"/>
      <c r="AI25" s="75"/>
      <c r="AJ25" s="66">
        <f t="shared" si="2"/>
        <v>0</v>
      </c>
      <c r="AK25" s="67">
        <f t="shared" si="12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/>
      <c r="E26" s="74">
        <f>SUMIFS(разходи!$L:$L,разходи!$E:$E,'ПП Януари'!$C$26,разходи!$M:$M,'ПП Януари'!E2)</f>
        <v>0</v>
      </c>
      <c r="F26" s="74">
        <f>SUMIFS(разходи!$L:$L,разходи!$E:$E,'ПП Януари'!$C$26,разходи!$M:$M,'ПП Януари'!F2)</f>
        <v>0</v>
      </c>
      <c r="G26" s="74">
        <f>SUMIFS(разходи!$L:$L,разходи!$E:$E,'ПП Януари'!$C$26,разходи!$M:$M,'ПП Януари'!G2)</f>
        <v>0</v>
      </c>
      <c r="H26" s="74">
        <f>SUMIFS(разходи!$L:$L,разходи!$E:$E,'ПП Януари'!$C$26,разходи!$M:$M,'ПП Януари'!H2)</f>
        <v>0</v>
      </c>
      <c r="I26" s="74">
        <f>SUMIFS(разходи!$L:$L,разходи!$E:$E,'ПП Януари'!$C$26,разходи!$M:$M,'ПП Януари'!I2)</f>
        <v>0</v>
      </c>
      <c r="J26" s="76">
        <f>SUMIFS(разходи!$L:$L,разходи!$E:$E,'ПП Януари'!$C$26,разходи!$M:$M,'ПП Януари'!J2)</f>
        <v>0</v>
      </c>
      <c r="K26" s="76">
        <f>SUMIFS(разходи!$L:$L,разходи!$E:$E,'ПП Януари'!$C$26,разходи!$M:$M,'ПП Януари'!K2)</f>
        <v>0</v>
      </c>
      <c r="L26" s="74">
        <f>SUMIFS(разходи!$L:$L,разходи!$E:$E,'ПП Януари'!$C$26,разходи!$M:$M,'ПП Януари'!L2)</f>
        <v>0</v>
      </c>
      <c r="M26" s="74">
        <f>SUMIFS(разходи!$L:$L,разходи!$E:$E,'ПП Януари'!$C$26,разходи!$M:$M,'ПП Януари'!M2)</f>
        <v>0</v>
      </c>
      <c r="N26" s="74">
        <f>SUMIFS(разходи!$L:$L,разходи!$E:$E,'ПП Януари'!$C$26,разходи!$M:$M,'ПП Януари'!N2)</f>
        <v>0</v>
      </c>
      <c r="O26" s="74">
        <f>SUMIFS(разходи!$L:$L,разходи!$E:$E,'ПП Януари'!$C$26,разходи!$M:$M,'ПП Януари'!O2)</f>
        <v>0</v>
      </c>
      <c r="P26" s="74">
        <f>SUMIFS(разходи!$L:$L,разходи!$E:$E,'ПП Януари'!$C$26,разходи!$M:$M,'ПП Януари'!P2)</f>
        <v>0</v>
      </c>
      <c r="Q26" s="76">
        <f>SUMIFS(разходи!$L:$L,разходи!$E:$E,'ПП Януари'!$C$26,разходи!$M:$M,'ПП Януари'!Q2)</f>
        <v>0</v>
      </c>
      <c r="R26" s="76">
        <f>SUMIFS(разходи!$L:$L,разходи!$E:$E,'ПП Януари'!$C$26,разходи!$M:$M,'ПП Януари'!R2)</f>
        <v>0</v>
      </c>
      <c r="S26" s="74">
        <f>SUMIFS(разходи!$L:$L,разходи!$E:$E,'ПП Януари'!$C$26,разходи!$M:$M,'ПП Януари'!S2)</f>
        <v>0</v>
      </c>
      <c r="T26" s="74">
        <f>SUMIFS(разходи!$L:$L,разходи!$E:$E,'ПП Януари'!$C$26,разходи!$M:$M,'ПП Януари'!T2)</f>
        <v>0</v>
      </c>
      <c r="U26" s="74">
        <f>SUMIFS(разходи!$L:$L,разходи!$E:$E,'ПП Януари'!$C$26,разходи!$M:$M,'ПП Януари'!U2)</f>
        <v>0</v>
      </c>
      <c r="V26" s="74">
        <f>SUMIFS(разходи!$L:$L,разходи!$E:$E,'ПП Януари'!$C$26,разходи!$M:$M,'ПП Януари'!V2)</f>
        <v>0</v>
      </c>
      <c r="W26" s="74">
        <f>SUMIFS(разходи!$L:$L,разходи!$E:$E,'ПП Януари'!$C$26,разходи!$M:$M,'ПП Януари'!W2)</f>
        <v>0</v>
      </c>
      <c r="X26" s="76">
        <f>SUMIFS(разходи!$L:$L,разходи!$E:$E,'ПП Януари'!$C$26,разходи!$M:$M,'ПП Януари'!X2)</f>
        <v>0</v>
      </c>
      <c r="Y26" s="76">
        <f>SUMIFS(разходи!$L:$L,разходи!$E:$E,'ПП Януари'!$C$26,разходи!$M:$M,'ПП Януари'!Y2)</f>
        <v>0</v>
      </c>
      <c r="Z26" s="74">
        <f>SUMIFS(разходи!$L:$L,разходи!$E:$E,'ПП Януари'!$C$26,разходи!$M:$M,'ПП Януари'!Z2)</f>
        <v>0</v>
      </c>
      <c r="AA26" s="74">
        <f>SUMIFS(разходи!$L:$L,разходи!$E:$E,'ПП Януари'!$C$26,разходи!$M:$M,'ПП Януари'!AA2)</f>
        <v>0</v>
      </c>
      <c r="AB26" s="74">
        <f>SUMIFS(разходи!$L:$L,разходи!$E:$E,'ПП Януари'!$C$26,разходи!$M:$M,'ПП Януари'!AB2)</f>
        <v>0</v>
      </c>
      <c r="AC26" s="74">
        <f>SUMIFS(разходи!$L:$L,разходи!$E:$E,'ПП Януари'!$C$26,разходи!$M:$M,'ПП Януари'!AC2)</f>
        <v>0</v>
      </c>
      <c r="AD26" s="74">
        <f>SUMIFS(разходи!$L:$L,разходи!$E:$E,'ПП Януари'!$C$26,разходи!$M:$M,'ПП Януари'!AD2)</f>
        <v>0</v>
      </c>
      <c r="AE26" s="76">
        <f>SUMIFS(разходи!$L:$L,разходи!$E:$E,'ПП Януари'!$C$26,разходи!$M:$M,'ПП Януари'!AE2)</f>
        <v>0</v>
      </c>
      <c r="AF26" s="76">
        <f>SUMIFS(разходи!$L:$L,разходи!$E:$E,'ПП Януари'!$C$26,разходи!$M:$M,'ПП Януари'!AF2)</f>
        <v>0</v>
      </c>
      <c r="AG26" s="74">
        <f>SUMIFS(разходи!$L:$L,разходи!$E:$E,'ПП Януари'!$C$26,разходи!$M:$M,'ПП Януари'!AG2)</f>
        <v>0</v>
      </c>
      <c r="AH26" s="74">
        <f>SUMIFS(разходи!$L:$L,разходи!$E:$E,'ПП Януари'!$C$26,разходи!$M:$M,'ПП Януари'!AH2)</f>
        <v>0</v>
      </c>
      <c r="AI26" s="74">
        <f>SUMIFS(разходи!$L:$L,разходи!$E:$E,'ПП Януари'!$C$26,разходи!$M:$M,'ПП Януари'!AI2)</f>
        <v>0</v>
      </c>
      <c r="AJ26" s="61">
        <f t="shared" si="2"/>
        <v>0</v>
      </c>
      <c r="AK26" s="69">
        <f t="shared" si="12"/>
        <v>0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/>
      <c r="E27" s="74">
        <f>SUMIFS(разходи!$L:$L,разходи!$E:$E,'ПП Януари'!$C$27,разходи!$M:$M,'ПП Януари'!E2)</f>
        <v>0</v>
      </c>
      <c r="F27" s="74">
        <f>SUMIFS(разходи!$L:$L,разходи!$E:$E,'ПП Януари'!$C$27,разходи!$M:$M,'ПП Януари'!F2)</f>
        <v>0</v>
      </c>
      <c r="G27" s="74">
        <f>SUMIFS(разходи!$L:$L,разходи!$E:$E,'ПП Януари'!$C$27,разходи!$M:$M,'ПП Януари'!G2)</f>
        <v>0</v>
      </c>
      <c r="H27" s="74">
        <f>SUMIFS(разходи!$L:$L,разходи!$E:$E,'ПП Януари'!$C$27,разходи!$M:$M,'ПП Януари'!H2)</f>
        <v>0</v>
      </c>
      <c r="I27" s="74">
        <f>SUMIFS(разходи!$L:$L,разходи!$E:$E,'ПП Януари'!$C$27,разходи!$M:$M,'ПП Януари'!I2)</f>
        <v>0</v>
      </c>
      <c r="J27" s="76">
        <f>SUMIFS(разходи!$L:$L,разходи!$E:$E,'ПП Януари'!$C$27,разходи!$M:$M,'ПП Януари'!J2)</f>
        <v>0</v>
      </c>
      <c r="K27" s="76">
        <f>SUMIFS(разходи!$L:$L,разходи!$E:$E,'ПП Януари'!$C$27,разходи!$M:$M,'ПП Януари'!K2)</f>
        <v>0</v>
      </c>
      <c r="L27" s="74">
        <f>SUMIFS(разходи!$L:$L,разходи!$E:$E,'ПП Януари'!$C$27,разходи!$M:$M,'ПП Януари'!L2)</f>
        <v>0</v>
      </c>
      <c r="M27" s="74">
        <f>SUMIFS(разходи!$L:$L,разходи!$E:$E,'ПП Януари'!$C$27,разходи!$M:$M,'ПП Януари'!M2)</f>
        <v>0</v>
      </c>
      <c r="N27" s="74">
        <f>SUMIFS(разходи!$L:$L,разходи!$E:$E,'ПП Януари'!$C$27,разходи!$M:$M,'ПП Януари'!N2)</f>
        <v>0</v>
      </c>
      <c r="O27" s="74">
        <f>SUMIFS(разходи!$L:$L,разходи!$E:$E,'ПП Януари'!$C$27,разходи!$M:$M,'ПП Януари'!O2)</f>
        <v>0</v>
      </c>
      <c r="P27" s="74">
        <f>SUMIFS(разходи!$L:$L,разходи!$E:$E,'ПП Януари'!$C$27,разходи!$M:$M,'ПП Януари'!P2)</f>
        <v>0</v>
      </c>
      <c r="Q27" s="76">
        <f>SUMIFS(разходи!$L:$L,разходи!$E:$E,'ПП Януари'!$C$27,разходи!$M:$M,'ПП Януари'!Q2)</f>
        <v>0</v>
      </c>
      <c r="R27" s="76">
        <f>SUMIFS(разходи!$L:$L,разходи!$E:$E,'ПП Януари'!$C$27,разходи!$M:$M,'ПП Януари'!R2)</f>
        <v>0</v>
      </c>
      <c r="S27" s="74">
        <f>SUMIFS(разходи!$L:$L,разходи!$E:$E,'ПП Януари'!$C$27,разходи!$M:$M,'ПП Януари'!S2)</f>
        <v>0</v>
      </c>
      <c r="T27" s="74">
        <f>SUMIFS(разходи!$L:$L,разходи!$E:$E,'ПП Януари'!$C$27,разходи!$M:$M,'ПП Януари'!T2)</f>
        <v>0</v>
      </c>
      <c r="U27" s="74">
        <f>SUMIFS(разходи!$L:$L,разходи!$E:$E,'ПП Януари'!$C$27,разходи!$M:$M,'ПП Януари'!U2)</f>
        <v>0</v>
      </c>
      <c r="V27" s="74">
        <f>SUMIFS(разходи!$L:$L,разходи!$E:$E,'ПП Януари'!$C$27,разходи!$M:$M,'ПП Януари'!V2)</f>
        <v>0</v>
      </c>
      <c r="W27" s="74">
        <f>SUMIFS(разходи!$L:$L,разходи!$E:$E,'ПП Януари'!$C$27,разходи!$M:$M,'ПП Януари'!W2)</f>
        <v>0</v>
      </c>
      <c r="X27" s="76">
        <f>SUMIFS(разходи!$L:$L,разходи!$E:$E,'ПП Януари'!$C$27,разходи!$M:$M,'ПП Януари'!X2)</f>
        <v>0</v>
      </c>
      <c r="Y27" s="76">
        <f>SUMIFS(разходи!$L:$L,разходи!$E:$E,'ПП Януари'!$C$27,разходи!$M:$M,'ПП Януари'!Y2)</f>
        <v>0</v>
      </c>
      <c r="Z27" s="74">
        <f>SUMIFS(разходи!$L:$L,разходи!$E:$E,'ПП Януари'!$C$27,разходи!$M:$M,'ПП Януари'!Z2)</f>
        <v>0</v>
      </c>
      <c r="AA27" s="74">
        <f>SUMIFS(разходи!$L:$L,разходи!$E:$E,'ПП Януари'!$C$27,разходи!$M:$M,'ПП Януари'!AA2)</f>
        <v>0</v>
      </c>
      <c r="AB27" s="74">
        <f>SUMIFS(разходи!$L:$L,разходи!$E:$E,'ПП Януари'!$C$27,разходи!$M:$M,'ПП Януари'!AB2)</f>
        <v>0</v>
      </c>
      <c r="AC27" s="74">
        <f>SUMIFS(разходи!$L:$L,разходи!$E:$E,'ПП Януари'!$C$27,разходи!$M:$M,'ПП Януари'!AC2)</f>
        <v>0</v>
      </c>
      <c r="AD27" s="74">
        <f>SUMIFS(разходи!$L:$L,разходи!$E:$E,'ПП Януари'!$C$27,разходи!$M:$M,'ПП Януари'!AD2)</f>
        <v>0</v>
      </c>
      <c r="AE27" s="76">
        <f>SUMIFS(разходи!$L:$L,разходи!$E:$E,'ПП Януари'!$C$27,разходи!$M:$M,'ПП Януари'!AE2)</f>
        <v>0</v>
      </c>
      <c r="AF27" s="76">
        <f>SUMIFS(разходи!$L:$L,разходи!$E:$E,'ПП Януари'!$C$27,разходи!$M:$M,'ПП Януари'!AF2)</f>
        <v>0</v>
      </c>
      <c r="AG27" s="74">
        <f>SUMIFS(разходи!$L:$L,разходи!$E:$E,'ПП Януари'!$C$27,разходи!$M:$M,'ПП Януари'!AG2)</f>
        <v>0</v>
      </c>
      <c r="AH27" s="74">
        <f>SUMIFS(разходи!$L:$L,разходи!$E:$E,'ПП Януари'!$C$27,разходи!$M:$M,'ПП Януари'!AH2)</f>
        <v>0</v>
      </c>
      <c r="AI27" s="74">
        <f>SUMIFS(разходи!$L:$L,разходи!$E:$E,'ПП Януари'!$C$27,разходи!$M:$M,'ПП Януари'!AI2)</f>
        <v>0</v>
      </c>
      <c r="AJ27" s="61">
        <f t="shared" si="2"/>
        <v>0</v>
      </c>
      <c r="AK27" s="69">
        <f t="shared" si="12"/>
        <v>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Януари'!$C$28,разходи!$M:$M,'ПП Януари'!E2)</f>
        <v>0</v>
      </c>
      <c r="F28" s="74">
        <f>SUMIFS(разходи!$L:$L,разходи!$E:$E,'ПП Януари'!$C$28,разходи!$M:$M,'ПП Януари'!F2)</f>
        <v>0</v>
      </c>
      <c r="G28" s="74">
        <f>SUMIFS(разходи!$L:$L,разходи!$E:$E,'ПП Януари'!$C$28,разходи!$M:$M,'ПП Януари'!G2)</f>
        <v>0</v>
      </c>
      <c r="H28" s="74">
        <f>SUMIFS(разходи!$L:$L,разходи!$E:$E,'ПП Януари'!$C$28,разходи!$M:$M,'ПП Януари'!H2)</f>
        <v>0</v>
      </c>
      <c r="I28" s="74">
        <f>SUMIFS(разходи!$L:$L,разходи!$E:$E,'ПП Януари'!$C$28,разходи!$M:$M,'ПП Януари'!I2)</f>
        <v>0</v>
      </c>
      <c r="J28" s="76">
        <f>SUMIFS(разходи!$L:$L,разходи!$E:$E,'ПП Януари'!$C$28,разходи!$M:$M,'ПП Януари'!J2)</f>
        <v>0</v>
      </c>
      <c r="K28" s="76">
        <f>SUMIFS(разходи!$L:$L,разходи!$E:$E,'ПП Януари'!$C$28,разходи!$M:$M,'ПП Януари'!K2)</f>
        <v>0</v>
      </c>
      <c r="L28" s="74">
        <f>SUMIFS(разходи!$L:$L,разходи!$E:$E,'ПП Януари'!$C$28,разходи!$M:$M,'ПП Януари'!L2)</f>
        <v>0</v>
      </c>
      <c r="M28" s="74">
        <f>SUMIFS(разходи!$L:$L,разходи!$E:$E,'ПП Януари'!$C$28,разходи!$M:$M,'ПП Януари'!M2)</f>
        <v>0</v>
      </c>
      <c r="N28" s="74">
        <f>SUMIFS(разходи!$L:$L,разходи!$E:$E,'ПП Януари'!$C$28,разходи!$M:$M,'ПП Януари'!N2)</f>
        <v>0</v>
      </c>
      <c r="O28" s="74">
        <f>SUMIFS(разходи!$L:$L,разходи!$E:$E,'ПП Януари'!$C$28,разходи!$M:$M,'ПП Януари'!O2)</f>
        <v>0</v>
      </c>
      <c r="P28" s="74">
        <f>SUMIFS(разходи!$L:$L,разходи!$E:$E,'ПП Януари'!$C$28,разходи!$M:$M,'ПП Януари'!P2)</f>
        <v>0</v>
      </c>
      <c r="Q28" s="76">
        <f>SUMIFS(разходи!$L:$L,разходи!$E:$E,'ПП Януари'!$C$28,разходи!$M:$M,'ПП Януари'!Q2)</f>
        <v>0</v>
      </c>
      <c r="R28" s="76">
        <f>SUMIFS(разходи!$L:$L,разходи!$E:$E,'ПП Януари'!$C$28,разходи!$M:$M,'ПП Януари'!R2)</f>
        <v>0</v>
      </c>
      <c r="S28" s="74">
        <f>SUMIFS(разходи!$L:$L,разходи!$E:$E,'ПП Януари'!$C$28,разходи!$M:$M,'ПП Януари'!S2)</f>
        <v>0</v>
      </c>
      <c r="T28" s="74">
        <f>SUMIFS(разходи!$L:$L,разходи!$E:$E,'ПП Януари'!$C$28,разходи!$M:$M,'ПП Януари'!T2)</f>
        <v>0</v>
      </c>
      <c r="U28" s="74">
        <f>SUMIFS(разходи!$L:$L,разходи!$E:$E,'ПП Януари'!$C$28,разходи!$M:$M,'ПП Януари'!U2)</f>
        <v>0</v>
      </c>
      <c r="V28" s="74">
        <f>SUMIFS(разходи!$L:$L,разходи!$E:$E,'ПП Януари'!$C$28,разходи!$M:$M,'ПП Януари'!V2)</f>
        <v>0</v>
      </c>
      <c r="W28" s="74">
        <f>SUMIFS(разходи!$L:$L,разходи!$E:$E,'ПП Януари'!$C$28,разходи!$M:$M,'ПП Януари'!W2)</f>
        <v>0</v>
      </c>
      <c r="X28" s="76">
        <f>SUMIFS(разходи!$L:$L,разходи!$E:$E,'ПП Януари'!$C$28,разходи!$M:$M,'ПП Януари'!X2)</f>
        <v>0</v>
      </c>
      <c r="Y28" s="76">
        <f>SUMIFS(разходи!$L:$L,разходи!$E:$E,'ПП Януари'!$C$28,разходи!$M:$M,'ПП Януари'!Y2)</f>
        <v>0</v>
      </c>
      <c r="Z28" s="74">
        <f>SUMIFS(разходи!$L:$L,разходи!$E:$E,'ПП Януари'!$C$28,разходи!$M:$M,'ПП Януари'!Z2)</f>
        <v>0</v>
      </c>
      <c r="AA28" s="74">
        <f>SUMIFS(разходи!$L:$L,разходи!$E:$E,'ПП Януари'!$C$28,разходи!$M:$M,'ПП Януари'!AA2)</f>
        <v>0</v>
      </c>
      <c r="AB28" s="74">
        <f>SUMIFS(разходи!$L:$L,разходи!$E:$E,'ПП Януари'!$C$28,разходи!$M:$M,'ПП Януари'!AB2)</f>
        <v>0</v>
      </c>
      <c r="AC28" s="74">
        <f>SUMIFS(разходи!$L:$L,разходи!$E:$E,'ПП Януари'!$C$28,разходи!$M:$M,'ПП Януари'!AC2)</f>
        <v>0</v>
      </c>
      <c r="AD28" s="74">
        <f>SUMIFS(разходи!$L:$L,разходи!$E:$E,'ПП Януари'!$C$28,разходи!$M:$M,'ПП Януари'!AD2)</f>
        <v>0</v>
      </c>
      <c r="AE28" s="76">
        <f>SUMIFS(разходи!$L:$L,разходи!$E:$E,'ПП Януари'!$C$28,разходи!$M:$M,'ПП Януари'!AE2)</f>
        <v>0</v>
      </c>
      <c r="AF28" s="76">
        <f>SUMIFS(разходи!$L:$L,разходи!$E:$E,'ПП Януари'!$C$28,разходи!$M:$M,'ПП Януари'!AF2)</f>
        <v>0</v>
      </c>
      <c r="AG28" s="74">
        <f>SUMIFS(разходи!$L:$L,разходи!$E:$E,'ПП Януари'!$C$28,разходи!$M:$M,'ПП Януари'!AG2)</f>
        <v>0</v>
      </c>
      <c r="AH28" s="74">
        <f>SUMIFS(разходи!$L:$L,разходи!$E:$E,'ПП Януари'!$C$28,разходи!$M:$M,'ПП Януари'!AH2)</f>
        <v>0</v>
      </c>
      <c r="AI28" s="74">
        <f>SUMIFS(разходи!$L:$L,разходи!$E:$E,'ПП Януари'!$C$28,разходи!$M:$M,'ПП Януари'!AI2)</f>
        <v>0</v>
      </c>
      <c r="AJ28" s="61">
        <f t="shared" si="2"/>
        <v>0</v>
      </c>
      <c r="AK28" s="69">
        <f t="shared" si="12"/>
        <v>0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5">SUM(D30:D35)</f>
        <v>0</v>
      </c>
      <c r="E29" s="74">
        <f t="shared" ref="E29:AI29" si="16">SUM(E30:E35)</f>
        <v>0</v>
      </c>
      <c r="F29" s="74">
        <f t="shared" si="16"/>
        <v>0</v>
      </c>
      <c r="G29" s="74">
        <f t="shared" si="16"/>
        <v>0</v>
      </c>
      <c r="H29" s="74">
        <f t="shared" si="16"/>
        <v>0</v>
      </c>
      <c r="I29" s="74">
        <f t="shared" si="16"/>
        <v>0</v>
      </c>
      <c r="J29" s="76">
        <f t="shared" si="16"/>
        <v>0</v>
      </c>
      <c r="K29" s="76">
        <f t="shared" si="16"/>
        <v>0</v>
      </c>
      <c r="L29" s="74">
        <f t="shared" si="16"/>
        <v>0</v>
      </c>
      <c r="M29" s="74">
        <f t="shared" si="16"/>
        <v>0</v>
      </c>
      <c r="N29" s="74">
        <f t="shared" si="16"/>
        <v>0</v>
      </c>
      <c r="O29" s="74">
        <f t="shared" si="16"/>
        <v>0</v>
      </c>
      <c r="P29" s="74">
        <f t="shared" si="16"/>
        <v>0</v>
      </c>
      <c r="Q29" s="76">
        <f t="shared" si="16"/>
        <v>0</v>
      </c>
      <c r="R29" s="76">
        <f t="shared" si="16"/>
        <v>0</v>
      </c>
      <c r="S29" s="74">
        <f t="shared" si="16"/>
        <v>0</v>
      </c>
      <c r="T29" s="74">
        <f t="shared" si="16"/>
        <v>0</v>
      </c>
      <c r="U29" s="74">
        <f t="shared" si="16"/>
        <v>0</v>
      </c>
      <c r="V29" s="74">
        <f t="shared" si="16"/>
        <v>0</v>
      </c>
      <c r="W29" s="74">
        <f t="shared" si="16"/>
        <v>0</v>
      </c>
      <c r="X29" s="76">
        <f t="shared" si="16"/>
        <v>0</v>
      </c>
      <c r="Y29" s="76">
        <f t="shared" si="16"/>
        <v>0</v>
      </c>
      <c r="Z29" s="74">
        <f t="shared" si="16"/>
        <v>0</v>
      </c>
      <c r="AA29" s="74">
        <f t="shared" si="16"/>
        <v>0</v>
      </c>
      <c r="AB29" s="74">
        <f t="shared" si="16"/>
        <v>0</v>
      </c>
      <c r="AC29" s="74">
        <f t="shared" si="16"/>
        <v>0</v>
      </c>
      <c r="AD29" s="74">
        <f t="shared" si="16"/>
        <v>0</v>
      </c>
      <c r="AE29" s="76">
        <f t="shared" si="16"/>
        <v>0</v>
      </c>
      <c r="AF29" s="76">
        <f t="shared" si="16"/>
        <v>0</v>
      </c>
      <c r="AG29" s="74">
        <f t="shared" si="16"/>
        <v>0</v>
      </c>
      <c r="AH29" s="74">
        <f t="shared" si="16"/>
        <v>0</v>
      </c>
      <c r="AI29" s="74">
        <f t="shared" si="16"/>
        <v>0</v>
      </c>
      <c r="AJ29" s="61">
        <f t="shared" si="2"/>
        <v>0</v>
      </c>
      <c r="AK29" s="62">
        <f t="shared" si="12"/>
        <v>0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/>
      <c r="E30" s="74">
        <f>SUMIFS(разходи!$L:$L,разходи!$E:$E,'ПП Януари'!$C$30,разходи!$M:$M,'ПП Януари'!E2)</f>
        <v>0</v>
      </c>
      <c r="F30" s="74">
        <f>SUMIFS(разходи!$L:$L,разходи!$E:$E,'ПП Януари'!$C$30,разходи!$M:$M,'ПП Януари'!F2)</f>
        <v>0</v>
      </c>
      <c r="G30" s="74">
        <f>SUMIFS(разходи!$L:$L,разходи!$E:$E,'ПП Януари'!$C$30,разходи!$M:$M,'ПП Януари'!G2)</f>
        <v>0</v>
      </c>
      <c r="H30" s="74">
        <f>SUMIFS(разходи!$L:$L,разходи!$E:$E,'ПП Януари'!$C$30,разходи!$M:$M,'ПП Януари'!H2)</f>
        <v>0</v>
      </c>
      <c r="I30" s="74">
        <f>SUMIFS(разходи!$L:$L,разходи!$E:$E,'ПП Януари'!$C$30,разходи!$M:$M,'ПП Януари'!I2)</f>
        <v>0</v>
      </c>
      <c r="J30" s="76">
        <f>SUMIFS(разходи!$L:$L,разходи!$E:$E,'ПП Януари'!$C$30,разходи!$M:$M,'ПП Януари'!J2)</f>
        <v>0</v>
      </c>
      <c r="K30" s="76">
        <f>SUMIFS(разходи!$L:$L,разходи!$E:$E,'ПП Януари'!$C$30,разходи!$M:$M,'ПП Януари'!K2)</f>
        <v>0</v>
      </c>
      <c r="L30" s="74">
        <f>SUMIFS(разходи!$L:$L,разходи!$E:$E,'ПП Януари'!$C$30,разходи!$M:$M,'ПП Януари'!L2)</f>
        <v>0</v>
      </c>
      <c r="M30" s="74">
        <f>SUMIFS(разходи!$L:$L,разходи!$E:$E,'ПП Януари'!$C$30,разходи!$M:$M,'ПП Януари'!M2)</f>
        <v>0</v>
      </c>
      <c r="N30" s="74">
        <f>SUMIFS(разходи!$L:$L,разходи!$E:$E,'ПП Януари'!$C$30,разходи!$M:$M,'ПП Януари'!N2)</f>
        <v>0</v>
      </c>
      <c r="O30" s="74">
        <f>SUMIFS(разходи!$L:$L,разходи!$E:$E,'ПП Януари'!$C$30,разходи!$M:$M,'ПП Януари'!O2)</f>
        <v>0</v>
      </c>
      <c r="P30" s="74">
        <f>SUMIFS(разходи!$L:$L,разходи!$E:$E,'ПП Януари'!$C$30,разходи!$M:$M,'ПП Януари'!P2)</f>
        <v>0</v>
      </c>
      <c r="Q30" s="76">
        <f>SUMIFS(разходи!$L:$L,разходи!$E:$E,'ПП Януари'!$C$30,разходи!$M:$M,'ПП Януари'!Q2)</f>
        <v>0</v>
      </c>
      <c r="R30" s="76">
        <f>SUMIFS(разходи!$L:$L,разходи!$E:$E,'ПП Януари'!$C$30,разходи!$M:$M,'ПП Януари'!R2)</f>
        <v>0</v>
      </c>
      <c r="S30" s="74">
        <f>SUMIFS(разходи!$L:$L,разходи!$E:$E,'ПП Януари'!$C$30,разходи!$M:$M,'ПП Януари'!S2)</f>
        <v>0</v>
      </c>
      <c r="T30" s="74">
        <f>SUMIFS(разходи!$L:$L,разходи!$E:$E,'ПП Януари'!$C$30,разходи!$M:$M,'ПП Януари'!T2)</f>
        <v>0</v>
      </c>
      <c r="U30" s="74">
        <f>SUMIFS(разходи!$L:$L,разходи!$E:$E,'ПП Януари'!$C$30,разходи!$M:$M,'ПП Януари'!U2)</f>
        <v>0</v>
      </c>
      <c r="V30" s="74">
        <f>SUMIFS(разходи!$L:$L,разходи!$E:$E,'ПП Януари'!$C$30,разходи!$M:$M,'ПП Януари'!V2)</f>
        <v>0</v>
      </c>
      <c r="W30" s="74">
        <f>SUMIFS(разходи!$L:$L,разходи!$E:$E,'ПП Януари'!$C$30,разходи!$M:$M,'ПП Януари'!W2)</f>
        <v>0</v>
      </c>
      <c r="X30" s="76">
        <f>SUMIFS(разходи!$L:$L,разходи!$E:$E,'ПП Януари'!$C$30,разходи!$M:$M,'ПП Януари'!X2)</f>
        <v>0</v>
      </c>
      <c r="Y30" s="76">
        <f>SUMIFS(разходи!$L:$L,разходи!$E:$E,'ПП Януари'!$C$30,разходи!$M:$M,'ПП Януари'!Y2)</f>
        <v>0</v>
      </c>
      <c r="Z30" s="74">
        <f>SUMIFS(разходи!$L:$L,разходи!$E:$E,'ПП Януари'!$C$30,разходи!$M:$M,'ПП Януари'!Z2)</f>
        <v>0</v>
      </c>
      <c r="AA30" s="74">
        <f>SUMIFS(разходи!$L:$L,разходи!$E:$E,'ПП Януари'!$C$30,разходи!$M:$M,'ПП Януари'!AA2)</f>
        <v>0</v>
      </c>
      <c r="AB30" s="74">
        <f>SUMIFS(разходи!$L:$L,разходи!$E:$E,'ПП Януари'!$C$30,разходи!$M:$M,'ПП Януари'!AB2)</f>
        <v>0</v>
      </c>
      <c r="AC30" s="74">
        <f>SUMIFS(разходи!$L:$L,разходи!$E:$E,'ПП Януари'!$C$30,разходи!$M:$M,'ПП Януари'!AC2)</f>
        <v>0</v>
      </c>
      <c r="AD30" s="74">
        <f>SUMIFS(разходи!$L:$L,разходи!$E:$E,'ПП Януари'!$C$30,разходи!$M:$M,'ПП Януари'!AD2)</f>
        <v>0</v>
      </c>
      <c r="AE30" s="76">
        <f>SUMIFS(разходи!$L:$L,разходи!$E:$E,'ПП Януари'!$C$30,разходи!$M:$M,'ПП Януари'!AE2)</f>
        <v>0</v>
      </c>
      <c r="AF30" s="76">
        <f>SUMIFS(разходи!$L:$L,разходи!$E:$E,'ПП Януари'!$C$30,разходи!$M:$M,'ПП Януари'!AF2)</f>
        <v>0</v>
      </c>
      <c r="AG30" s="74">
        <f>SUMIFS(разходи!$L:$L,разходи!$E:$E,'ПП Януари'!$C$30,разходи!$M:$M,'ПП Януари'!AG2)</f>
        <v>0</v>
      </c>
      <c r="AH30" s="74">
        <f>SUMIFS(разходи!$L:$L,разходи!$E:$E,'ПП Януари'!$C$30,разходи!$M:$M,'ПП Януари'!AH2)</f>
        <v>0</v>
      </c>
      <c r="AI30" s="74">
        <f>SUMIFS(разходи!$L:$L,разходи!$E:$E,'ПП Януари'!$C$30,разходи!$M:$M,'ПП Януари'!AI2)</f>
        <v>0</v>
      </c>
      <c r="AJ30" s="61">
        <f t="shared" si="2"/>
        <v>0</v>
      </c>
      <c r="AK30" s="69">
        <f t="shared" si="12"/>
        <v>0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4">
        <f>SUMIFS(разходи!$L:$L,разходи!$E:$E,'ПП Януари'!$C$31,разходи!$M:$M,'ПП Януари'!E2)</f>
        <v>0</v>
      </c>
      <c r="F31" s="74">
        <f>SUMIFS(разходи!$L:$L,разходи!$E:$E,'ПП Януари'!$C$31,разходи!$M:$M,'ПП Януари'!F2)</f>
        <v>0</v>
      </c>
      <c r="G31" s="74">
        <f>SUMIFS(разходи!$L:$L,разходи!$E:$E,'ПП Януари'!$C$31,разходи!$M:$M,'ПП Януари'!G2)</f>
        <v>0</v>
      </c>
      <c r="H31" s="74">
        <f>SUMIFS(разходи!$L:$L,разходи!$E:$E,'ПП Януари'!$C$31,разходи!$M:$M,'ПП Януари'!H2)</f>
        <v>0</v>
      </c>
      <c r="I31" s="74">
        <f>SUMIFS(разходи!$L:$L,разходи!$E:$E,'ПП Януари'!$C$31,разходи!$M:$M,'ПП Януари'!I2)</f>
        <v>0</v>
      </c>
      <c r="J31" s="76">
        <f>SUMIFS(разходи!$L:$L,разходи!$E:$E,'ПП Януари'!$C$31,разходи!$M:$M,'ПП Януари'!J2)</f>
        <v>0</v>
      </c>
      <c r="K31" s="76">
        <f>SUMIFS(разходи!$L:$L,разходи!$E:$E,'ПП Януари'!$C$31,разходи!$M:$M,'ПП Януари'!K2)</f>
        <v>0</v>
      </c>
      <c r="L31" s="74">
        <f>SUMIFS(разходи!$L:$L,разходи!$E:$E,'ПП Януари'!$C$31,разходи!$M:$M,'ПП Януари'!L2)</f>
        <v>0</v>
      </c>
      <c r="M31" s="74">
        <f>SUMIFS(разходи!$L:$L,разходи!$E:$E,'ПП Януари'!$C$31,разходи!$M:$M,'ПП Януари'!M2)</f>
        <v>0</v>
      </c>
      <c r="N31" s="74">
        <f>SUMIFS(разходи!$L:$L,разходи!$E:$E,'ПП Януари'!$C$31,разходи!$M:$M,'ПП Януари'!N2)</f>
        <v>0</v>
      </c>
      <c r="O31" s="74">
        <f>SUMIFS(разходи!$L:$L,разходи!$E:$E,'ПП Януари'!$C$31,разходи!$M:$M,'ПП Януари'!O2)</f>
        <v>0</v>
      </c>
      <c r="P31" s="74">
        <f>SUMIFS(разходи!$L:$L,разходи!$E:$E,'ПП Януари'!$C$31,разходи!$M:$M,'ПП Януари'!P2)</f>
        <v>0</v>
      </c>
      <c r="Q31" s="76">
        <f>SUMIFS(разходи!$L:$L,разходи!$E:$E,'ПП Януари'!$C$31,разходи!$M:$M,'ПП Януари'!Q2)</f>
        <v>0</v>
      </c>
      <c r="R31" s="76">
        <f>SUMIFS(разходи!$L:$L,разходи!$E:$E,'ПП Януари'!$C$31,разходи!$M:$M,'ПП Януари'!R2)</f>
        <v>0</v>
      </c>
      <c r="S31" s="74">
        <f>SUMIFS(разходи!$L:$L,разходи!$E:$E,'ПП Януари'!$C$31,разходи!$M:$M,'ПП Януари'!S2)</f>
        <v>0</v>
      </c>
      <c r="T31" s="74">
        <f>SUMIFS(разходи!$L:$L,разходи!$E:$E,'ПП Януари'!$C$31,разходи!$M:$M,'ПП Януари'!T2)</f>
        <v>0</v>
      </c>
      <c r="U31" s="74">
        <f>SUMIFS(разходи!$L:$L,разходи!$E:$E,'ПП Януари'!$C$31,разходи!$M:$M,'ПП Януари'!U2)</f>
        <v>0</v>
      </c>
      <c r="V31" s="74">
        <f>SUMIFS(разходи!$L:$L,разходи!$E:$E,'ПП Януари'!$C$31,разходи!$M:$M,'ПП Януари'!V2)</f>
        <v>0</v>
      </c>
      <c r="W31" s="74">
        <f>SUMIFS(разходи!$L:$L,разходи!$E:$E,'ПП Януари'!$C$31,разходи!$M:$M,'ПП Януари'!W2)</f>
        <v>0</v>
      </c>
      <c r="X31" s="76">
        <f>SUMIFS(разходи!$L:$L,разходи!$E:$E,'ПП Януари'!$C$31,разходи!$M:$M,'ПП Януари'!X2)</f>
        <v>0</v>
      </c>
      <c r="Y31" s="76">
        <f>SUMIFS(разходи!$L:$L,разходи!$E:$E,'ПП Януари'!$C$31,разходи!$M:$M,'ПП Януари'!Y2)</f>
        <v>0</v>
      </c>
      <c r="Z31" s="74">
        <f>SUMIFS(разходи!$L:$L,разходи!$E:$E,'ПП Януари'!$C$31,разходи!$M:$M,'ПП Януари'!Z2)</f>
        <v>0</v>
      </c>
      <c r="AA31" s="74">
        <f>SUMIFS(разходи!$L:$L,разходи!$E:$E,'ПП Януари'!$C$31,разходи!$M:$M,'ПП Януари'!AA2)</f>
        <v>0</v>
      </c>
      <c r="AB31" s="74">
        <f>SUMIFS(разходи!$L:$L,разходи!$E:$E,'ПП Януари'!$C$31,разходи!$M:$M,'ПП Януари'!AB2)</f>
        <v>0</v>
      </c>
      <c r="AC31" s="74">
        <f>SUMIFS(разходи!$L:$L,разходи!$E:$E,'ПП Януари'!$C$31,разходи!$M:$M,'ПП Януари'!AC2)</f>
        <v>0</v>
      </c>
      <c r="AD31" s="74">
        <f>SUMIFS(разходи!$L:$L,разходи!$E:$E,'ПП Януари'!$C$31,разходи!$M:$M,'ПП Януари'!AD2)</f>
        <v>0</v>
      </c>
      <c r="AE31" s="76">
        <f>SUMIFS(разходи!$L:$L,разходи!$E:$E,'ПП Януари'!$C$31,разходи!$M:$M,'ПП Януари'!AE2)</f>
        <v>0</v>
      </c>
      <c r="AF31" s="76">
        <f>SUMIFS(разходи!$L:$L,разходи!$E:$E,'ПП Януари'!$C$31,разходи!$M:$M,'ПП Януари'!AF2)</f>
        <v>0</v>
      </c>
      <c r="AG31" s="74">
        <f>SUMIFS(разходи!$L:$L,разходи!$E:$E,'ПП Януари'!$C$31,разходи!$M:$M,'ПП Януари'!AG2)</f>
        <v>0</v>
      </c>
      <c r="AH31" s="74">
        <f>SUMIFS(разходи!$L:$L,разходи!$E:$E,'ПП Януари'!$C$31,разходи!$M:$M,'ПП Януари'!AH2)</f>
        <v>0</v>
      </c>
      <c r="AI31" s="74">
        <f>SUMIFS(разходи!$L:$L,разходи!$E:$E,'ПП Януари'!$C$31,разходи!$M:$M,'ПП Януари'!AI2)</f>
        <v>0</v>
      </c>
      <c r="AJ31" s="61">
        <f t="shared" si="2"/>
        <v>0</v>
      </c>
      <c r="AK31" s="69">
        <f t="shared" si="12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/>
      <c r="E32" s="74">
        <f>SUMIFS(разходи!$L:$L,разходи!$E:$E,'ПП Януари'!$C$32,разходи!$M:$M,'ПП Януари'!E2)</f>
        <v>0</v>
      </c>
      <c r="F32" s="74">
        <f>SUMIFS(разходи!$L:$L,разходи!$E:$E,'ПП Януари'!$C$32,разходи!$M:$M,'ПП Януари'!F2)</f>
        <v>0</v>
      </c>
      <c r="G32" s="74">
        <f>SUMIFS(разходи!$L:$L,разходи!$E:$E,'ПП Януари'!$C$32,разходи!$M:$M,'ПП Януари'!G2)</f>
        <v>0</v>
      </c>
      <c r="H32" s="74">
        <f>SUMIFS(разходи!$L:$L,разходи!$E:$E,'ПП Януари'!$C$32,разходи!$M:$M,'ПП Януари'!H2)</f>
        <v>0</v>
      </c>
      <c r="I32" s="74">
        <f>SUMIFS(разходи!$L:$L,разходи!$E:$E,'ПП Януари'!$C$32,разходи!$M:$M,'ПП Януари'!I2)</f>
        <v>0</v>
      </c>
      <c r="J32" s="76">
        <f>SUMIFS(разходи!$L:$L,разходи!$E:$E,'ПП Януари'!$C$32,разходи!$M:$M,'ПП Януари'!J2)</f>
        <v>0</v>
      </c>
      <c r="K32" s="76">
        <f>SUMIFS(разходи!$L:$L,разходи!$E:$E,'ПП Януари'!$C$32,разходи!$M:$M,'ПП Януари'!K2)</f>
        <v>0</v>
      </c>
      <c r="L32" s="74">
        <f>SUMIFS(разходи!$L:$L,разходи!$E:$E,'ПП Януари'!$C$32,разходи!$M:$M,'ПП Януари'!L2)</f>
        <v>0</v>
      </c>
      <c r="M32" s="74">
        <f>SUMIFS(разходи!$L:$L,разходи!$E:$E,'ПП Януари'!$C$32,разходи!$M:$M,'ПП Януари'!M2)</f>
        <v>0</v>
      </c>
      <c r="N32" s="74">
        <f>SUMIFS(разходи!$L:$L,разходи!$E:$E,'ПП Януари'!$C$32,разходи!$M:$M,'ПП Януари'!N2)</f>
        <v>0</v>
      </c>
      <c r="O32" s="74">
        <f>SUMIFS(разходи!$L:$L,разходи!$E:$E,'ПП Януари'!$C$32,разходи!$M:$M,'ПП Януари'!O2)</f>
        <v>0</v>
      </c>
      <c r="P32" s="74">
        <f>SUMIFS(разходи!$L:$L,разходи!$E:$E,'ПП Януари'!$C$32,разходи!$M:$M,'ПП Януари'!P2)</f>
        <v>0</v>
      </c>
      <c r="Q32" s="76">
        <f>SUMIFS(разходи!$L:$L,разходи!$E:$E,'ПП Януари'!$C$32,разходи!$M:$M,'ПП Януари'!Q2)</f>
        <v>0</v>
      </c>
      <c r="R32" s="76">
        <f>SUMIFS(разходи!$L:$L,разходи!$E:$E,'ПП Януари'!$C$32,разходи!$M:$M,'ПП Януари'!R2)</f>
        <v>0</v>
      </c>
      <c r="S32" s="74">
        <f>SUMIFS(разходи!$L:$L,разходи!$E:$E,'ПП Януари'!$C$32,разходи!$M:$M,'ПП Януари'!S2)</f>
        <v>0</v>
      </c>
      <c r="T32" s="74">
        <f>SUMIFS(разходи!$L:$L,разходи!$E:$E,'ПП Януари'!$C$32,разходи!$M:$M,'ПП Януари'!T2)</f>
        <v>0</v>
      </c>
      <c r="U32" s="74">
        <f>SUMIFS(разходи!$L:$L,разходи!$E:$E,'ПП Януари'!$C$32,разходи!$M:$M,'ПП Януари'!U2)</f>
        <v>0</v>
      </c>
      <c r="V32" s="74">
        <f>SUMIFS(разходи!$L:$L,разходи!$E:$E,'ПП Януари'!$C$32,разходи!$M:$M,'ПП Януари'!V2)</f>
        <v>0</v>
      </c>
      <c r="W32" s="74">
        <f>SUMIFS(разходи!$L:$L,разходи!$E:$E,'ПП Януари'!$C$32,разходи!$M:$M,'ПП Януари'!W2)</f>
        <v>0</v>
      </c>
      <c r="X32" s="76">
        <f>SUMIFS(разходи!$L:$L,разходи!$E:$E,'ПП Януари'!$C$32,разходи!$M:$M,'ПП Януари'!X2)</f>
        <v>0</v>
      </c>
      <c r="Y32" s="76">
        <f>SUMIFS(разходи!$L:$L,разходи!$E:$E,'ПП Януари'!$C$32,разходи!$M:$M,'ПП Януари'!Y2)</f>
        <v>0</v>
      </c>
      <c r="Z32" s="74">
        <f>SUMIFS(разходи!$L:$L,разходи!$E:$E,'ПП Януари'!$C$32,разходи!$M:$M,'ПП Януари'!Z2)</f>
        <v>0</v>
      </c>
      <c r="AA32" s="74">
        <f>SUMIFS(разходи!$L:$L,разходи!$E:$E,'ПП Януари'!$C$32,разходи!$M:$M,'ПП Януари'!AA2)</f>
        <v>0</v>
      </c>
      <c r="AB32" s="74">
        <f>SUMIFS(разходи!$L:$L,разходи!$E:$E,'ПП Януари'!$C$32,разходи!$M:$M,'ПП Януари'!AB2)</f>
        <v>0</v>
      </c>
      <c r="AC32" s="74">
        <f>SUMIFS(разходи!$L:$L,разходи!$E:$E,'ПП Януари'!$C$32,разходи!$M:$M,'ПП Януари'!AC2)</f>
        <v>0</v>
      </c>
      <c r="AD32" s="74">
        <f>SUMIFS(разходи!$L:$L,разходи!$E:$E,'ПП Януари'!$C$32,разходи!$M:$M,'ПП Януари'!AD2)</f>
        <v>0</v>
      </c>
      <c r="AE32" s="76">
        <f>SUMIFS(разходи!$L:$L,разходи!$E:$E,'ПП Януари'!$C$32,разходи!$M:$M,'ПП Януари'!AE2)</f>
        <v>0</v>
      </c>
      <c r="AF32" s="76">
        <f>SUMIFS(разходи!$L:$L,разходи!$E:$E,'ПП Януари'!$C$32,разходи!$M:$M,'ПП Януари'!AF2)</f>
        <v>0</v>
      </c>
      <c r="AG32" s="74">
        <f>SUMIFS(разходи!$L:$L,разходи!$E:$E,'ПП Януари'!$C$32,разходи!$M:$M,'ПП Януари'!AG2)</f>
        <v>0</v>
      </c>
      <c r="AH32" s="74">
        <f>SUMIFS(разходи!$L:$L,разходи!$E:$E,'ПП Януари'!$C$32,разходи!$M:$M,'ПП Януари'!AH2)</f>
        <v>0</v>
      </c>
      <c r="AI32" s="74">
        <f>SUMIFS(разходи!$L:$L,разходи!$E:$E,'ПП Януари'!$C$32,разходи!$M:$M,'ПП Януари'!AI2)</f>
        <v>0</v>
      </c>
      <c r="AJ32" s="61">
        <f t="shared" si="2"/>
        <v>0</v>
      </c>
      <c r="AK32" s="69">
        <f t="shared" si="12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/>
      <c r="E33" s="74">
        <f>SUMIFS(разходи!$L:$L,разходи!$E:$E,'ПП Януари'!$C$33,разходи!$M:$M,'ПП Януари'!E2)</f>
        <v>0</v>
      </c>
      <c r="F33" s="74">
        <f>SUMIFS(разходи!$L:$L,разходи!$E:$E,'ПП Януари'!$C$33,разходи!$M:$M,'ПП Януари'!F2)</f>
        <v>0</v>
      </c>
      <c r="G33" s="74">
        <f>SUMIFS(разходи!$L:$L,разходи!$E:$E,'ПП Януари'!$C$33,разходи!$M:$M,'ПП Януари'!G2)</f>
        <v>0</v>
      </c>
      <c r="H33" s="74">
        <f>SUMIFS(разходи!$L:$L,разходи!$E:$E,'ПП Януари'!$C$33,разходи!$M:$M,'ПП Януари'!H2)</f>
        <v>0</v>
      </c>
      <c r="I33" s="74">
        <f>SUMIFS(разходи!$L:$L,разходи!$E:$E,'ПП Януари'!$C$33,разходи!$M:$M,'ПП Януари'!I2)</f>
        <v>0</v>
      </c>
      <c r="J33" s="76">
        <f>SUMIFS(разходи!$L:$L,разходи!$E:$E,'ПП Януари'!$C$33,разходи!$M:$M,'ПП Януари'!J2)</f>
        <v>0</v>
      </c>
      <c r="K33" s="76">
        <f>SUMIFS(разходи!$L:$L,разходи!$E:$E,'ПП Януари'!$C$33,разходи!$M:$M,'ПП Януари'!K2)</f>
        <v>0</v>
      </c>
      <c r="L33" s="74">
        <f>SUMIFS(разходи!$L:$L,разходи!$E:$E,'ПП Януари'!$C$33,разходи!$M:$M,'ПП Януари'!L2)</f>
        <v>0</v>
      </c>
      <c r="M33" s="74">
        <f>SUMIFS(разходи!$L:$L,разходи!$E:$E,'ПП Януари'!$C$33,разходи!$M:$M,'ПП Януари'!M2)</f>
        <v>0</v>
      </c>
      <c r="N33" s="74">
        <f>SUMIFS(разходи!$L:$L,разходи!$E:$E,'ПП Януари'!$C$33,разходи!$M:$M,'ПП Януари'!N2)</f>
        <v>0</v>
      </c>
      <c r="O33" s="74">
        <f>SUMIFS(разходи!$L:$L,разходи!$E:$E,'ПП Януари'!$C$33,разходи!$M:$M,'ПП Януари'!O2)</f>
        <v>0</v>
      </c>
      <c r="P33" s="74">
        <f>SUMIFS(разходи!$L:$L,разходи!$E:$E,'ПП Януари'!$C$33,разходи!$M:$M,'ПП Януари'!P2)</f>
        <v>0</v>
      </c>
      <c r="Q33" s="76">
        <f>SUMIFS(разходи!$L:$L,разходи!$E:$E,'ПП Януари'!$C$33,разходи!$M:$M,'ПП Януари'!Q2)</f>
        <v>0</v>
      </c>
      <c r="R33" s="76">
        <f>SUMIFS(разходи!$L:$L,разходи!$E:$E,'ПП Януари'!$C$33,разходи!$M:$M,'ПП Януари'!R2)</f>
        <v>0</v>
      </c>
      <c r="S33" s="74">
        <f>SUMIFS(разходи!$L:$L,разходи!$E:$E,'ПП Януари'!$C$33,разходи!$M:$M,'ПП Януари'!S2)</f>
        <v>0</v>
      </c>
      <c r="T33" s="74">
        <f>SUMIFS(разходи!$L:$L,разходи!$E:$E,'ПП Януари'!$C$33,разходи!$M:$M,'ПП Януари'!T2)</f>
        <v>0</v>
      </c>
      <c r="U33" s="74">
        <f>SUMIFS(разходи!$L:$L,разходи!$E:$E,'ПП Януари'!$C$33,разходи!$M:$M,'ПП Януари'!U2)</f>
        <v>0</v>
      </c>
      <c r="V33" s="74">
        <f>SUMIFS(разходи!$L:$L,разходи!$E:$E,'ПП Януари'!$C$33,разходи!$M:$M,'ПП Януари'!V2)</f>
        <v>0</v>
      </c>
      <c r="W33" s="74">
        <f>SUMIFS(разходи!$L:$L,разходи!$E:$E,'ПП Януари'!$C$33,разходи!$M:$M,'ПП Януари'!W2)</f>
        <v>0</v>
      </c>
      <c r="X33" s="76">
        <f>SUMIFS(разходи!$L:$L,разходи!$E:$E,'ПП Януари'!$C$33,разходи!$M:$M,'ПП Януари'!X2)</f>
        <v>0</v>
      </c>
      <c r="Y33" s="76">
        <f>SUMIFS(разходи!$L:$L,разходи!$E:$E,'ПП Януари'!$C$33,разходи!$M:$M,'ПП Януари'!Y2)</f>
        <v>0</v>
      </c>
      <c r="Z33" s="74">
        <f>SUMIFS(разходи!$L:$L,разходи!$E:$E,'ПП Януари'!$C$33,разходи!$M:$M,'ПП Януари'!Z2)</f>
        <v>0</v>
      </c>
      <c r="AA33" s="74">
        <f>SUMIFS(разходи!$L:$L,разходи!$E:$E,'ПП Януари'!$C$33,разходи!$M:$M,'ПП Януари'!AA2)</f>
        <v>0</v>
      </c>
      <c r="AB33" s="74">
        <f>SUMIFS(разходи!$L:$L,разходи!$E:$E,'ПП Януари'!$C$33,разходи!$M:$M,'ПП Януари'!AB2)</f>
        <v>0</v>
      </c>
      <c r="AC33" s="74">
        <f>SUMIFS(разходи!$L:$L,разходи!$E:$E,'ПП Януари'!$C$33,разходи!$M:$M,'ПП Януари'!AC2)</f>
        <v>0</v>
      </c>
      <c r="AD33" s="74">
        <f>SUMIFS(разходи!$L:$L,разходи!$E:$E,'ПП Януари'!$C$33,разходи!$M:$M,'ПП Януари'!AD2)</f>
        <v>0</v>
      </c>
      <c r="AE33" s="76">
        <f>SUMIFS(разходи!$L:$L,разходи!$E:$E,'ПП Януари'!$C$33,разходи!$M:$M,'ПП Януари'!AE2)</f>
        <v>0</v>
      </c>
      <c r="AF33" s="76">
        <f>SUMIFS(разходи!$L:$L,разходи!$E:$E,'ПП Януари'!$C$33,разходи!$M:$M,'ПП Януари'!AF2)</f>
        <v>0</v>
      </c>
      <c r="AG33" s="74">
        <f>SUMIFS(разходи!$L:$L,разходи!$E:$E,'ПП Януари'!$C$33,разходи!$M:$M,'ПП Януари'!AG2)</f>
        <v>0</v>
      </c>
      <c r="AH33" s="74">
        <f>SUMIFS(разходи!$L:$L,разходи!$E:$E,'ПП Януари'!$C$33,разходи!$M:$M,'ПП Януари'!AH2)</f>
        <v>0</v>
      </c>
      <c r="AI33" s="74">
        <f>SUMIFS(разходи!$L:$L,разходи!$E:$E,'ПП Януари'!$C$33,разходи!$M:$M,'ПП Януари'!AI2)</f>
        <v>0</v>
      </c>
      <c r="AJ33" s="61">
        <f t="shared" si="2"/>
        <v>0</v>
      </c>
      <c r="AK33" s="69">
        <f t="shared" si="12"/>
        <v>0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4">
        <f>SUMIFS(разходи!$L:$L,разходи!$E:$E,'ПП Януари'!$C$34,разходи!$M:$M,'ПП Януари'!E2)</f>
        <v>0</v>
      </c>
      <c r="F34" s="74">
        <f>SUMIFS(разходи!$L:$L,разходи!$E:$E,'ПП Януари'!$C$34,разходи!$M:$M,'ПП Януари'!F2)</f>
        <v>0</v>
      </c>
      <c r="G34" s="74">
        <f>SUMIFS(разходи!$L:$L,разходи!$E:$E,'ПП Януари'!$C$34,разходи!$M:$M,'ПП Януари'!G2)</f>
        <v>0</v>
      </c>
      <c r="H34" s="74">
        <f>SUMIFS(разходи!$L:$L,разходи!$E:$E,'ПП Януари'!$C$34,разходи!$M:$M,'ПП Януари'!H2)</f>
        <v>0</v>
      </c>
      <c r="I34" s="74">
        <f>SUMIFS(разходи!$L:$L,разходи!$E:$E,'ПП Януари'!$C$34,разходи!$M:$M,'ПП Януари'!I2)</f>
        <v>0</v>
      </c>
      <c r="J34" s="76">
        <f>SUMIFS(разходи!$L:$L,разходи!$E:$E,'ПП Януари'!$C$34,разходи!$M:$M,'ПП Януари'!J2)</f>
        <v>0</v>
      </c>
      <c r="K34" s="76">
        <f>SUMIFS(разходи!$L:$L,разходи!$E:$E,'ПП Януари'!$C$34,разходи!$M:$M,'ПП Януари'!K2)</f>
        <v>0</v>
      </c>
      <c r="L34" s="74">
        <f>SUMIFS(разходи!$L:$L,разходи!$E:$E,'ПП Януари'!$C$34,разходи!$M:$M,'ПП Януари'!L2)</f>
        <v>0</v>
      </c>
      <c r="M34" s="74">
        <f>SUMIFS(разходи!$L:$L,разходи!$E:$E,'ПП Януари'!$C$34,разходи!$M:$M,'ПП Януари'!M2)</f>
        <v>0</v>
      </c>
      <c r="N34" s="74">
        <f>SUMIFS(разходи!$L:$L,разходи!$E:$E,'ПП Януари'!$C$34,разходи!$M:$M,'ПП Януари'!N2)</f>
        <v>0</v>
      </c>
      <c r="O34" s="74">
        <f>SUMIFS(разходи!$L:$L,разходи!$E:$E,'ПП Януари'!$C$34,разходи!$M:$M,'ПП Януари'!O2)</f>
        <v>0</v>
      </c>
      <c r="P34" s="74">
        <f>SUMIFS(разходи!$L:$L,разходи!$E:$E,'ПП Януари'!$C$34,разходи!$M:$M,'ПП Януари'!P2)</f>
        <v>0</v>
      </c>
      <c r="Q34" s="76">
        <f>SUMIFS(разходи!$L:$L,разходи!$E:$E,'ПП Януари'!$C$34,разходи!$M:$M,'ПП Януари'!Q2)</f>
        <v>0</v>
      </c>
      <c r="R34" s="76">
        <f>SUMIFS(разходи!$L:$L,разходи!$E:$E,'ПП Януари'!$C$34,разходи!$M:$M,'ПП Януари'!R2)</f>
        <v>0</v>
      </c>
      <c r="S34" s="74">
        <f>SUMIFS(разходи!$L:$L,разходи!$E:$E,'ПП Януари'!$C$34,разходи!$M:$M,'ПП Януари'!S2)</f>
        <v>0</v>
      </c>
      <c r="T34" s="74">
        <f>SUMIFS(разходи!$L:$L,разходи!$E:$E,'ПП Януари'!$C$34,разходи!$M:$M,'ПП Януари'!T2)</f>
        <v>0</v>
      </c>
      <c r="U34" s="74">
        <f>SUMIFS(разходи!$L:$L,разходи!$E:$E,'ПП Януари'!$C$34,разходи!$M:$M,'ПП Януари'!U2)</f>
        <v>0</v>
      </c>
      <c r="V34" s="74">
        <f>SUMIFS(разходи!$L:$L,разходи!$E:$E,'ПП Януари'!$C$34,разходи!$M:$M,'ПП Януари'!V2)</f>
        <v>0</v>
      </c>
      <c r="W34" s="74">
        <f>SUMIFS(разходи!$L:$L,разходи!$E:$E,'ПП Януари'!$C$34,разходи!$M:$M,'ПП Януари'!W2)</f>
        <v>0</v>
      </c>
      <c r="X34" s="76">
        <f>SUMIFS(разходи!$L:$L,разходи!$E:$E,'ПП Януари'!$C$34,разходи!$M:$M,'ПП Януари'!X2)</f>
        <v>0</v>
      </c>
      <c r="Y34" s="76">
        <f>SUMIFS(разходи!$L:$L,разходи!$E:$E,'ПП Януари'!$C$34,разходи!$M:$M,'ПП Януари'!Y2)</f>
        <v>0</v>
      </c>
      <c r="Z34" s="74">
        <f>SUMIFS(разходи!$L:$L,разходи!$E:$E,'ПП Януари'!$C$34,разходи!$M:$M,'ПП Януари'!Z2)</f>
        <v>0</v>
      </c>
      <c r="AA34" s="74">
        <f>SUMIFS(разходи!$L:$L,разходи!$E:$E,'ПП Януари'!$C$34,разходи!$M:$M,'ПП Януари'!AA2)</f>
        <v>0</v>
      </c>
      <c r="AB34" s="74">
        <f>SUMIFS(разходи!$L:$L,разходи!$E:$E,'ПП Януари'!$C$34,разходи!$M:$M,'ПП Януари'!AB2)</f>
        <v>0</v>
      </c>
      <c r="AC34" s="74">
        <f>SUMIFS(разходи!$L:$L,разходи!$E:$E,'ПП Януари'!$C$34,разходи!$M:$M,'ПП Януари'!AC2)</f>
        <v>0</v>
      </c>
      <c r="AD34" s="74">
        <f>SUMIFS(разходи!$L:$L,разходи!$E:$E,'ПП Януари'!$C$34,разходи!$M:$M,'ПП Януари'!AD2)</f>
        <v>0</v>
      </c>
      <c r="AE34" s="76">
        <f>SUMIFS(разходи!$L:$L,разходи!$E:$E,'ПП Януари'!$C$34,разходи!$M:$M,'ПП Януари'!AE2)</f>
        <v>0</v>
      </c>
      <c r="AF34" s="76">
        <f>SUMIFS(разходи!$L:$L,разходи!$E:$E,'ПП Януари'!$C$34,разходи!$M:$M,'ПП Януари'!AF2)</f>
        <v>0</v>
      </c>
      <c r="AG34" s="74">
        <f>SUMIFS(разходи!$L:$L,разходи!$E:$E,'ПП Януари'!$C$34,разходи!$M:$M,'ПП Януари'!AG2)</f>
        <v>0</v>
      </c>
      <c r="AH34" s="74">
        <f>SUMIFS(разходи!$L:$L,разходи!$E:$E,'ПП Януари'!$C$34,разходи!$M:$M,'ПП Януари'!AH2)</f>
        <v>0</v>
      </c>
      <c r="AI34" s="74">
        <f>SUMIFS(разходи!$L:$L,разходи!$E:$E,'ПП Януари'!$C$34,разходи!$M:$M,'ПП Януари'!AI2)</f>
        <v>0</v>
      </c>
      <c r="AJ34" s="61">
        <f t="shared" si="2"/>
        <v>0</v>
      </c>
      <c r="AK34" s="69">
        <f t="shared" si="12"/>
        <v>0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4">
        <f>SUMIFS(разходи!$L:$L,разходи!$E:$E,'ПП Януари'!$C$35,разходи!$M:$M,'ПП Януари'!E2)</f>
        <v>0</v>
      </c>
      <c r="F35" s="74">
        <f>SUMIFS(разходи!$L:$L,разходи!$E:$E,'ПП Януари'!$C$35,разходи!$M:$M,'ПП Януари'!F2)</f>
        <v>0</v>
      </c>
      <c r="G35" s="74">
        <f>SUMIFS(разходи!$L:$L,разходи!$E:$E,'ПП Януари'!$C$35,разходи!$M:$M,'ПП Януари'!G2)</f>
        <v>0</v>
      </c>
      <c r="H35" s="74">
        <f>SUMIFS(разходи!$L:$L,разходи!$E:$E,'ПП Януари'!$C$35,разходи!$M:$M,'ПП Януари'!H2)</f>
        <v>0</v>
      </c>
      <c r="I35" s="74">
        <f>SUMIFS(разходи!$L:$L,разходи!$E:$E,'ПП Януари'!$C$35,разходи!$M:$M,'ПП Януари'!I2)</f>
        <v>0</v>
      </c>
      <c r="J35" s="76">
        <f>SUMIFS(разходи!$L:$L,разходи!$E:$E,'ПП Януари'!$C$35,разходи!$M:$M,'ПП Януари'!J2)</f>
        <v>0</v>
      </c>
      <c r="K35" s="76">
        <f>SUMIFS(разходи!$L:$L,разходи!$E:$E,'ПП Януари'!$C$35,разходи!$M:$M,'ПП Януари'!K2)</f>
        <v>0</v>
      </c>
      <c r="L35" s="74">
        <f>SUMIFS(разходи!$L:$L,разходи!$E:$E,'ПП Януари'!$C$35,разходи!$M:$M,'ПП Януари'!L2)</f>
        <v>0</v>
      </c>
      <c r="M35" s="74">
        <f>SUMIFS(разходи!$L:$L,разходи!$E:$E,'ПП Януари'!$C$35,разходи!$M:$M,'ПП Януари'!M2)</f>
        <v>0</v>
      </c>
      <c r="N35" s="74">
        <f>SUMIFS(разходи!$L:$L,разходи!$E:$E,'ПП Януари'!$C$35,разходи!$M:$M,'ПП Януари'!N2)</f>
        <v>0</v>
      </c>
      <c r="O35" s="74">
        <f>SUMIFS(разходи!$L:$L,разходи!$E:$E,'ПП Януари'!$C$35,разходи!$M:$M,'ПП Януари'!O2)</f>
        <v>0</v>
      </c>
      <c r="P35" s="74">
        <f>SUMIFS(разходи!$L:$L,разходи!$E:$E,'ПП Януари'!$C$35,разходи!$M:$M,'ПП Януари'!P2)</f>
        <v>0</v>
      </c>
      <c r="Q35" s="76">
        <f>SUMIFS(разходи!$L:$L,разходи!$E:$E,'ПП Януари'!$C$35,разходи!$M:$M,'ПП Януари'!Q2)</f>
        <v>0</v>
      </c>
      <c r="R35" s="76">
        <f>SUMIFS(разходи!$L:$L,разходи!$E:$E,'ПП Януари'!$C$35,разходи!$M:$M,'ПП Януари'!R2)</f>
        <v>0</v>
      </c>
      <c r="S35" s="74">
        <f>SUMIFS(разходи!$L:$L,разходи!$E:$E,'ПП Януари'!$C$35,разходи!$M:$M,'ПП Януари'!S2)</f>
        <v>0</v>
      </c>
      <c r="T35" s="74">
        <f>SUMIFS(разходи!$L:$L,разходи!$E:$E,'ПП Януари'!$C$35,разходи!$M:$M,'ПП Януари'!T2)</f>
        <v>0</v>
      </c>
      <c r="U35" s="74">
        <f>SUMIFS(разходи!$L:$L,разходи!$E:$E,'ПП Януари'!$C$35,разходи!$M:$M,'ПП Януари'!U2)</f>
        <v>0</v>
      </c>
      <c r="V35" s="74">
        <f>SUMIFS(разходи!$L:$L,разходи!$E:$E,'ПП Януари'!$C$35,разходи!$M:$M,'ПП Януари'!V2)</f>
        <v>0</v>
      </c>
      <c r="W35" s="74">
        <f>SUMIFS(разходи!$L:$L,разходи!$E:$E,'ПП Януари'!$C$35,разходи!$M:$M,'ПП Януари'!W2)</f>
        <v>0</v>
      </c>
      <c r="X35" s="76">
        <f>SUMIFS(разходи!$L:$L,разходи!$E:$E,'ПП Януари'!$C$35,разходи!$M:$M,'ПП Януари'!X2)</f>
        <v>0</v>
      </c>
      <c r="Y35" s="76">
        <f>SUMIFS(разходи!$L:$L,разходи!$E:$E,'ПП Януари'!$C$35,разходи!$M:$M,'ПП Януари'!Y2)</f>
        <v>0</v>
      </c>
      <c r="Z35" s="74">
        <f>SUMIFS(разходи!$L:$L,разходи!$E:$E,'ПП Януари'!$C$35,разходи!$M:$M,'ПП Януари'!Z2)</f>
        <v>0</v>
      </c>
      <c r="AA35" s="74">
        <f>SUMIFS(разходи!$L:$L,разходи!$E:$E,'ПП Януари'!$C$35,разходи!$M:$M,'ПП Януари'!AA2)</f>
        <v>0</v>
      </c>
      <c r="AB35" s="74">
        <f>SUMIFS(разходи!$L:$L,разходи!$E:$E,'ПП Януари'!$C$35,разходи!$M:$M,'ПП Януари'!AB2)</f>
        <v>0</v>
      </c>
      <c r="AC35" s="74">
        <f>SUMIFS(разходи!$L:$L,разходи!$E:$E,'ПП Януари'!$C$35,разходи!$M:$M,'ПП Януари'!AC2)</f>
        <v>0</v>
      </c>
      <c r="AD35" s="74">
        <f>SUMIFS(разходи!$L:$L,разходи!$E:$E,'ПП Януари'!$C$35,разходи!$M:$M,'ПП Януари'!AD2)</f>
        <v>0</v>
      </c>
      <c r="AE35" s="76">
        <f>SUMIFS(разходи!$L:$L,разходи!$E:$E,'ПП Януари'!$C$35,разходи!$M:$M,'ПП Януари'!AE2)</f>
        <v>0</v>
      </c>
      <c r="AF35" s="76">
        <f>SUMIFS(разходи!$L:$L,разходи!$E:$E,'ПП Януари'!$C$35,разходи!$M:$M,'ПП Януари'!AF2)</f>
        <v>0</v>
      </c>
      <c r="AG35" s="74">
        <f>SUMIFS(разходи!$L:$L,разходи!$E:$E,'ПП Януари'!$C$35,разходи!$M:$M,'ПП Януари'!AG2)</f>
        <v>0</v>
      </c>
      <c r="AH35" s="74">
        <f>SUMIFS(разходи!$L:$L,разходи!$E:$E,'ПП Януари'!$C$35,разходи!$M:$M,'ПП Януари'!AH2)</f>
        <v>0</v>
      </c>
      <c r="AI35" s="74">
        <f>SUMIFS(разходи!$L:$L,разходи!$E:$E,'ПП Януари'!$C$35,разходи!$M:$M,'ПП Януари'!AI2)</f>
        <v>0</v>
      </c>
      <c r="AJ35" s="61">
        <f t="shared" ref="AJ35:AJ66" si="17">SUM(E35:AI35)</f>
        <v>0</v>
      </c>
      <c r="AK35" s="69">
        <f t="shared" si="12"/>
        <v>0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/>
      <c r="E36" s="74">
        <f t="shared" ref="E36:AI36" si="18">SUM(E37:E40)</f>
        <v>0</v>
      </c>
      <c r="F36" s="74">
        <f t="shared" si="18"/>
        <v>0</v>
      </c>
      <c r="G36" s="74">
        <f t="shared" si="18"/>
        <v>0</v>
      </c>
      <c r="H36" s="74">
        <f t="shared" si="18"/>
        <v>0</v>
      </c>
      <c r="I36" s="74">
        <f t="shared" si="18"/>
        <v>0</v>
      </c>
      <c r="J36" s="76">
        <f t="shared" si="18"/>
        <v>0</v>
      </c>
      <c r="K36" s="76">
        <f t="shared" si="18"/>
        <v>0</v>
      </c>
      <c r="L36" s="74">
        <f t="shared" si="18"/>
        <v>0</v>
      </c>
      <c r="M36" s="74">
        <f t="shared" si="18"/>
        <v>0</v>
      </c>
      <c r="N36" s="74">
        <f t="shared" si="18"/>
        <v>0</v>
      </c>
      <c r="O36" s="74">
        <f t="shared" si="18"/>
        <v>0</v>
      </c>
      <c r="P36" s="74">
        <f t="shared" si="18"/>
        <v>0</v>
      </c>
      <c r="Q36" s="76">
        <f t="shared" si="18"/>
        <v>0</v>
      </c>
      <c r="R36" s="76">
        <f t="shared" si="18"/>
        <v>0</v>
      </c>
      <c r="S36" s="74">
        <f t="shared" si="18"/>
        <v>0</v>
      </c>
      <c r="T36" s="74">
        <f t="shared" si="18"/>
        <v>0</v>
      </c>
      <c r="U36" s="74">
        <f t="shared" si="18"/>
        <v>0</v>
      </c>
      <c r="V36" s="74">
        <f t="shared" si="18"/>
        <v>0</v>
      </c>
      <c r="W36" s="74">
        <f t="shared" si="18"/>
        <v>0</v>
      </c>
      <c r="X36" s="76">
        <f t="shared" si="18"/>
        <v>0</v>
      </c>
      <c r="Y36" s="76">
        <f t="shared" si="18"/>
        <v>0</v>
      </c>
      <c r="Z36" s="74">
        <f t="shared" si="18"/>
        <v>0</v>
      </c>
      <c r="AA36" s="74">
        <f t="shared" si="18"/>
        <v>0</v>
      </c>
      <c r="AB36" s="74">
        <f t="shared" si="18"/>
        <v>0</v>
      </c>
      <c r="AC36" s="74">
        <f t="shared" si="18"/>
        <v>0</v>
      </c>
      <c r="AD36" s="74">
        <f t="shared" si="18"/>
        <v>0</v>
      </c>
      <c r="AE36" s="76">
        <f t="shared" si="18"/>
        <v>0</v>
      </c>
      <c r="AF36" s="76">
        <f t="shared" si="18"/>
        <v>0</v>
      </c>
      <c r="AG36" s="74">
        <f t="shared" si="18"/>
        <v>0</v>
      </c>
      <c r="AH36" s="74">
        <f t="shared" si="18"/>
        <v>0</v>
      </c>
      <c r="AI36" s="74">
        <f t="shared" si="18"/>
        <v>0</v>
      </c>
      <c r="AJ36" s="61">
        <f t="shared" si="17"/>
        <v>0</v>
      </c>
      <c r="AK36" s="62">
        <f t="shared" si="12"/>
        <v>0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/>
      <c r="E37" s="74">
        <f>SUMIFS(разходи!$L:$L,разходи!$E:$E,'ПП Януари'!$C$37,разходи!$M:$M,'ПП Януари'!E2)</f>
        <v>0</v>
      </c>
      <c r="F37" s="74">
        <f>SUMIFS(разходи!$L:$L,разходи!$E:$E,'ПП Януари'!$C$37,разходи!$M:$M,'ПП Януари'!F2)</f>
        <v>0</v>
      </c>
      <c r="G37" s="74">
        <f>SUMIFS(разходи!$L:$L,разходи!$E:$E,'ПП Януари'!$C$37,разходи!$M:$M,'ПП Януари'!G2)</f>
        <v>0</v>
      </c>
      <c r="H37" s="74">
        <f>SUMIFS(разходи!$L:$L,разходи!$E:$E,'ПП Януари'!$C$37,разходи!$M:$M,'ПП Януари'!H2)</f>
        <v>0</v>
      </c>
      <c r="I37" s="74">
        <f>SUMIFS(разходи!$L:$L,разходи!$E:$E,'ПП Януари'!$C$37,разходи!$M:$M,'ПП Януари'!I2)</f>
        <v>0</v>
      </c>
      <c r="J37" s="76">
        <f>SUMIFS(разходи!$L:$L,разходи!$E:$E,'ПП Януари'!$C$37,разходи!$M:$M,'ПП Януари'!J2)</f>
        <v>0</v>
      </c>
      <c r="K37" s="76">
        <f>SUMIFS(разходи!$L:$L,разходи!$E:$E,'ПП Януари'!$C$37,разходи!$M:$M,'ПП Януари'!K2)</f>
        <v>0</v>
      </c>
      <c r="L37" s="74">
        <f>SUMIFS(разходи!$L:$L,разходи!$E:$E,'ПП Януари'!$C$37,разходи!$M:$M,'ПП Януари'!L2)</f>
        <v>0</v>
      </c>
      <c r="M37" s="74">
        <f>SUMIFS(разходи!$L:$L,разходи!$E:$E,'ПП Януари'!$C$37,разходи!$M:$M,'ПП Януари'!M2)</f>
        <v>0</v>
      </c>
      <c r="N37" s="74">
        <f>SUMIFS(разходи!$L:$L,разходи!$E:$E,'ПП Януари'!$C$37,разходи!$M:$M,'ПП Януари'!N2)</f>
        <v>0</v>
      </c>
      <c r="O37" s="74">
        <f>SUMIFS(разходи!$L:$L,разходи!$E:$E,'ПП Януари'!$C$37,разходи!$M:$M,'ПП Януари'!O2)</f>
        <v>0</v>
      </c>
      <c r="P37" s="74">
        <f>SUMIFS(разходи!$L:$L,разходи!$E:$E,'ПП Януари'!$C$37,разходи!$M:$M,'ПП Януари'!P2)</f>
        <v>0</v>
      </c>
      <c r="Q37" s="76">
        <f>SUMIFS(разходи!$L:$L,разходи!$E:$E,'ПП Януари'!$C$37,разходи!$M:$M,'ПП Януари'!Q2)</f>
        <v>0</v>
      </c>
      <c r="R37" s="76">
        <f>SUMIFS(разходи!$L:$L,разходи!$E:$E,'ПП Януари'!$C$37,разходи!$M:$M,'ПП Януари'!R2)</f>
        <v>0</v>
      </c>
      <c r="S37" s="74">
        <f>SUMIFS(разходи!$L:$L,разходи!$E:$E,'ПП Януари'!$C$37,разходи!$M:$M,'ПП Януари'!S2)</f>
        <v>0</v>
      </c>
      <c r="T37" s="74">
        <f>SUMIFS(разходи!$L:$L,разходи!$E:$E,'ПП Януари'!$C$37,разходи!$M:$M,'ПП Януари'!T2)</f>
        <v>0</v>
      </c>
      <c r="U37" s="74">
        <f>SUMIFS(разходи!$L:$L,разходи!$E:$E,'ПП Януари'!$C$37,разходи!$M:$M,'ПП Януари'!U2)</f>
        <v>0</v>
      </c>
      <c r="V37" s="74">
        <f>SUMIFS(разходи!$L:$L,разходи!$E:$E,'ПП Януари'!$C$37,разходи!$M:$M,'ПП Януари'!V2)</f>
        <v>0</v>
      </c>
      <c r="W37" s="74">
        <f>SUMIFS(разходи!$L:$L,разходи!$E:$E,'ПП Януари'!$C$37,разходи!$M:$M,'ПП Януари'!W2)</f>
        <v>0</v>
      </c>
      <c r="X37" s="76">
        <f>SUMIFS(разходи!$L:$L,разходи!$E:$E,'ПП Януари'!$C$37,разходи!$M:$M,'ПП Януари'!X2)</f>
        <v>0</v>
      </c>
      <c r="Y37" s="76">
        <f>SUMIFS(разходи!$L:$L,разходи!$E:$E,'ПП Януари'!$C$37,разходи!$M:$M,'ПП Януари'!Y2)</f>
        <v>0</v>
      </c>
      <c r="Z37" s="74">
        <f>SUMIFS(разходи!$L:$L,разходи!$E:$E,'ПП Януари'!$C$37,разходи!$M:$M,'ПП Януари'!Z2)</f>
        <v>0</v>
      </c>
      <c r="AA37" s="74">
        <f>SUMIFS(разходи!$L:$L,разходи!$E:$E,'ПП Януари'!$C$37,разходи!$M:$M,'ПП Януари'!AA2)</f>
        <v>0</v>
      </c>
      <c r="AB37" s="74">
        <f>SUMIFS(разходи!$L:$L,разходи!$E:$E,'ПП Януари'!$C$37,разходи!$M:$M,'ПП Януари'!AB2)</f>
        <v>0</v>
      </c>
      <c r="AC37" s="74">
        <f>SUMIFS(разходи!$L:$L,разходи!$E:$E,'ПП Януари'!$C$37,разходи!$M:$M,'ПП Януари'!AC2)</f>
        <v>0</v>
      </c>
      <c r="AD37" s="74">
        <f>SUMIFS(разходи!$L:$L,разходи!$E:$E,'ПП Януари'!$C$37,разходи!$M:$M,'ПП Януари'!AD2)</f>
        <v>0</v>
      </c>
      <c r="AE37" s="76">
        <f>SUMIFS(разходи!$L:$L,разходи!$E:$E,'ПП Януари'!$C$37,разходи!$M:$M,'ПП Януари'!AE2)</f>
        <v>0</v>
      </c>
      <c r="AF37" s="76">
        <f>SUMIFS(разходи!$L:$L,разходи!$E:$E,'ПП Януари'!$C$37,разходи!$M:$M,'ПП Януари'!AF2)</f>
        <v>0</v>
      </c>
      <c r="AG37" s="74">
        <f>SUMIFS(разходи!$L:$L,разходи!$E:$E,'ПП Януари'!$C$37,разходи!$M:$M,'ПП Януари'!AG2)</f>
        <v>0</v>
      </c>
      <c r="AH37" s="74">
        <f>SUMIFS(разходи!$L:$L,разходи!$E:$E,'ПП Януари'!$C$37,разходи!$M:$M,'ПП Януари'!AH2)</f>
        <v>0</v>
      </c>
      <c r="AI37" s="74">
        <f>SUMIFS(разходи!$L:$L,разходи!$E:$E,'ПП Януари'!$C$37,разходи!$M:$M,'ПП Януари'!AI2)</f>
        <v>0</v>
      </c>
      <c r="AJ37" s="61">
        <f t="shared" si="17"/>
        <v>0</v>
      </c>
      <c r="AK37" s="69">
        <f t="shared" si="12"/>
        <v>0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4">
        <f>SUMIFS(разходи!$L:$L,разходи!$E:$E,'ПП Януари'!$C$38,разходи!$M:$M,'ПП Януари'!E2)</f>
        <v>0</v>
      </c>
      <c r="F38" s="74">
        <f>SUMIFS(разходи!$L:$L,разходи!$E:$E,'ПП Януари'!$C$38,разходи!$M:$M,'ПП Януари'!F2)</f>
        <v>0</v>
      </c>
      <c r="G38" s="74">
        <f>SUMIFS(разходи!$L:$L,разходи!$E:$E,'ПП Януари'!$C$38,разходи!$M:$M,'ПП Януари'!G2)</f>
        <v>0</v>
      </c>
      <c r="H38" s="74">
        <f>SUMIFS(разходи!$L:$L,разходи!$E:$E,'ПП Януари'!$C$38,разходи!$M:$M,'ПП Януари'!H2)</f>
        <v>0</v>
      </c>
      <c r="I38" s="74">
        <f>SUMIFS(разходи!$L:$L,разходи!$E:$E,'ПП Януари'!$C$38,разходи!$M:$M,'ПП Януари'!I2)</f>
        <v>0</v>
      </c>
      <c r="J38" s="76">
        <f>SUMIFS(разходи!$L:$L,разходи!$E:$E,'ПП Януари'!$C$38,разходи!$M:$M,'ПП Януари'!J2)</f>
        <v>0</v>
      </c>
      <c r="K38" s="76">
        <f>SUMIFS(разходи!$L:$L,разходи!$E:$E,'ПП Януари'!$C$38,разходи!$M:$M,'ПП Януари'!K2)</f>
        <v>0</v>
      </c>
      <c r="L38" s="74">
        <f>SUMIFS(разходи!$L:$L,разходи!$E:$E,'ПП Януари'!$C$38,разходи!$M:$M,'ПП Януари'!L2)</f>
        <v>0</v>
      </c>
      <c r="M38" s="74">
        <f>SUMIFS(разходи!$L:$L,разходи!$E:$E,'ПП Януари'!$C$38,разходи!$M:$M,'ПП Януари'!M2)</f>
        <v>0</v>
      </c>
      <c r="N38" s="74">
        <f>SUMIFS(разходи!$L:$L,разходи!$E:$E,'ПП Януари'!$C$38,разходи!$M:$M,'ПП Януари'!N2)</f>
        <v>0</v>
      </c>
      <c r="O38" s="74">
        <f>SUMIFS(разходи!$L:$L,разходи!$E:$E,'ПП Януари'!$C$38,разходи!$M:$M,'ПП Януари'!O2)</f>
        <v>0</v>
      </c>
      <c r="P38" s="74">
        <f>SUMIFS(разходи!$L:$L,разходи!$E:$E,'ПП Януари'!$C$38,разходи!$M:$M,'ПП Януари'!P2)</f>
        <v>0</v>
      </c>
      <c r="Q38" s="76">
        <f>SUMIFS(разходи!$L:$L,разходи!$E:$E,'ПП Януари'!$C$38,разходи!$M:$M,'ПП Януари'!Q2)</f>
        <v>0</v>
      </c>
      <c r="R38" s="76">
        <f>SUMIFS(разходи!$L:$L,разходи!$E:$E,'ПП Януари'!$C$38,разходи!$M:$M,'ПП Януари'!R2)</f>
        <v>0</v>
      </c>
      <c r="S38" s="74">
        <f>SUMIFS(разходи!$L:$L,разходи!$E:$E,'ПП Януари'!$C$38,разходи!$M:$M,'ПП Януари'!S2)</f>
        <v>0</v>
      </c>
      <c r="T38" s="74">
        <f>SUMIFS(разходи!$L:$L,разходи!$E:$E,'ПП Януари'!$C$38,разходи!$M:$M,'ПП Януари'!T2)</f>
        <v>0</v>
      </c>
      <c r="U38" s="74">
        <f>SUMIFS(разходи!$L:$L,разходи!$E:$E,'ПП Януари'!$C$38,разходи!$M:$M,'ПП Януари'!U2)</f>
        <v>0</v>
      </c>
      <c r="V38" s="74">
        <f>SUMIFS(разходи!$L:$L,разходи!$E:$E,'ПП Януари'!$C$38,разходи!$M:$M,'ПП Януари'!V2)</f>
        <v>0</v>
      </c>
      <c r="W38" s="74">
        <f>SUMIFS(разходи!$L:$L,разходи!$E:$E,'ПП Януари'!$C$38,разходи!$M:$M,'ПП Януари'!W2)</f>
        <v>0</v>
      </c>
      <c r="X38" s="76">
        <f>SUMIFS(разходи!$L:$L,разходи!$E:$E,'ПП Януари'!$C$38,разходи!$M:$M,'ПП Януари'!X2)</f>
        <v>0</v>
      </c>
      <c r="Y38" s="76">
        <f>SUMIFS(разходи!$L:$L,разходи!$E:$E,'ПП Януари'!$C$38,разходи!$M:$M,'ПП Януари'!Y2)</f>
        <v>0</v>
      </c>
      <c r="Z38" s="74">
        <f>SUMIFS(разходи!$L:$L,разходи!$E:$E,'ПП Януари'!$C$38,разходи!$M:$M,'ПП Януари'!Z2)</f>
        <v>0</v>
      </c>
      <c r="AA38" s="74">
        <f>SUMIFS(разходи!$L:$L,разходи!$E:$E,'ПП Януари'!$C$38,разходи!$M:$M,'ПП Януари'!AA2)</f>
        <v>0</v>
      </c>
      <c r="AB38" s="74">
        <f>SUMIFS(разходи!$L:$L,разходи!$E:$E,'ПП Януари'!$C$38,разходи!$M:$M,'ПП Януари'!AB2)</f>
        <v>0</v>
      </c>
      <c r="AC38" s="74">
        <f>SUMIFS(разходи!$L:$L,разходи!$E:$E,'ПП Януари'!$C$38,разходи!$M:$M,'ПП Януари'!AC2)</f>
        <v>0</v>
      </c>
      <c r="AD38" s="74">
        <f>SUMIFS(разходи!$L:$L,разходи!$E:$E,'ПП Януари'!$C$38,разходи!$M:$M,'ПП Януари'!AD2)</f>
        <v>0</v>
      </c>
      <c r="AE38" s="76">
        <f>SUMIFS(разходи!$L:$L,разходи!$E:$E,'ПП Януари'!$C$38,разходи!$M:$M,'ПП Януари'!AE2)</f>
        <v>0</v>
      </c>
      <c r="AF38" s="76">
        <f>SUMIFS(разходи!$L:$L,разходи!$E:$E,'ПП Януари'!$C$38,разходи!$M:$M,'ПП Януари'!AF2)</f>
        <v>0</v>
      </c>
      <c r="AG38" s="74">
        <f>SUMIFS(разходи!$L:$L,разходи!$E:$E,'ПП Януари'!$C$38,разходи!$M:$M,'ПП Януари'!AG2)</f>
        <v>0</v>
      </c>
      <c r="AH38" s="74">
        <f>SUMIFS(разходи!$L:$L,разходи!$E:$E,'ПП Януари'!$C$38,разходи!$M:$M,'ПП Януари'!AH2)</f>
        <v>0</v>
      </c>
      <c r="AI38" s="74">
        <f>SUMIFS(разходи!$L:$L,разходи!$E:$E,'ПП Януари'!$C$38,разходи!$M:$M,'ПП Януари'!AI2)</f>
        <v>0</v>
      </c>
      <c r="AJ38" s="61">
        <f t="shared" si="17"/>
        <v>0</v>
      </c>
      <c r="AK38" s="69">
        <f t="shared" si="12"/>
        <v>0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4">
        <f>SUMIFS(разходи!$L:$L,разходи!$E:$E,'ПП Януари'!$C$39,разходи!$M:$M,'ПП Януари'!E2)</f>
        <v>0</v>
      </c>
      <c r="F39" s="74">
        <f>SUMIFS(разходи!$L:$L,разходи!$E:$E,'ПП Януари'!$C$39,разходи!$M:$M,'ПП Януари'!F2)</f>
        <v>0</v>
      </c>
      <c r="G39" s="74">
        <f>SUMIFS(разходи!$L:$L,разходи!$E:$E,'ПП Януари'!$C$39,разходи!$M:$M,'ПП Януари'!G2)</f>
        <v>0</v>
      </c>
      <c r="H39" s="74">
        <f>SUMIFS(разходи!$L:$L,разходи!$E:$E,'ПП Януари'!$C$39,разходи!$M:$M,'ПП Януари'!H2)</f>
        <v>0</v>
      </c>
      <c r="I39" s="74">
        <f>SUMIFS(разходи!$L:$L,разходи!$E:$E,'ПП Януари'!$C$39,разходи!$M:$M,'ПП Януари'!I2)</f>
        <v>0</v>
      </c>
      <c r="J39" s="76">
        <f>SUMIFS(разходи!$L:$L,разходи!$E:$E,'ПП Януари'!$C$39,разходи!$M:$M,'ПП Януари'!J2)</f>
        <v>0</v>
      </c>
      <c r="K39" s="76">
        <f>SUMIFS(разходи!$L:$L,разходи!$E:$E,'ПП Януари'!$C$39,разходи!$M:$M,'ПП Януари'!K2)</f>
        <v>0</v>
      </c>
      <c r="L39" s="74">
        <f>SUMIFS(разходи!$L:$L,разходи!$E:$E,'ПП Януари'!$C$39,разходи!$M:$M,'ПП Януари'!L2)</f>
        <v>0</v>
      </c>
      <c r="M39" s="74">
        <f>SUMIFS(разходи!$L:$L,разходи!$E:$E,'ПП Януари'!$C$39,разходи!$M:$M,'ПП Януари'!M2)</f>
        <v>0</v>
      </c>
      <c r="N39" s="74">
        <f>SUMIFS(разходи!$L:$L,разходи!$E:$E,'ПП Януари'!$C$39,разходи!$M:$M,'ПП Януари'!N2)</f>
        <v>0</v>
      </c>
      <c r="O39" s="74">
        <f>SUMIFS(разходи!$L:$L,разходи!$E:$E,'ПП Януари'!$C$39,разходи!$M:$M,'ПП Януари'!O2)</f>
        <v>0</v>
      </c>
      <c r="P39" s="74">
        <f>SUMIFS(разходи!$L:$L,разходи!$E:$E,'ПП Януари'!$C$39,разходи!$M:$M,'ПП Януари'!P2)</f>
        <v>0</v>
      </c>
      <c r="Q39" s="76">
        <f>SUMIFS(разходи!$L:$L,разходи!$E:$E,'ПП Януари'!$C$39,разходи!$M:$M,'ПП Януари'!Q2)</f>
        <v>0</v>
      </c>
      <c r="R39" s="76">
        <f>SUMIFS(разходи!$L:$L,разходи!$E:$E,'ПП Януари'!$C$39,разходи!$M:$M,'ПП Януари'!R2)</f>
        <v>0</v>
      </c>
      <c r="S39" s="74">
        <f>SUMIFS(разходи!$L:$L,разходи!$E:$E,'ПП Януари'!$C$39,разходи!$M:$M,'ПП Януари'!S2)</f>
        <v>0</v>
      </c>
      <c r="T39" s="74">
        <f>SUMIFS(разходи!$L:$L,разходи!$E:$E,'ПП Януари'!$C$39,разходи!$M:$M,'ПП Януари'!T2)</f>
        <v>0</v>
      </c>
      <c r="U39" s="74">
        <f>SUMIFS(разходи!$L:$L,разходи!$E:$E,'ПП Януари'!$C$39,разходи!$M:$M,'ПП Януари'!U2)</f>
        <v>0</v>
      </c>
      <c r="V39" s="74">
        <f>SUMIFS(разходи!$L:$L,разходи!$E:$E,'ПП Януари'!$C$39,разходи!$M:$M,'ПП Януари'!V2)</f>
        <v>0</v>
      </c>
      <c r="W39" s="74">
        <f>SUMIFS(разходи!$L:$L,разходи!$E:$E,'ПП Януари'!$C$39,разходи!$M:$M,'ПП Януари'!W2)</f>
        <v>0</v>
      </c>
      <c r="X39" s="76">
        <f>SUMIFS(разходи!$L:$L,разходи!$E:$E,'ПП Януари'!$C$39,разходи!$M:$M,'ПП Януари'!X2)</f>
        <v>0</v>
      </c>
      <c r="Y39" s="76">
        <f>SUMIFS(разходи!$L:$L,разходи!$E:$E,'ПП Януари'!$C$39,разходи!$M:$M,'ПП Януари'!Y2)</f>
        <v>0</v>
      </c>
      <c r="Z39" s="74">
        <f>SUMIFS(разходи!$L:$L,разходи!$E:$E,'ПП Януари'!$C$39,разходи!$M:$M,'ПП Януари'!Z2)</f>
        <v>0</v>
      </c>
      <c r="AA39" s="74">
        <f>SUMIFS(разходи!$L:$L,разходи!$E:$E,'ПП Януари'!$C$39,разходи!$M:$M,'ПП Януари'!AA2)</f>
        <v>0</v>
      </c>
      <c r="AB39" s="74">
        <f>SUMIFS(разходи!$L:$L,разходи!$E:$E,'ПП Януари'!$C$39,разходи!$M:$M,'ПП Януари'!AB2)</f>
        <v>0</v>
      </c>
      <c r="AC39" s="74">
        <f>SUMIFS(разходи!$L:$L,разходи!$E:$E,'ПП Януари'!$C$39,разходи!$M:$M,'ПП Януари'!AC2)</f>
        <v>0</v>
      </c>
      <c r="AD39" s="74">
        <f>SUMIFS(разходи!$L:$L,разходи!$E:$E,'ПП Януари'!$C$39,разходи!$M:$M,'ПП Януари'!AD2)</f>
        <v>0</v>
      </c>
      <c r="AE39" s="76">
        <f>SUMIFS(разходи!$L:$L,разходи!$E:$E,'ПП Януари'!$C$39,разходи!$M:$M,'ПП Януари'!AE2)</f>
        <v>0</v>
      </c>
      <c r="AF39" s="76">
        <f>SUMIFS(разходи!$L:$L,разходи!$E:$E,'ПП Януари'!$C$39,разходи!$M:$M,'ПП Януари'!AF2)</f>
        <v>0</v>
      </c>
      <c r="AG39" s="74">
        <f>SUMIFS(разходи!$L:$L,разходи!$E:$E,'ПП Януари'!$C$39,разходи!$M:$M,'ПП Януари'!AG2)</f>
        <v>0</v>
      </c>
      <c r="AH39" s="74">
        <f>SUMIFS(разходи!$L:$L,разходи!$E:$E,'ПП Януари'!$C$39,разходи!$M:$M,'ПП Януари'!AH2)</f>
        <v>0</v>
      </c>
      <c r="AI39" s="74">
        <f>SUMIFS(разходи!$L:$L,разходи!$E:$E,'ПП Януари'!$C$39,разходи!$M:$M,'ПП Януари'!AI2)</f>
        <v>0</v>
      </c>
      <c r="AJ39" s="61">
        <f t="shared" si="17"/>
        <v>0</v>
      </c>
      <c r="AK39" s="69">
        <f t="shared" si="12"/>
        <v>0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4">
        <f>SUMIFS(разходи!$L:$L,разходи!$E:$E,'ПП Януари'!$C$40,разходи!$M:$M,'ПП Януари'!E2)</f>
        <v>0</v>
      </c>
      <c r="F40" s="74">
        <f>SUMIFS(разходи!$L:$L,разходи!$E:$E,'ПП Януари'!$C$40,разходи!$M:$M,'ПП Януари'!F2)</f>
        <v>0</v>
      </c>
      <c r="G40" s="74">
        <f>SUMIFS(разходи!$L:$L,разходи!$E:$E,'ПП Януари'!$C$40,разходи!$M:$M,'ПП Януари'!G2)</f>
        <v>0</v>
      </c>
      <c r="H40" s="74">
        <f>SUMIFS(разходи!$L:$L,разходи!$E:$E,'ПП Януари'!$C$40,разходи!$M:$M,'ПП Януари'!H2)</f>
        <v>0</v>
      </c>
      <c r="I40" s="74">
        <f>SUMIFS(разходи!$L:$L,разходи!$E:$E,'ПП Януари'!$C$40,разходи!$M:$M,'ПП Януари'!I2)</f>
        <v>0</v>
      </c>
      <c r="J40" s="76">
        <f>SUMIFS(разходи!$L:$L,разходи!$E:$E,'ПП Януари'!$C$40,разходи!$M:$M,'ПП Януари'!J2)</f>
        <v>0</v>
      </c>
      <c r="K40" s="76">
        <f>SUMIFS(разходи!$L:$L,разходи!$E:$E,'ПП Януари'!$C$40,разходи!$M:$M,'ПП Януари'!K2)</f>
        <v>0</v>
      </c>
      <c r="L40" s="74">
        <f>SUMIFS(разходи!$L:$L,разходи!$E:$E,'ПП Януари'!$C$40,разходи!$M:$M,'ПП Януари'!L2)</f>
        <v>0</v>
      </c>
      <c r="M40" s="74">
        <f>SUMIFS(разходи!$L:$L,разходи!$E:$E,'ПП Януари'!$C$40,разходи!$M:$M,'ПП Януари'!M2)</f>
        <v>0</v>
      </c>
      <c r="N40" s="74">
        <f>SUMIFS(разходи!$L:$L,разходи!$E:$E,'ПП Януари'!$C$40,разходи!$M:$M,'ПП Януари'!N2)</f>
        <v>0</v>
      </c>
      <c r="O40" s="74">
        <f>SUMIFS(разходи!$L:$L,разходи!$E:$E,'ПП Януари'!$C$40,разходи!$M:$M,'ПП Януари'!O2)</f>
        <v>0</v>
      </c>
      <c r="P40" s="74">
        <f>SUMIFS(разходи!$L:$L,разходи!$E:$E,'ПП Януари'!$C$40,разходи!$M:$M,'ПП Януари'!P2)</f>
        <v>0</v>
      </c>
      <c r="Q40" s="76">
        <f>SUMIFS(разходи!$L:$L,разходи!$E:$E,'ПП Януари'!$C$40,разходи!$M:$M,'ПП Януари'!Q2)</f>
        <v>0</v>
      </c>
      <c r="R40" s="76">
        <f>SUMIFS(разходи!$L:$L,разходи!$E:$E,'ПП Януари'!$C$40,разходи!$M:$M,'ПП Януари'!R2)</f>
        <v>0</v>
      </c>
      <c r="S40" s="74">
        <f>SUMIFS(разходи!$L:$L,разходи!$E:$E,'ПП Януари'!$C$40,разходи!$M:$M,'ПП Януари'!S2)</f>
        <v>0</v>
      </c>
      <c r="T40" s="74">
        <f>SUMIFS(разходи!$L:$L,разходи!$E:$E,'ПП Януари'!$C$40,разходи!$M:$M,'ПП Януари'!T2)</f>
        <v>0</v>
      </c>
      <c r="U40" s="74">
        <f>SUMIFS(разходи!$L:$L,разходи!$E:$E,'ПП Януари'!$C$40,разходи!$M:$M,'ПП Януари'!U2)</f>
        <v>0</v>
      </c>
      <c r="V40" s="74">
        <f>SUMIFS(разходи!$L:$L,разходи!$E:$E,'ПП Януари'!$C$40,разходи!$M:$M,'ПП Януари'!V2)</f>
        <v>0</v>
      </c>
      <c r="W40" s="74">
        <f>SUMIFS(разходи!$L:$L,разходи!$E:$E,'ПП Януари'!$C$40,разходи!$M:$M,'ПП Януари'!W2)</f>
        <v>0</v>
      </c>
      <c r="X40" s="76">
        <f>SUMIFS(разходи!$L:$L,разходи!$E:$E,'ПП Януари'!$C$40,разходи!$M:$M,'ПП Януари'!X2)</f>
        <v>0</v>
      </c>
      <c r="Y40" s="76">
        <f>SUMIFS(разходи!$L:$L,разходи!$E:$E,'ПП Януари'!$C$40,разходи!$M:$M,'ПП Януари'!Y2)</f>
        <v>0</v>
      </c>
      <c r="Z40" s="74">
        <f>SUMIFS(разходи!$L:$L,разходи!$E:$E,'ПП Януари'!$C$40,разходи!$M:$M,'ПП Януари'!Z2)</f>
        <v>0</v>
      </c>
      <c r="AA40" s="74">
        <f>SUMIFS(разходи!$L:$L,разходи!$E:$E,'ПП Януари'!$C$40,разходи!$M:$M,'ПП Януари'!AA2)</f>
        <v>0</v>
      </c>
      <c r="AB40" s="74">
        <f>SUMIFS(разходи!$L:$L,разходи!$E:$E,'ПП Януари'!$C$40,разходи!$M:$M,'ПП Януари'!AB2)</f>
        <v>0</v>
      </c>
      <c r="AC40" s="74">
        <f>SUMIFS(разходи!$L:$L,разходи!$E:$E,'ПП Януари'!$C$40,разходи!$M:$M,'ПП Януари'!AC2)</f>
        <v>0</v>
      </c>
      <c r="AD40" s="74">
        <f>SUMIFS(разходи!$L:$L,разходи!$E:$E,'ПП Януари'!$C$40,разходи!$M:$M,'ПП Януари'!AD2)</f>
        <v>0</v>
      </c>
      <c r="AE40" s="76">
        <f>SUMIFS(разходи!$L:$L,разходи!$E:$E,'ПП Януари'!$C$40,разходи!$M:$M,'ПП Януари'!AE2)</f>
        <v>0</v>
      </c>
      <c r="AF40" s="76">
        <f>SUMIFS(разходи!$L:$L,разходи!$E:$E,'ПП Януари'!$C$40,разходи!$M:$M,'ПП Януари'!AF2)</f>
        <v>0</v>
      </c>
      <c r="AG40" s="74">
        <f>SUMIFS(разходи!$L:$L,разходи!$E:$E,'ПП Януари'!$C$40,разходи!$M:$M,'ПП Януари'!AG2)</f>
        <v>0</v>
      </c>
      <c r="AH40" s="74">
        <f>SUMIFS(разходи!$L:$L,разходи!$E:$E,'ПП Януари'!$C$40,разходи!$M:$M,'ПП Януари'!AH2)</f>
        <v>0</v>
      </c>
      <c r="AI40" s="74">
        <f>SUMIFS(разходи!$L:$L,разходи!$E:$E,'ПП Януари'!$C$40,разходи!$M:$M,'ПП Януари'!AI2)</f>
        <v>0</v>
      </c>
      <c r="AJ40" s="61">
        <f t="shared" si="17"/>
        <v>0</v>
      </c>
      <c r="AK40" s="69">
        <f t="shared" si="12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/>
      <c r="E41" s="74">
        <f>SUMIFS(разходи!$L:$L,разходи!$E:$E,'ПП Януари'!$C$41,разходи!$M:$M,'ПП Януари'!E2)</f>
        <v>0</v>
      </c>
      <c r="F41" s="74">
        <f>SUMIFS(разходи!$L:$L,разходи!$E:$E,'ПП Януари'!$C$41,разходи!$M:$M,'ПП Януари'!F2)</f>
        <v>0</v>
      </c>
      <c r="G41" s="74">
        <f>SUMIFS(разходи!$L:$L,разходи!$E:$E,'ПП Януари'!$C$41,разходи!$M:$M,'ПП Януари'!G2)</f>
        <v>0</v>
      </c>
      <c r="H41" s="74">
        <f>SUMIFS(разходи!$L:$L,разходи!$E:$E,'ПП Януари'!$C$41,разходи!$M:$M,'ПП Януари'!H2)</f>
        <v>0</v>
      </c>
      <c r="I41" s="74">
        <f>SUMIFS(разходи!$L:$L,разходи!$E:$E,'ПП Януари'!$C$41,разходи!$M:$M,'ПП Януари'!I2)</f>
        <v>0</v>
      </c>
      <c r="J41" s="76">
        <f>SUMIFS(разходи!$L:$L,разходи!$E:$E,'ПП Януари'!$C$41,разходи!$M:$M,'ПП Януари'!J2)</f>
        <v>0</v>
      </c>
      <c r="K41" s="76">
        <f>SUMIFS(разходи!$L:$L,разходи!$E:$E,'ПП Януари'!$C$41,разходи!$M:$M,'ПП Януари'!K2)</f>
        <v>0</v>
      </c>
      <c r="L41" s="74">
        <f>SUMIFS(разходи!$L:$L,разходи!$E:$E,'ПП Януари'!$C$41,разходи!$M:$M,'ПП Януари'!L2)</f>
        <v>0</v>
      </c>
      <c r="M41" s="74">
        <f>SUMIFS(разходи!$L:$L,разходи!$E:$E,'ПП Януари'!$C$41,разходи!$M:$M,'ПП Януари'!M2)</f>
        <v>0</v>
      </c>
      <c r="N41" s="74">
        <f>SUMIFS(разходи!$L:$L,разходи!$E:$E,'ПП Януари'!$C$41,разходи!$M:$M,'ПП Януари'!N2)</f>
        <v>0</v>
      </c>
      <c r="O41" s="74">
        <f>SUMIFS(разходи!$L:$L,разходи!$E:$E,'ПП Януари'!$C$41,разходи!$M:$M,'ПП Януари'!O2)</f>
        <v>0</v>
      </c>
      <c r="P41" s="74">
        <f>SUMIFS(разходи!$L:$L,разходи!$E:$E,'ПП Януари'!$C$41,разходи!$M:$M,'ПП Януари'!P2)</f>
        <v>0</v>
      </c>
      <c r="Q41" s="76">
        <f>SUMIFS(разходи!$L:$L,разходи!$E:$E,'ПП Януари'!$C$41,разходи!$M:$M,'ПП Януари'!Q2)</f>
        <v>0</v>
      </c>
      <c r="R41" s="76">
        <f>SUMIFS(разходи!$L:$L,разходи!$E:$E,'ПП Януари'!$C$41,разходи!$M:$M,'ПП Януари'!R2)</f>
        <v>0</v>
      </c>
      <c r="S41" s="74">
        <f>SUMIFS(разходи!$L:$L,разходи!$E:$E,'ПП Януари'!$C$41,разходи!$M:$M,'ПП Януари'!S2)</f>
        <v>0</v>
      </c>
      <c r="T41" s="74">
        <f>SUMIFS(разходи!$L:$L,разходи!$E:$E,'ПП Януари'!$C$41,разходи!$M:$M,'ПП Януари'!T2)</f>
        <v>0</v>
      </c>
      <c r="U41" s="74">
        <f>SUMIFS(разходи!$L:$L,разходи!$E:$E,'ПП Януари'!$C$41,разходи!$M:$M,'ПП Януари'!U2)</f>
        <v>0</v>
      </c>
      <c r="V41" s="74">
        <f>SUMIFS(разходи!$L:$L,разходи!$E:$E,'ПП Януари'!$C$41,разходи!$M:$M,'ПП Януари'!V2)</f>
        <v>0</v>
      </c>
      <c r="W41" s="74">
        <f>SUMIFS(разходи!$L:$L,разходи!$E:$E,'ПП Януари'!$C$41,разходи!$M:$M,'ПП Януари'!W2)</f>
        <v>0</v>
      </c>
      <c r="X41" s="76">
        <f>SUMIFS(разходи!$L:$L,разходи!$E:$E,'ПП Януари'!$C$41,разходи!$M:$M,'ПП Януари'!X2)</f>
        <v>0</v>
      </c>
      <c r="Y41" s="76">
        <f>SUMIFS(разходи!$L:$L,разходи!$E:$E,'ПП Януари'!$C$41,разходи!$M:$M,'ПП Януари'!Y2)</f>
        <v>0</v>
      </c>
      <c r="Z41" s="74">
        <f>SUMIFS(разходи!$L:$L,разходи!$E:$E,'ПП Януари'!$C$41,разходи!$M:$M,'ПП Януари'!Z2)</f>
        <v>0</v>
      </c>
      <c r="AA41" s="74">
        <f>SUMIFS(разходи!$L:$L,разходи!$E:$E,'ПП Януари'!$C$41,разходи!$M:$M,'ПП Януари'!AA2)</f>
        <v>0</v>
      </c>
      <c r="AB41" s="74">
        <f>SUMIFS(разходи!$L:$L,разходи!$E:$E,'ПП Януари'!$C$41,разходи!$M:$M,'ПП Януари'!AB2)</f>
        <v>0</v>
      </c>
      <c r="AC41" s="74">
        <f>SUMIFS(разходи!$L:$L,разходи!$E:$E,'ПП Януари'!$C$41,разходи!$M:$M,'ПП Януари'!AC2)</f>
        <v>0</v>
      </c>
      <c r="AD41" s="74">
        <f>SUMIFS(разходи!$L:$L,разходи!$E:$E,'ПП Януари'!$C$41,разходи!$M:$M,'ПП Януари'!AD2)</f>
        <v>0</v>
      </c>
      <c r="AE41" s="76">
        <f>SUMIFS(разходи!$L:$L,разходи!$E:$E,'ПП Януари'!$C$41,разходи!$M:$M,'ПП Януари'!AE2)</f>
        <v>0</v>
      </c>
      <c r="AF41" s="76">
        <f>SUMIFS(разходи!$L:$L,разходи!$E:$E,'ПП Януари'!$C$41,разходи!$M:$M,'ПП Януари'!AF2)</f>
        <v>0</v>
      </c>
      <c r="AG41" s="74">
        <f>SUMIFS(разходи!$L:$L,разходи!$E:$E,'ПП Януари'!$C$41,разходи!$M:$M,'ПП Януари'!AG2)</f>
        <v>0</v>
      </c>
      <c r="AH41" s="74">
        <f>SUMIFS(разходи!$L:$L,разходи!$E:$E,'ПП Януари'!$C$41,разходи!$M:$M,'ПП Януари'!AH2)</f>
        <v>0</v>
      </c>
      <c r="AI41" s="74">
        <f>SUMIFS(разходи!$L:$L,разходи!$E:$E,'ПП Януари'!$C$41,разходи!$M:$M,'ПП Януари'!AI2)</f>
        <v>0</v>
      </c>
      <c r="AJ41" s="61">
        <f t="shared" si="17"/>
        <v>0</v>
      </c>
      <c r="AK41" s="69">
        <f t="shared" si="12"/>
        <v>0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SUM(D43:D56)</f>
        <v>0</v>
      </c>
      <c r="E42" s="74">
        <f t="shared" ref="E42:AI42" si="19">+E43+E48+E53+E56+E62</f>
        <v>0</v>
      </c>
      <c r="F42" s="74">
        <f t="shared" si="19"/>
        <v>0</v>
      </c>
      <c r="G42" s="74">
        <f t="shared" si="19"/>
        <v>0</v>
      </c>
      <c r="H42" s="74">
        <f t="shared" si="19"/>
        <v>0</v>
      </c>
      <c r="I42" s="74">
        <f t="shared" si="19"/>
        <v>0</v>
      </c>
      <c r="J42" s="76">
        <f t="shared" si="19"/>
        <v>0</v>
      </c>
      <c r="K42" s="76">
        <f t="shared" si="19"/>
        <v>0</v>
      </c>
      <c r="L42" s="74">
        <f t="shared" si="19"/>
        <v>0</v>
      </c>
      <c r="M42" s="74">
        <f t="shared" si="19"/>
        <v>0</v>
      </c>
      <c r="N42" s="74">
        <f t="shared" si="19"/>
        <v>0</v>
      </c>
      <c r="O42" s="74">
        <f t="shared" si="19"/>
        <v>0</v>
      </c>
      <c r="P42" s="74">
        <f t="shared" si="19"/>
        <v>0</v>
      </c>
      <c r="Q42" s="76">
        <f t="shared" si="19"/>
        <v>0</v>
      </c>
      <c r="R42" s="76">
        <f t="shared" si="19"/>
        <v>0</v>
      </c>
      <c r="S42" s="74">
        <f t="shared" si="19"/>
        <v>0</v>
      </c>
      <c r="T42" s="74">
        <f t="shared" si="19"/>
        <v>0</v>
      </c>
      <c r="U42" s="74">
        <f t="shared" si="19"/>
        <v>0</v>
      </c>
      <c r="V42" s="74">
        <f t="shared" si="19"/>
        <v>0</v>
      </c>
      <c r="W42" s="74">
        <f t="shared" si="19"/>
        <v>0</v>
      </c>
      <c r="X42" s="76">
        <f t="shared" si="19"/>
        <v>0</v>
      </c>
      <c r="Y42" s="76">
        <f t="shared" si="19"/>
        <v>0</v>
      </c>
      <c r="Z42" s="74">
        <f t="shared" si="19"/>
        <v>0</v>
      </c>
      <c r="AA42" s="74">
        <f t="shared" si="19"/>
        <v>0</v>
      </c>
      <c r="AB42" s="74">
        <f t="shared" si="19"/>
        <v>0</v>
      </c>
      <c r="AC42" s="74">
        <f t="shared" si="19"/>
        <v>0</v>
      </c>
      <c r="AD42" s="74">
        <f t="shared" si="19"/>
        <v>0</v>
      </c>
      <c r="AE42" s="76">
        <f t="shared" si="19"/>
        <v>0</v>
      </c>
      <c r="AF42" s="76">
        <f t="shared" si="19"/>
        <v>0</v>
      </c>
      <c r="AG42" s="74">
        <f t="shared" si="19"/>
        <v>0</v>
      </c>
      <c r="AH42" s="74">
        <f t="shared" si="19"/>
        <v>0</v>
      </c>
      <c r="AI42" s="74">
        <f t="shared" si="19"/>
        <v>0</v>
      </c>
      <c r="AJ42" s="61">
        <f t="shared" si="17"/>
        <v>0</v>
      </c>
      <c r="AK42" s="62">
        <f t="shared" si="12"/>
        <v>0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/>
      <c r="E43" s="74">
        <f t="shared" ref="E43:AI43" si="20">SUM(E44:E47)</f>
        <v>0</v>
      </c>
      <c r="F43" s="74">
        <f t="shared" si="20"/>
        <v>0</v>
      </c>
      <c r="G43" s="74">
        <f t="shared" si="20"/>
        <v>0</v>
      </c>
      <c r="H43" s="74">
        <f t="shared" si="20"/>
        <v>0</v>
      </c>
      <c r="I43" s="74">
        <f t="shared" si="20"/>
        <v>0</v>
      </c>
      <c r="J43" s="76">
        <f t="shared" si="20"/>
        <v>0</v>
      </c>
      <c r="K43" s="76">
        <f t="shared" si="20"/>
        <v>0</v>
      </c>
      <c r="L43" s="74">
        <f t="shared" si="20"/>
        <v>0</v>
      </c>
      <c r="M43" s="74">
        <f t="shared" si="20"/>
        <v>0</v>
      </c>
      <c r="N43" s="74">
        <f t="shared" si="20"/>
        <v>0</v>
      </c>
      <c r="O43" s="74">
        <f t="shared" si="20"/>
        <v>0</v>
      </c>
      <c r="P43" s="74">
        <f t="shared" si="20"/>
        <v>0</v>
      </c>
      <c r="Q43" s="76">
        <f t="shared" si="20"/>
        <v>0</v>
      </c>
      <c r="R43" s="76">
        <f t="shared" si="20"/>
        <v>0</v>
      </c>
      <c r="S43" s="74">
        <f t="shared" si="20"/>
        <v>0</v>
      </c>
      <c r="T43" s="74">
        <f t="shared" si="20"/>
        <v>0</v>
      </c>
      <c r="U43" s="74">
        <f t="shared" si="20"/>
        <v>0</v>
      </c>
      <c r="V43" s="74">
        <f t="shared" si="20"/>
        <v>0</v>
      </c>
      <c r="W43" s="74">
        <f t="shared" si="20"/>
        <v>0</v>
      </c>
      <c r="X43" s="76">
        <f t="shared" si="20"/>
        <v>0</v>
      </c>
      <c r="Y43" s="76">
        <f t="shared" si="20"/>
        <v>0</v>
      </c>
      <c r="Z43" s="74">
        <f t="shared" si="20"/>
        <v>0</v>
      </c>
      <c r="AA43" s="74">
        <f t="shared" si="20"/>
        <v>0</v>
      </c>
      <c r="AB43" s="74">
        <f t="shared" si="20"/>
        <v>0</v>
      </c>
      <c r="AC43" s="74">
        <f t="shared" si="20"/>
        <v>0</v>
      </c>
      <c r="AD43" s="74">
        <f t="shared" si="20"/>
        <v>0</v>
      </c>
      <c r="AE43" s="76">
        <f t="shared" si="20"/>
        <v>0</v>
      </c>
      <c r="AF43" s="76">
        <f t="shared" si="20"/>
        <v>0</v>
      </c>
      <c r="AG43" s="74">
        <f t="shared" si="20"/>
        <v>0</v>
      </c>
      <c r="AH43" s="74">
        <f t="shared" si="20"/>
        <v>0</v>
      </c>
      <c r="AI43" s="74">
        <f t="shared" si="20"/>
        <v>0</v>
      </c>
      <c r="AJ43" s="61">
        <f t="shared" si="17"/>
        <v>0</v>
      </c>
      <c r="AK43" s="69">
        <f t="shared" si="12"/>
        <v>0</v>
      </c>
    </row>
    <row r="44" spans="1:37" s="21" customFormat="1" ht="20.100000000000001" hidden="1" customHeight="1" outlineLevel="2" x14ac:dyDescent="0.3">
      <c r="A44" s="27"/>
      <c r="B44" s="22"/>
      <c r="C44" s="49" t="s">
        <v>422</v>
      </c>
      <c r="D44" s="80"/>
      <c r="E44" s="74">
        <f>SUMIFS(разходи!$L:$L,разходи!$E:$E,'ПП Януари'!$C$44,разходи!$M:$M,'ПП Януари'!E2)</f>
        <v>0</v>
      </c>
      <c r="F44" s="74">
        <f>SUMIFS(разходи!$L:$L,разходи!$E:$E,'ПП Януари'!$C$44,разходи!$M:$M,'ПП Януари'!F2)</f>
        <v>0</v>
      </c>
      <c r="G44" s="74">
        <f>SUMIFS(разходи!$L:$L,разходи!$E:$E,'ПП Януари'!$C$44,разходи!$M:$M,'ПП Януари'!G2)</f>
        <v>0</v>
      </c>
      <c r="H44" s="74">
        <f>SUMIFS(разходи!$L:$L,разходи!$E:$E,'ПП Януари'!$C$44,разходи!$M:$M,'ПП Януари'!H2)</f>
        <v>0</v>
      </c>
      <c r="I44" s="74">
        <f>SUMIFS(разходи!$L:$L,разходи!$E:$E,'ПП Януари'!$C$44,разходи!$M:$M,'ПП Януари'!I2)</f>
        <v>0</v>
      </c>
      <c r="J44" s="76">
        <f>SUMIFS(разходи!$L:$L,разходи!$E:$E,'ПП Януари'!$C$44,разходи!$M:$M,'ПП Януари'!J2)</f>
        <v>0</v>
      </c>
      <c r="K44" s="76">
        <f>SUMIFS(разходи!$L:$L,разходи!$E:$E,'ПП Януари'!$C$44,разходи!$M:$M,'ПП Януари'!K2)</f>
        <v>0</v>
      </c>
      <c r="L44" s="74">
        <f>SUMIFS(разходи!$L:$L,разходи!$E:$E,'ПП Януари'!$C$44,разходи!$M:$M,'ПП Януари'!L2)</f>
        <v>0</v>
      </c>
      <c r="M44" s="74">
        <f>SUMIFS(разходи!$L:$L,разходи!$E:$E,'ПП Януари'!$C$44,разходи!$M:$M,'ПП Януари'!M2)</f>
        <v>0</v>
      </c>
      <c r="N44" s="74">
        <f>SUMIFS(разходи!$L:$L,разходи!$E:$E,'ПП Януари'!$C$44,разходи!$M:$M,'ПП Януари'!N2)</f>
        <v>0</v>
      </c>
      <c r="O44" s="74">
        <f>SUMIFS(разходи!$L:$L,разходи!$E:$E,'ПП Януари'!$C$44,разходи!$M:$M,'ПП Януари'!O2)</f>
        <v>0</v>
      </c>
      <c r="P44" s="74">
        <f>SUMIFS(разходи!$L:$L,разходи!$E:$E,'ПП Януари'!$C$44,разходи!$M:$M,'ПП Януари'!P2)</f>
        <v>0</v>
      </c>
      <c r="Q44" s="76">
        <f>SUMIFS(разходи!$L:$L,разходи!$E:$E,'ПП Януари'!$C$44,разходи!$M:$M,'ПП Януари'!Q2)</f>
        <v>0</v>
      </c>
      <c r="R44" s="76">
        <f>SUMIFS(разходи!$L:$L,разходи!$E:$E,'ПП Януари'!$C$44,разходи!$M:$M,'ПП Януари'!R2)</f>
        <v>0</v>
      </c>
      <c r="S44" s="74">
        <f>SUMIFS(разходи!$L:$L,разходи!$E:$E,'ПП Януари'!$C$44,разходи!$M:$M,'ПП Януари'!S2)</f>
        <v>0</v>
      </c>
      <c r="T44" s="74">
        <f>SUMIFS(разходи!$L:$L,разходи!$E:$E,'ПП Януари'!$C$44,разходи!$M:$M,'ПП Януари'!T2)</f>
        <v>0</v>
      </c>
      <c r="U44" s="74">
        <f>SUMIFS(разходи!$L:$L,разходи!$E:$E,'ПП Януари'!$C$44,разходи!$M:$M,'ПП Януари'!U2)</f>
        <v>0</v>
      </c>
      <c r="V44" s="74">
        <f>SUMIFS(разходи!$L:$L,разходи!$E:$E,'ПП Януари'!$C$44,разходи!$M:$M,'ПП Януари'!V2)</f>
        <v>0</v>
      </c>
      <c r="W44" s="74">
        <f>SUMIFS(разходи!$L:$L,разходи!$E:$E,'ПП Януари'!$C$44,разходи!$M:$M,'ПП Януари'!W2)</f>
        <v>0</v>
      </c>
      <c r="X44" s="76">
        <f>SUMIFS(разходи!$L:$L,разходи!$E:$E,'ПП Януари'!$C$44,разходи!$M:$M,'ПП Януари'!X2)</f>
        <v>0</v>
      </c>
      <c r="Y44" s="76">
        <f>SUMIFS(разходи!$L:$L,разходи!$E:$E,'ПП Януари'!$C$44,разходи!$M:$M,'ПП Януари'!Y2)</f>
        <v>0</v>
      </c>
      <c r="Z44" s="74">
        <f>SUMIFS(разходи!$L:$L,разходи!$E:$E,'ПП Януари'!$C$44,разходи!$M:$M,'ПП Януари'!Z2)</f>
        <v>0</v>
      </c>
      <c r="AA44" s="74">
        <f>SUMIFS(разходи!$L:$L,разходи!$E:$E,'ПП Януари'!$C$44,разходи!$M:$M,'ПП Януари'!AA2)</f>
        <v>0</v>
      </c>
      <c r="AB44" s="74">
        <f>SUMIFS(разходи!$L:$L,разходи!$E:$E,'ПП Януари'!$C$44,разходи!$M:$M,'ПП Януари'!AB2)</f>
        <v>0</v>
      </c>
      <c r="AC44" s="74">
        <f>SUMIFS(разходи!$L:$L,разходи!$E:$E,'ПП Януари'!$C$44,разходи!$M:$M,'ПП Януари'!AC2)</f>
        <v>0</v>
      </c>
      <c r="AD44" s="74">
        <f>SUMIFS(разходи!$L:$L,разходи!$E:$E,'ПП Януари'!$C$44,разходи!$M:$M,'ПП Януари'!AD2)</f>
        <v>0</v>
      </c>
      <c r="AE44" s="76">
        <f>SUMIFS(разходи!$L:$L,разходи!$E:$E,'ПП Януари'!$C$44,разходи!$M:$M,'ПП Януари'!AE2)</f>
        <v>0</v>
      </c>
      <c r="AF44" s="76">
        <f>SUMIFS(разходи!$L:$L,разходи!$E:$E,'ПП Януари'!$C$44,разходи!$M:$M,'ПП Януари'!AF2)</f>
        <v>0</v>
      </c>
      <c r="AG44" s="74">
        <f>SUMIFS(разходи!$L:$L,разходи!$E:$E,'ПП Януари'!$C$44,разходи!$M:$M,'ПП Януари'!AG2)</f>
        <v>0</v>
      </c>
      <c r="AH44" s="74">
        <f>SUMIFS(разходи!$L:$L,разходи!$E:$E,'ПП Януари'!$C$44,разходи!$M:$M,'ПП Януари'!AH2)</f>
        <v>0</v>
      </c>
      <c r="AI44" s="74">
        <f>SUMIFS(разходи!$L:$L,разходи!$E:$E,'ПП Януари'!$C$44,разходи!$M:$M,'ПП Януари'!AI2)</f>
        <v>0</v>
      </c>
      <c r="AJ44" s="61">
        <f t="shared" si="17"/>
        <v>0</v>
      </c>
      <c r="AK44" s="69">
        <f t="shared" si="12"/>
        <v>0</v>
      </c>
    </row>
    <row r="45" spans="1:37" s="21" customFormat="1" ht="20.100000000000001" hidden="1" customHeight="1" outlineLevel="2" x14ac:dyDescent="0.3">
      <c r="A45" s="27"/>
      <c r="B45" s="22"/>
      <c r="C45" s="49" t="s">
        <v>622</v>
      </c>
      <c r="D45" s="80"/>
      <c r="E45" s="74">
        <f>SUMIFS(разходи!$L:$L,разходи!$E:$E,'ПП Януари'!$C$45,разходи!$M:$M,'ПП Януари'!E2)</f>
        <v>0</v>
      </c>
      <c r="F45" s="74">
        <f>SUMIFS(разходи!$L:$L,разходи!$E:$E,'ПП Януари'!$C$45,разходи!$M:$M,'ПП Януари'!F2)</f>
        <v>0</v>
      </c>
      <c r="G45" s="74">
        <f>SUMIFS(разходи!$L:$L,разходи!$E:$E,'ПП Януари'!$C$45,разходи!$M:$M,'ПП Януари'!G2)</f>
        <v>0</v>
      </c>
      <c r="H45" s="74">
        <f>SUMIFS(разходи!$L:$L,разходи!$E:$E,'ПП Януари'!$C$45,разходи!$M:$M,'ПП Януари'!H2)</f>
        <v>0</v>
      </c>
      <c r="I45" s="74">
        <f>SUMIFS(разходи!$L:$L,разходи!$E:$E,'ПП Януари'!$C$45,разходи!$M:$M,'ПП Януари'!I2)</f>
        <v>0</v>
      </c>
      <c r="J45" s="76">
        <f>SUMIFS(разходи!$L:$L,разходи!$E:$E,'ПП Януари'!$C$45,разходи!$M:$M,'ПП Януари'!J2)</f>
        <v>0</v>
      </c>
      <c r="K45" s="76">
        <f>SUMIFS(разходи!$L:$L,разходи!$E:$E,'ПП Януари'!$C$45,разходи!$M:$M,'ПП Януари'!K2)</f>
        <v>0</v>
      </c>
      <c r="L45" s="74">
        <f>SUMIFS(разходи!$L:$L,разходи!$E:$E,'ПП Януари'!$C$45,разходи!$M:$M,'ПП Януари'!L2)</f>
        <v>0</v>
      </c>
      <c r="M45" s="74">
        <f>SUMIFS(разходи!$L:$L,разходи!$E:$E,'ПП Януари'!$C$45,разходи!$M:$M,'ПП Януари'!M2)</f>
        <v>0</v>
      </c>
      <c r="N45" s="74">
        <f>SUMIFS(разходи!$L:$L,разходи!$E:$E,'ПП Януари'!$C$45,разходи!$M:$M,'ПП Януари'!N2)</f>
        <v>0</v>
      </c>
      <c r="O45" s="74">
        <f>SUMIFS(разходи!$L:$L,разходи!$E:$E,'ПП Януари'!$C$45,разходи!$M:$M,'ПП Януари'!O2)</f>
        <v>0</v>
      </c>
      <c r="P45" s="74">
        <f>SUMIFS(разходи!$L:$L,разходи!$E:$E,'ПП Януари'!$C$45,разходи!$M:$M,'ПП Януари'!P2)</f>
        <v>0</v>
      </c>
      <c r="Q45" s="76">
        <f>SUMIFS(разходи!$L:$L,разходи!$E:$E,'ПП Януари'!$C$45,разходи!$M:$M,'ПП Януари'!Q2)</f>
        <v>0</v>
      </c>
      <c r="R45" s="76">
        <f>SUMIFS(разходи!$L:$L,разходи!$E:$E,'ПП Януари'!$C$45,разходи!$M:$M,'ПП Януари'!R2)</f>
        <v>0</v>
      </c>
      <c r="S45" s="74">
        <f>SUMIFS(разходи!$L:$L,разходи!$E:$E,'ПП Януари'!$C$45,разходи!$M:$M,'ПП Януари'!S2)</f>
        <v>0</v>
      </c>
      <c r="T45" s="74">
        <f>SUMIFS(разходи!$L:$L,разходи!$E:$E,'ПП Януари'!$C$45,разходи!$M:$M,'ПП Януари'!T2)</f>
        <v>0</v>
      </c>
      <c r="U45" s="74">
        <f>SUMIFS(разходи!$L:$L,разходи!$E:$E,'ПП Януари'!$C$45,разходи!$M:$M,'ПП Януари'!U2)</f>
        <v>0</v>
      </c>
      <c r="V45" s="74">
        <f>SUMIFS(разходи!$L:$L,разходи!$E:$E,'ПП Януари'!$C$45,разходи!$M:$M,'ПП Януари'!V2)</f>
        <v>0</v>
      </c>
      <c r="W45" s="74">
        <f>SUMIFS(разходи!$L:$L,разходи!$E:$E,'ПП Януари'!$C$45,разходи!$M:$M,'ПП Януари'!W2)</f>
        <v>0</v>
      </c>
      <c r="X45" s="76">
        <f>SUMIFS(разходи!$L:$L,разходи!$E:$E,'ПП Януари'!$C$45,разходи!$M:$M,'ПП Януари'!X2)</f>
        <v>0</v>
      </c>
      <c r="Y45" s="76">
        <f>SUMIFS(разходи!$L:$L,разходи!$E:$E,'ПП Януари'!$C$45,разходи!$M:$M,'ПП Януари'!Y2)</f>
        <v>0</v>
      </c>
      <c r="Z45" s="74">
        <f>SUMIFS(разходи!$L:$L,разходи!$E:$E,'ПП Януари'!$C$45,разходи!$M:$M,'ПП Януари'!Z2)</f>
        <v>0</v>
      </c>
      <c r="AA45" s="74">
        <f>SUMIFS(разходи!$L:$L,разходи!$E:$E,'ПП Януари'!$C$45,разходи!$M:$M,'ПП Януари'!AA2)</f>
        <v>0</v>
      </c>
      <c r="AB45" s="74">
        <f>SUMIFS(разходи!$L:$L,разходи!$E:$E,'ПП Януари'!$C$45,разходи!$M:$M,'ПП Януари'!AB2)</f>
        <v>0</v>
      </c>
      <c r="AC45" s="74">
        <f>SUMIFS(разходи!$L:$L,разходи!$E:$E,'ПП Януари'!$C$45,разходи!$M:$M,'ПП Януари'!AC2)</f>
        <v>0</v>
      </c>
      <c r="AD45" s="74">
        <f>SUMIFS(разходи!$L:$L,разходи!$E:$E,'ПП Януари'!$C$45,разходи!$M:$M,'ПП Януари'!AD2)</f>
        <v>0</v>
      </c>
      <c r="AE45" s="76">
        <f>SUMIFS(разходи!$L:$L,разходи!$E:$E,'ПП Януари'!$C$45,разходи!$M:$M,'ПП Януари'!AE2)</f>
        <v>0</v>
      </c>
      <c r="AF45" s="76">
        <f>SUMIFS(разходи!$L:$L,разходи!$E:$E,'ПП Януари'!$C$45,разходи!$M:$M,'ПП Януари'!AF2)</f>
        <v>0</v>
      </c>
      <c r="AG45" s="74">
        <f>SUMIFS(разходи!$L:$L,разходи!$E:$E,'ПП Януари'!$C$45,разходи!$M:$M,'ПП Януари'!AG2)</f>
        <v>0</v>
      </c>
      <c r="AH45" s="74">
        <f>SUMIFS(разходи!$L:$L,разходи!$E:$E,'ПП Януари'!$C$45,разходи!$M:$M,'ПП Януари'!AH2)</f>
        <v>0</v>
      </c>
      <c r="AI45" s="74">
        <f>SUMIFS(разходи!$L:$L,разходи!$E:$E,'ПП Януари'!$C$45,разходи!$M:$M,'ПП Януари'!AI2)</f>
        <v>0</v>
      </c>
      <c r="AJ45" s="61">
        <f t="shared" si="17"/>
        <v>0</v>
      </c>
      <c r="AK45" s="69">
        <f t="shared" si="12"/>
        <v>0</v>
      </c>
    </row>
    <row r="46" spans="1:37" s="21" customFormat="1" ht="20.100000000000001" hidden="1" customHeight="1" outlineLevel="2" x14ac:dyDescent="0.3">
      <c r="A46" s="27"/>
      <c r="B46" s="22"/>
      <c r="C46" s="49" t="s">
        <v>864</v>
      </c>
      <c r="D46" s="80"/>
      <c r="E46" s="74">
        <f>SUMIFS(разходи!$L:$L,разходи!$E:$E,'ПП Януари'!$C$46,разходи!$M:$M,'ПП Януари'!E2)</f>
        <v>0</v>
      </c>
      <c r="F46" s="74">
        <f>SUMIFS(разходи!$L:$L,разходи!$E:$E,'ПП Януари'!$C$46,разходи!$M:$M,'ПП Януари'!F2)</f>
        <v>0</v>
      </c>
      <c r="G46" s="74">
        <f>SUMIFS(разходи!$L:$L,разходи!$E:$E,'ПП Януари'!$C$46,разходи!$M:$M,'ПП Януари'!G2)</f>
        <v>0</v>
      </c>
      <c r="H46" s="74">
        <f>SUMIFS(разходи!$L:$L,разходи!$E:$E,'ПП Януари'!$C$46,разходи!$M:$M,'ПП Януари'!H2)</f>
        <v>0</v>
      </c>
      <c r="I46" s="74">
        <f>SUMIFS(разходи!$L:$L,разходи!$E:$E,'ПП Януари'!$C$46,разходи!$M:$M,'ПП Януари'!I2)</f>
        <v>0</v>
      </c>
      <c r="J46" s="76">
        <f>SUMIFS(разходи!$L:$L,разходи!$E:$E,'ПП Януари'!$C$46,разходи!$M:$M,'ПП Януари'!J2)</f>
        <v>0</v>
      </c>
      <c r="K46" s="76">
        <f>SUMIFS(разходи!$L:$L,разходи!$E:$E,'ПП Януари'!$C$46,разходи!$M:$M,'ПП Януари'!K2)</f>
        <v>0</v>
      </c>
      <c r="L46" s="74">
        <f>SUMIFS(разходи!$L:$L,разходи!$E:$E,'ПП Януари'!$C$46,разходи!$M:$M,'ПП Януари'!L2)</f>
        <v>0</v>
      </c>
      <c r="M46" s="74">
        <f>SUMIFS(разходи!$L:$L,разходи!$E:$E,'ПП Януари'!$C$46,разходи!$M:$M,'ПП Януари'!M2)</f>
        <v>0</v>
      </c>
      <c r="N46" s="74">
        <f>SUMIFS(разходи!$L:$L,разходи!$E:$E,'ПП Януари'!$C$46,разходи!$M:$M,'ПП Януари'!N2)</f>
        <v>0</v>
      </c>
      <c r="O46" s="74">
        <f>SUMIFS(разходи!$L:$L,разходи!$E:$E,'ПП Януари'!$C$46,разходи!$M:$M,'ПП Януари'!O2)</f>
        <v>0</v>
      </c>
      <c r="P46" s="74">
        <f>SUMIFS(разходи!$L:$L,разходи!$E:$E,'ПП Януари'!$C$46,разходи!$M:$M,'ПП Януари'!P2)</f>
        <v>0</v>
      </c>
      <c r="Q46" s="76">
        <f>SUMIFS(разходи!$L:$L,разходи!$E:$E,'ПП Януари'!$C$46,разходи!$M:$M,'ПП Януари'!Q2)</f>
        <v>0</v>
      </c>
      <c r="R46" s="76">
        <f>SUMIFS(разходи!$L:$L,разходи!$E:$E,'ПП Януари'!$C$46,разходи!$M:$M,'ПП Януари'!R2)</f>
        <v>0</v>
      </c>
      <c r="S46" s="74">
        <f>SUMIFS(разходи!$L:$L,разходи!$E:$E,'ПП Януари'!$C$46,разходи!$M:$M,'ПП Януари'!S2)</f>
        <v>0</v>
      </c>
      <c r="T46" s="74">
        <f>SUMIFS(разходи!$L:$L,разходи!$E:$E,'ПП Януари'!$C$46,разходи!$M:$M,'ПП Януари'!T2)</f>
        <v>0</v>
      </c>
      <c r="U46" s="74">
        <f>SUMIFS(разходи!$L:$L,разходи!$E:$E,'ПП Януари'!$C$46,разходи!$M:$M,'ПП Януари'!U2)</f>
        <v>0</v>
      </c>
      <c r="V46" s="74">
        <f>SUMIFS(разходи!$L:$L,разходи!$E:$E,'ПП Януари'!$C$46,разходи!$M:$M,'ПП Януари'!V2)</f>
        <v>0</v>
      </c>
      <c r="W46" s="74">
        <f>SUMIFS(разходи!$L:$L,разходи!$E:$E,'ПП Януари'!$C$46,разходи!$M:$M,'ПП Януари'!W2)</f>
        <v>0</v>
      </c>
      <c r="X46" s="76">
        <f>SUMIFS(разходи!$L:$L,разходи!$E:$E,'ПП Януари'!$C$46,разходи!$M:$M,'ПП Януари'!X2)</f>
        <v>0</v>
      </c>
      <c r="Y46" s="76">
        <f>SUMIFS(разходи!$L:$L,разходи!$E:$E,'ПП Януари'!$C$46,разходи!$M:$M,'ПП Януари'!Y2)</f>
        <v>0</v>
      </c>
      <c r="Z46" s="74">
        <f>SUMIFS(разходи!$L:$L,разходи!$E:$E,'ПП Януари'!$C$46,разходи!$M:$M,'ПП Януари'!Z2)</f>
        <v>0</v>
      </c>
      <c r="AA46" s="74">
        <f>SUMIFS(разходи!$L:$L,разходи!$E:$E,'ПП Януари'!$C$46,разходи!$M:$M,'ПП Януари'!AA2)</f>
        <v>0</v>
      </c>
      <c r="AB46" s="74">
        <f>SUMIFS(разходи!$L:$L,разходи!$E:$E,'ПП Януари'!$C$46,разходи!$M:$M,'ПП Януари'!AB2)</f>
        <v>0</v>
      </c>
      <c r="AC46" s="74">
        <f>SUMIFS(разходи!$L:$L,разходи!$E:$E,'ПП Януари'!$C$46,разходи!$M:$M,'ПП Януари'!AC2)</f>
        <v>0</v>
      </c>
      <c r="AD46" s="74">
        <f>SUMIFS(разходи!$L:$L,разходи!$E:$E,'ПП Януари'!$C$46,разходи!$M:$M,'ПП Януари'!AD2)</f>
        <v>0</v>
      </c>
      <c r="AE46" s="76">
        <f>SUMIFS(разходи!$L:$L,разходи!$E:$E,'ПП Януари'!$C$46,разходи!$M:$M,'ПП Януари'!AE2)</f>
        <v>0</v>
      </c>
      <c r="AF46" s="76">
        <f>SUMIFS(разходи!$L:$L,разходи!$E:$E,'ПП Януари'!$C$46,разходи!$M:$M,'ПП Януари'!AF2)</f>
        <v>0</v>
      </c>
      <c r="AG46" s="74">
        <f>SUMIFS(разходи!$L:$L,разходи!$E:$E,'ПП Януари'!$C$46,разходи!$M:$M,'ПП Януари'!AG2)</f>
        <v>0</v>
      </c>
      <c r="AH46" s="74">
        <f>SUMIFS(разходи!$L:$L,разходи!$E:$E,'ПП Януари'!$C$46,разходи!$M:$M,'ПП Януари'!AH2)</f>
        <v>0</v>
      </c>
      <c r="AI46" s="74">
        <f>SUMIFS(разходи!$L:$L,разходи!$E:$E,'ПП Януари'!$C$46,разходи!$M:$M,'ПП Януари'!AI2)</f>
        <v>0</v>
      </c>
      <c r="AJ46" s="61">
        <f t="shared" si="17"/>
        <v>0</v>
      </c>
      <c r="AK46" s="69">
        <f t="shared" si="12"/>
        <v>0</v>
      </c>
    </row>
    <row r="47" spans="1:37" s="21" customFormat="1" ht="20.100000000000001" hidden="1" customHeight="1" outlineLevel="2" x14ac:dyDescent="0.3">
      <c r="A47" s="27"/>
      <c r="B47" s="22"/>
      <c r="C47" s="49" t="s">
        <v>865</v>
      </c>
      <c r="D47" s="84"/>
      <c r="E47" s="74">
        <f>SUMIFS(разходи!$L:$L,разходи!$E:$E,'ПП Януари'!$C$47,разходи!$M:$M,'ПП Януари'!E2)</f>
        <v>0</v>
      </c>
      <c r="F47" s="74">
        <f>SUMIFS(разходи!$L:$L,разходи!$E:$E,'ПП Януари'!$C$47,разходи!$M:$M,'ПП Януари'!F2)</f>
        <v>0</v>
      </c>
      <c r="G47" s="74">
        <f>SUMIFS(разходи!$L:$L,разходи!$E:$E,'ПП Януари'!$C$47,разходи!$M:$M,'ПП Януари'!G2)</f>
        <v>0</v>
      </c>
      <c r="H47" s="74">
        <f>SUMIFS(разходи!$L:$L,разходи!$E:$E,'ПП Януари'!$C$47,разходи!$M:$M,'ПП Януари'!H2)</f>
        <v>0</v>
      </c>
      <c r="I47" s="74">
        <f>SUMIFS(разходи!$L:$L,разходи!$E:$E,'ПП Януари'!$C$47,разходи!$M:$M,'ПП Януари'!I2)</f>
        <v>0</v>
      </c>
      <c r="J47" s="76">
        <f>SUMIFS(разходи!$L:$L,разходи!$E:$E,'ПП Януари'!$C$47,разходи!$M:$M,'ПП Януари'!J2)</f>
        <v>0</v>
      </c>
      <c r="K47" s="76">
        <f>SUMIFS(разходи!$L:$L,разходи!$E:$E,'ПП Януари'!$C$47,разходи!$M:$M,'ПП Януари'!K2)</f>
        <v>0</v>
      </c>
      <c r="L47" s="74">
        <f>SUMIFS(разходи!$L:$L,разходи!$E:$E,'ПП Януари'!$C$47,разходи!$M:$M,'ПП Януари'!L2)</f>
        <v>0</v>
      </c>
      <c r="M47" s="74">
        <f>SUMIFS(разходи!$L:$L,разходи!$E:$E,'ПП Януари'!$C$47,разходи!$M:$M,'ПП Януари'!M2)</f>
        <v>0</v>
      </c>
      <c r="N47" s="74">
        <f>SUMIFS(разходи!$L:$L,разходи!$E:$E,'ПП Януари'!$C$47,разходи!$M:$M,'ПП Януари'!N2)</f>
        <v>0</v>
      </c>
      <c r="O47" s="74">
        <f>SUMIFS(разходи!$L:$L,разходи!$E:$E,'ПП Януари'!$C$47,разходи!$M:$M,'ПП Януари'!O2)</f>
        <v>0</v>
      </c>
      <c r="P47" s="74">
        <f>SUMIFS(разходи!$L:$L,разходи!$E:$E,'ПП Януари'!$C$47,разходи!$M:$M,'ПП Януари'!P2)</f>
        <v>0</v>
      </c>
      <c r="Q47" s="76">
        <f>SUMIFS(разходи!$L:$L,разходи!$E:$E,'ПП Януари'!$C$47,разходи!$M:$M,'ПП Януари'!Q2)</f>
        <v>0</v>
      </c>
      <c r="R47" s="76">
        <f>SUMIFS(разходи!$L:$L,разходи!$E:$E,'ПП Януари'!$C$47,разходи!$M:$M,'ПП Януари'!R2)</f>
        <v>0</v>
      </c>
      <c r="S47" s="74">
        <f>SUMIFS(разходи!$L:$L,разходи!$E:$E,'ПП Януари'!$C$47,разходи!$M:$M,'ПП Януари'!S2)</f>
        <v>0</v>
      </c>
      <c r="T47" s="74">
        <f>SUMIFS(разходи!$L:$L,разходи!$E:$E,'ПП Януари'!$C$47,разходи!$M:$M,'ПП Януари'!T2)</f>
        <v>0</v>
      </c>
      <c r="U47" s="74">
        <f>SUMIFS(разходи!$L:$L,разходи!$E:$E,'ПП Януари'!$C$47,разходи!$M:$M,'ПП Януари'!U2)</f>
        <v>0</v>
      </c>
      <c r="V47" s="74">
        <f>SUMIFS(разходи!$L:$L,разходи!$E:$E,'ПП Януари'!$C$47,разходи!$M:$M,'ПП Януари'!V2)</f>
        <v>0</v>
      </c>
      <c r="W47" s="74">
        <f>SUMIFS(разходи!$L:$L,разходи!$E:$E,'ПП Януари'!$C$47,разходи!$M:$M,'ПП Януари'!W2)</f>
        <v>0</v>
      </c>
      <c r="X47" s="76">
        <f>SUMIFS(разходи!$L:$L,разходи!$E:$E,'ПП Януари'!$C$47,разходи!$M:$M,'ПП Януари'!X2)</f>
        <v>0</v>
      </c>
      <c r="Y47" s="76">
        <f>SUMIFS(разходи!$L:$L,разходи!$E:$E,'ПП Януари'!$C$47,разходи!$M:$M,'ПП Януари'!Y2)</f>
        <v>0</v>
      </c>
      <c r="Z47" s="74">
        <f>SUMIFS(разходи!$L:$L,разходи!$E:$E,'ПП Януари'!$C$47,разходи!$M:$M,'ПП Януари'!Z2)</f>
        <v>0</v>
      </c>
      <c r="AA47" s="74">
        <f>SUMIFS(разходи!$L:$L,разходи!$E:$E,'ПП Януари'!$C$47,разходи!$M:$M,'ПП Януари'!AA2)</f>
        <v>0</v>
      </c>
      <c r="AB47" s="74">
        <f>SUMIFS(разходи!$L:$L,разходи!$E:$E,'ПП Януари'!$C$47,разходи!$M:$M,'ПП Януари'!AB2)</f>
        <v>0</v>
      </c>
      <c r="AC47" s="74">
        <f>SUMIFS(разходи!$L:$L,разходи!$E:$E,'ПП Януари'!$C$47,разходи!$M:$M,'ПП Януари'!AC2)</f>
        <v>0</v>
      </c>
      <c r="AD47" s="74">
        <f>SUMIFS(разходи!$L:$L,разходи!$E:$E,'ПП Януари'!$C$47,разходи!$M:$M,'ПП Януари'!AD2)</f>
        <v>0</v>
      </c>
      <c r="AE47" s="76">
        <f>SUMIFS(разходи!$L:$L,разходи!$E:$E,'ПП Януари'!$C$47,разходи!$M:$M,'ПП Януари'!AE2)</f>
        <v>0</v>
      </c>
      <c r="AF47" s="76">
        <f>SUMIFS(разходи!$L:$L,разходи!$E:$E,'ПП Януари'!$C$47,разходи!$M:$M,'ПП Януари'!AF2)</f>
        <v>0</v>
      </c>
      <c r="AG47" s="74">
        <f>SUMIFS(разходи!$L:$L,разходи!$E:$E,'ПП Януари'!$C$47,разходи!$M:$M,'ПП Януари'!AG2)</f>
        <v>0</v>
      </c>
      <c r="AH47" s="74">
        <f>SUMIFS(разходи!$L:$L,разходи!$E:$E,'ПП Януари'!$C$47,разходи!$M:$M,'ПП Януари'!AH2)</f>
        <v>0</v>
      </c>
      <c r="AI47" s="74">
        <f>SUMIFS(разходи!$L:$L,разходи!$E:$E,'ПП Януари'!$C$47,разходи!$M:$M,'ПП Януари'!AI2)</f>
        <v>0</v>
      </c>
      <c r="AJ47" s="61">
        <f t="shared" si="17"/>
        <v>0</v>
      </c>
      <c r="AK47" s="69">
        <f t="shared" si="12"/>
        <v>0</v>
      </c>
    </row>
    <row r="48" spans="1:37" s="21" customFormat="1" ht="20.100000000000001" customHeight="1" outlineLevel="1" collapsed="1" x14ac:dyDescent="0.3">
      <c r="A48" s="27"/>
      <c r="B48" s="22"/>
      <c r="C48" s="8" t="s">
        <v>866</v>
      </c>
      <c r="D48" s="80">
        <f>SUM(D49:D52)</f>
        <v>0</v>
      </c>
      <c r="E48" s="74">
        <f t="shared" ref="E48:AI48" si="21">SUM(E49:E52)</f>
        <v>0</v>
      </c>
      <c r="F48" s="74">
        <f t="shared" si="21"/>
        <v>0</v>
      </c>
      <c r="G48" s="74">
        <f t="shared" si="21"/>
        <v>0</v>
      </c>
      <c r="H48" s="74">
        <f t="shared" si="21"/>
        <v>0</v>
      </c>
      <c r="I48" s="74">
        <f t="shared" si="21"/>
        <v>0</v>
      </c>
      <c r="J48" s="76">
        <f t="shared" si="21"/>
        <v>0</v>
      </c>
      <c r="K48" s="76">
        <f t="shared" si="21"/>
        <v>0</v>
      </c>
      <c r="L48" s="74">
        <f t="shared" si="21"/>
        <v>0</v>
      </c>
      <c r="M48" s="74">
        <f t="shared" si="21"/>
        <v>0</v>
      </c>
      <c r="N48" s="74">
        <f t="shared" si="21"/>
        <v>0</v>
      </c>
      <c r="O48" s="74">
        <f t="shared" si="21"/>
        <v>0</v>
      </c>
      <c r="P48" s="74">
        <f t="shared" si="21"/>
        <v>0</v>
      </c>
      <c r="Q48" s="76">
        <f t="shared" si="21"/>
        <v>0</v>
      </c>
      <c r="R48" s="76">
        <f t="shared" si="21"/>
        <v>0</v>
      </c>
      <c r="S48" s="74">
        <f t="shared" si="21"/>
        <v>0</v>
      </c>
      <c r="T48" s="74">
        <f t="shared" si="21"/>
        <v>0</v>
      </c>
      <c r="U48" s="74">
        <f t="shared" si="21"/>
        <v>0</v>
      </c>
      <c r="V48" s="74">
        <f t="shared" si="21"/>
        <v>0</v>
      </c>
      <c r="W48" s="74">
        <f t="shared" si="21"/>
        <v>0</v>
      </c>
      <c r="X48" s="76">
        <f t="shared" si="21"/>
        <v>0</v>
      </c>
      <c r="Y48" s="76">
        <f t="shared" si="21"/>
        <v>0</v>
      </c>
      <c r="Z48" s="74">
        <f t="shared" si="21"/>
        <v>0</v>
      </c>
      <c r="AA48" s="74">
        <f t="shared" si="21"/>
        <v>0</v>
      </c>
      <c r="AB48" s="74">
        <f t="shared" si="21"/>
        <v>0</v>
      </c>
      <c r="AC48" s="74">
        <f t="shared" si="21"/>
        <v>0</v>
      </c>
      <c r="AD48" s="74">
        <f t="shared" si="21"/>
        <v>0</v>
      </c>
      <c r="AE48" s="76">
        <f t="shared" si="21"/>
        <v>0</v>
      </c>
      <c r="AF48" s="76">
        <f t="shared" si="21"/>
        <v>0</v>
      </c>
      <c r="AG48" s="74">
        <f t="shared" si="21"/>
        <v>0</v>
      </c>
      <c r="AH48" s="74">
        <f t="shared" si="21"/>
        <v>0</v>
      </c>
      <c r="AI48" s="74">
        <f t="shared" si="21"/>
        <v>0</v>
      </c>
      <c r="AJ48" s="61">
        <f t="shared" si="17"/>
        <v>0</v>
      </c>
      <c r="AK48" s="69">
        <f t="shared" si="12"/>
        <v>0</v>
      </c>
    </row>
    <row r="49" spans="1:37" s="21" customFormat="1" ht="20.100000000000001" hidden="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Януари'!$C$49,разходи!$M:$M,'ПП Януари'!E2)</f>
        <v>0</v>
      </c>
      <c r="F49" s="74">
        <f>SUMIFS(разходи!$L:$L,разходи!$E:$E,'ПП Януари'!$C$49,разходи!$M:$M,'ПП Януари'!F2)</f>
        <v>0</v>
      </c>
      <c r="G49" s="74">
        <f>SUMIFS(разходи!$L:$L,разходи!$E:$E,'ПП Януари'!$C$49,разходи!$M:$M,'ПП Януари'!G2)</f>
        <v>0</v>
      </c>
      <c r="H49" s="74">
        <f>SUMIFS(разходи!$L:$L,разходи!$E:$E,'ПП Януари'!$C$49,разходи!$M:$M,'ПП Януари'!H2)</f>
        <v>0</v>
      </c>
      <c r="I49" s="74">
        <f>SUMIFS(разходи!$L:$L,разходи!$E:$E,'ПП Януари'!$C$49,разходи!$M:$M,'ПП Януари'!I2)</f>
        <v>0</v>
      </c>
      <c r="J49" s="76">
        <f>SUMIFS(разходи!$L:$L,разходи!$E:$E,'ПП Януари'!$C$49,разходи!$M:$M,'ПП Януари'!J2)</f>
        <v>0</v>
      </c>
      <c r="K49" s="76">
        <f>SUMIFS(разходи!$L:$L,разходи!$E:$E,'ПП Януари'!$C$49,разходи!$M:$M,'ПП Януари'!K2)</f>
        <v>0</v>
      </c>
      <c r="L49" s="74">
        <f>SUMIFS(разходи!$L:$L,разходи!$E:$E,'ПП Януари'!$C$49,разходи!$M:$M,'ПП Януари'!L2)</f>
        <v>0</v>
      </c>
      <c r="M49" s="74">
        <f>SUMIFS(разходи!$L:$L,разходи!$E:$E,'ПП Януари'!$C$49,разходи!$M:$M,'ПП Януари'!M2)</f>
        <v>0</v>
      </c>
      <c r="N49" s="74">
        <f>SUMIFS(разходи!$L:$L,разходи!$E:$E,'ПП Януари'!$C$49,разходи!$M:$M,'ПП Януари'!N2)</f>
        <v>0</v>
      </c>
      <c r="O49" s="74">
        <f>SUMIFS(разходи!$L:$L,разходи!$E:$E,'ПП Януари'!$C$49,разходи!$M:$M,'ПП Януари'!O2)</f>
        <v>0</v>
      </c>
      <c r="P49" s="74">
        <f>SUMIFS(разходи!$L:$L,разходи!$E:$E,'ПП Януари'!$C$49,разходи!$M:$M,'ПП Януари'!P2)</f>
        <v>0</v>
      </c>
      <c r="Q49" s="76">
        <f>SUMIFS(разходи!$L:$L,разходи!$E:$E,'ПП Януари'!$C$49,разходи!$M:$M,'ПП Януари'!Q2)</f>
        <v>0</v>
      </c>
      <c r="R49" s="76">
        <f>SUMIFS(разходи!$L:$L,разходи!$E:$E,'ПП Януари'!$C$49,разходи!$M:$M,'ПП Януари'!R2)</f>
        <v>0</v>
      </c>
      <c r="S49" s="74">
        <f>SUMIFS(разходи!$L:$L,разходи!$E:$E,'ПП Януари'!$C$49,разходи!$M:$M,'ПП Януари'!S2)</f>
        <v>0</v>
      </c>
      <c r="T49" s="74">
        <f>SUMIFS(разходи!$L:$L,разходи!$E:$E,'ПП Януари'!$C$49,разходи!$M:$M,'ПП Януари'!T2)</f>
        <v>0</v>
      </c>
      <c r="U49" s="74">
        <f>SUMIFS(разходи!$L:$L,разходи!$E:$E,'ПП Януари'!$C$49,разходи!$M:$M,'ПП Януари'!U2)</f>
        <v>0</v>
      </c>
      <c r="V49" s="74">
        <f>SUMIFS(разходи!$L:$L,разходи!$E:$E,'ПП Януари'!$C$49,разходи!$M:$M,'ПП Януари'!V2)</f>
        <v>0</v>
      </c>
      <c r="W49" s="74">
        <f>SUMIFS(разходи!$L:$L,разходи!$E:$E,'ПП Януари'!$C$49,разходи!$M:$M,'ПП Януари'!W2)</f>
        <v>0</v>
      </c>
      <c r="X49" s="76">
        <f>SUMIFS(разходи!$L:$L,разходи!$E:$E,'ПП Януари'!$C$49,разходи!$M:$M,'ПП Януари'!X2)</f>
        <v>0</v>
      </c>
      <c r="Y49" s="76">
        <f>SUMIFS(разходи!$L:$L,разходи!$E:$E,'ПП Януари'!$C$49,разходи!$M:$M,'ПП Януари'!Y2)</f>
        <v>0</v>
      </c>
      <c r="Z49" s="74">
        <f>SUMIFS(разходи!$L:$L,разходи!$E:$E,'ПП Януари'!$C$49,разходи!$M:$M,'ПП Януари'!Z2)</f>
        <v>0</v>
      </c>
      <c r="AA49" s="74">
        <f>SUMIFS(разходи!$L:$L,разходи!$E:$E,'ПП Януари'!$C$49,разходи!$M:$M,'ПП Януари'!AA2)</f>
        <v>0</v>
      </c>
      <c r="AB49" s="74">
        <f>SUMIFS(разходи!$L:$L,разходи!$E:$E,'ПП Януари'!$C$49,разходи!$M:$M,'ПП Януари'!AB2)</f>
        <v>0</v>
      </c>
      <c r="AC49" s="74">
        <f>SUMIFS(разходи!$L:$L,разходи!$E:$E,'ПП Януари'!$C$49,разходи!$M:$M,'ПП Януари'!AC2)</f>
        <v>0</v>
      </c>
      <c r="AD49" s="74">
        <f>SUMIFS(разходи!$L:$L,разходи!$E:$E,'ПП Януари'!$C$49,разходи!$M:$M,'ПП Януари'!AD2)</f>
        <v>0</v>
      </c>
      <c r="AE49" s="76">
        <f>SUMIFS(разходи!$L:$L,разходи!$E:$E,'ПП Януари'!$C$49,разходи!$M:$M,'ПП Януари'!AE2)</f>
        <v>0</v>
      </c>
      <c r="AF49" s="76">
        <f>SUMIFS(разходи!$L:$L,разходи!$E:$E,'ПП Януари'!$C$49,разходи!$M:$M,'ПП Януари'!AF2)</f>
        <v>0</v>
      </c>
      <c r="AG49" s="74">
        <f>SUMIFS(разходи!$L:$L,разходи!$E:$E,'ПП Януари'!$C$49,разходи!$M:$M,'ПП Януари'!AG2)</f>
        <v>0</v>
      </c>
      <c r="AH49" s="74">
        <f>SUMIFS(разходи!$L:$L,разходи!$E:$E,'ПП Януари'!$C$49,разходи!$M:$M,'ПП Януари'!AH2)</f>
        <v>0</v>
      </c>
      <c r="AI49" s="74">
        <f>SUMIFS(разходи!$L:$L,разходи!$E:$E,'ПП Януари'!$C$49,разходи!$M:$M,'ПП Януари'!AI2)</f>
        <v>0</v>
      </c>
      <c r="AJ49" s="61">
        <f t="shared" si="17"/>
        <v>0</v>
      </c>
      <c r="AK49" s="69">
        <f t="shared" si="12"/>
        <v>0</v>
      </c>
    </row>
    <row r="50" spans="1:37" s="21" customFormat="1" ht="20.100000000000001" hidden="1" customHeight="1" outlineLevel="2" x14ac:dyDescent="0.3">
      <c r="A50" s="27"/>
      <c r="B50" s="22"/>
      <c r="C50" s="49" t="s">
        <v>609</v>
      </c>
      <c r="D50" s="80"/>
      <c r="E50" s="74">
        <f>SUMIFS(разходи!$L:$L,разходи!$E:$E,'ПП Януари'!$C$50,разходи!$M:$M,'ПП Януари'!E2)</f>
        <v>0</v>
      </c>
      <c r="F50" s="74">
        <f>SUMIFS(разходи!$L:$L,разходи!$E:$E,'ПП Януари'!$C$50,разходи!$M:$M,'ПП Януари'!F2)</f>
        <v>0</v>
      </c>
      <c r="G50" s="74">
        <f>SUMIFS(разходи!$L:$L,разходи!$E:$E,'ПП Януари'!$C$50,разходи!$M:$M,'ПП Януари'!G2)</f>
        <v>0</v>
      </c>
      <c r="H50" s="74">
        <f>SUMIFS(разходи!$L:$L,разходи!$E:$E,'ПП Януари'!$C$50,разходи!$M:$M,'ПП Януари'!H2)</f>
        <v>0</v>
      </c>
      <c r="I50" s="74">
        <f>SUMIFS(разходи!$L:$L,разходи!$E:$E,'ПП Януари'!$C$50,разходи!$M:$M,'ПП Януари'!I2)</f>
        <v>0</v>
      </c>
      <c r="J50" s="76">
        <f>SUMIFS(разходи!$L:$L,разходи!$E:$E,'ПП Януари'!$C$50,разходи!$M:$M,'ПП Януари'!J2)</f>
        <v>0</v>
      </c>
      <c r="K50" s="76">
        <f>SUMIFS(разходи!$L:$L,разходи!$E:$E,'ПП Януари'!$C$50,разходи!$M:$M,'ПП Януари'!K2)</f>
        <v>0</v>
      </c>
      <c r="L50" s="74">
        <f>SUMIFS(разходи!$L:$L,разходи!$E:$E,'ПП Януари'!$C$50,разходи!$M:$M,'ПП Януари'!L2)</f>
        <v>0</v>
      </c>
      <c r="M50" s="74">
        <f>SUMIFS(разходи!$L:$L,разходи!$E:$E,'ПП Януари'!$C$50,разходи!$M:$M,'ПП Януари'!M2)</f>
        <v>0</v>
      </c>
      <c r="N50" s="74">
        <f>SUMIFS(разходи!$L:$L,разходи!$E:$E,'ПП Януари'!$C$50,разходи!$M:$M,'ПП Януари'!N2)</f>
        <v>0</v>
      </c>
      <c r="O50" s="74">
        <f>SUMIFS(разходи!$L:$L,разходи!$E:$E,'ПП Януари'!$C$50,разходи!$M:$M,'ПП Януари'!O2)</f>
        <v>0</v>
      </c>
      <c r="P50" s="74">
        <f>SUMIFS(разходи!$L:$L,разходи!$E:$E,'ПП Януари'!$C$50,разходи!$M:$M,'ПП Януари'!P2)</f>
        <v>0</v>
      </c>
      <c r="Q50" s="76">
        <f>SUMIFS(разходи!$L:$L,разходи!$E:$E,'ПП Януари'!$C$50,разходи!$M:$M,'ПП Януари'!Q2)</f>
        <v>0</v>
      </c>
      <c r="R50" s="76">
        <f>SUMIFS(разходи!$L:$L,разходи!$E:$E,'ПП Януари'!$C$50,разходи!$M:$M,'ПП Януари'!R2)</f>
        <v>0</v>
      </c>
      <c r="S50" s="74">
        <f>SUMIFS(разходи!$L:$L,разходи!$E:$E,'ПП Януари'!$C$50,разходи!$M:$M,'ПП Януари'!S2)</f>
        <v>0</v>
      </c>
      <c r="T50" s="74">
        <f>SUMIFS(разходи!$L:$L,разходи!$E:$E,'ПП Януари'!$C$50,разходи!$M:$M,'ПП Януари'!T2)</f>
        <v>0</v>
      </c>
      <c r="U50" s="74">
        <f>SUMIFS(разходи!$L:$L,разходи!$E:$E,'ПП Януари'!$C$50,разходи!$M:$M,'ПП Януари'!U2)</f>
        <v>0</v>
      </c>
      <c r="V50" s="74">
        <f>SUMIFS(разходи!$L:$L,разходи!$E:$E,'ПП Януари'!$C$50,разходи!$M:$M,'ПП Януари'!V2)</f>
        <v>0</v>
      </c>
      <c r="W50" s="74">
        <f>SUMIFS(разходи!$L:$L,разходи!$E:$E,'ПП Януари'!$C$50,разходи!$M:$M,'ПП Януари'!W2)</f>
        <v>0</v>
      </c>
      <c r="X50" s="76">
        <f>SUMIFS(разходи!$L:$L,разходи!$E:$E,'ПП Януари'!$C$50,разходи!$M:$M,'ПП Януари'!X2)</f>
        <v>0</v>
      </c>
      <c r="Y50" s="76">
        <f>SUMIFS(разходи!$L:$L,разходи!$E:$E,'ПП Януари'!$C$50,разходи!$M:$M,'ПП Януари'!Y2)</f>
        <v>0</v>
      </c>
      <c r="Z50" s="74">
        <f>SUMIFS(разходи!$L:$L,разходи!$E:$E,'ПП Януари'!$C$50,разходи!$M:$M,'ПП Януари'!Z2)</f>
        <v>0</v>
      </c>
      <c r="AA50" s="74">
        <f>SUMIFS(разходи!$L:$L,разходи!$E:$E,'ПП Януари'!$C$50,разходи!$M:$M,'ПП Януари'!AA2)</f>
        <v>0</v>
      </c>
      <c r="AB50" s="74">
        <f>SUMIFS(разходи!$L:$L,разходи!$E:$E,'ПП Януари'!$C$50,разходи!$M:$M,'ПП Януари'!AB2)</f>
        <v>0</v>
      </c>
      <c r="AC50" s="74">
        <f>SUMIFS(разходи!$L:$L,разходи!$E:$E,'ПП Януари'!$C$50,разходи!$M:$M,'ПП Януари'!AC2)</f>
        <v>0</v>
      </c>
      <c r="AD50" s="74">
        <f>SUMIFS(разходи!$L:$L,разходи!$E:$E,'ПП Януари'!$C$50,разходи!$M:$M,'ПП Януари'!AD2)</f>
        <v>0</v>
      </c>
      <c r="AE50" s="76">
        <f>SUMIFS(разходи!$L:$L,разходи!$E:$E,'ПП Януари'!$C$50,разходи!$M:$M,'ПП Януари'!AE2)</f>
        <v>0</v>
      </c>
      <c r="AF50" s="76">
        <f>SUMIFS(разходи!$L:$L,разходи!$E:$E,'ПП Януари'!$C$50,разходи!$M:$M,'ПП Януари'!AF2)</f>
        <v>0</v>
      </c>
      <c r="AG50" s="74">
        <f>SUMIFS(разходи!$L:$L,разходи!$E:$E,'ПП Януари'!$C$50,разходи!$M:$M,'ПП Януари'!AG2)</f>
        <v>0</v>
      </c>
      <c r="AH50" s="74">
        <f>SUMIFS(разходи!$L:$L,разходи!$E:$E,'ПП Януари'!$C$50,разходи!$M:$M,'ПП Януари'!AH2)</f>
        <v>0</v>
      </c>
      <c r="AI50" s="74">
        <f>SUMIFS(разходи!$L:$L,разходи!$E:$E,'ПП Януари'!$C$50,разходи!$M:$M,'ПП Януари'!AI2)</f>
        <v>0</v>
      </c>
      <c r="AJ50" s="61">
        <f t="shared" si="17"/>
        <v>0</v>
      </c>
      <c r="AK50" s="69">
        <f t="shared" si="12"/>
        <v>0</v>
      </c>
    </row>
    <row r="51" spans="1:37" s="21" customFormat="1" ht="20.100000000000001" hidden="1" customHeight="1" outlineLevel="2" x14ac:dyDescent="0.3">
      <c r="A51" s="27"/>
      <c r="B51" s="22"/>
      <c r="C51" s="49" t="s">
        <v>450</v>
      </c>
      <c r="D51" s="80"/>
      <c r="E51" s="74">
        <f>SUMIFS(разходи!$L:$L,разходи!$E:$E,'ПП Януари'!$C$51,разходи!$M:$M,'ПП Януари'!E2)</f>
        <v>0</v>
      </c>
      <c r="F51" s="74">
        <f>SUMIFS(разходи!$L:$L,разходи!$E:$E,'ПП Януари'!$C$51,разходи!$M:$M,'ПП Януари'!F2)</f>
        <v>0</v>
      </c>
      <c r="G51" s="74">
        <f>SUMIFS(разходи!$L:$L,разходи!$E:$E,'ПП Януари'!$C$51,разходи!$M:$M,'ПП Януари'!G2)</f>
        <v>0</v>
      </c>
      <c r="H51" s="74">
        <f>SUMIFS(разходи!$L:$L,разходи!$E:$E,'ПП Януари'!$C$51,разходи!$M:$M,'ПП Януари'!H2)</f>
        <v>0</v>
      </c>
      <c r="I51" s="74">
        <f>SUMIFS(разходи!$L:$L,разходи!$E:$E,'ПП Януари'!$C$51,разходи!$M:$M,'ПП Януари'!I2)</f>
        <v>0</v>
      </c>
      <c r="J51" s="76">
        <f>SUMIFS(разходи!$L:$L,разходи!$E:$E,'ПП Януари'!$C$51,разходи!$M:$M,'ПП Януари'!J2)</f>
        <v>0</v>
      </c>
      <c r="K51" s="76">
        <f>SUMIFS(разходи!$L:$L,разходи!$E:$E,'ПП Януари'!$C$51,разходи!$M:$M,'ПП Януари'!K2)</f>
        <v>0</v>
      </c>
      <c r="L51" s="74">
        <f>SUMIFS(разходи!$L:$L,разходи!$E:$E,'ПП Януари'!$C$51,разходи!$M:$M,'ПП Януари'!L2)</f>
        <v>0</v>
      </c>
      <c r="M51" s="74">
        <f>SUMIFS(разходи!$L:$L,разходи!$E:$E,'ПП Януари'!$C$51,разходи!$M:$M,'ПП Януари'!M2)</f>
        <v>0</v>
      </c>
      <c r="N51" s="74">
        <f>SUMIFS(разходи!$L:$L,разходи!$E:$E,'ПП Януари'!$C$51,разходи!$M:$M,'ПП Януари'!N2)</f>
        <v>0</v>
      </c>
      <c r="O51" s="74">
        <f>SUMIFS(разходи!$L:$L,разходи!$E:$E,'ПП Януари'!$C$51,разходи!$M:$M,'ПП Януари'!O2)</f>
        <v>0</v>
      </c>
      <c r="P51" s="74">
        <f>SUMIFS(разходи!$L:$L,разходи!$E:$E,'ПП Януари'!$C$51,разходи!$M:$M,'ПП Януари'!P2)</f>
        <v>0</v>
      </c>
      <c r="Q51" s="76">
        <f>SUMIFS(разходи!$L:$L,разходи!$E:$E,'ПП Януари'!$C$51,разходи!$M:$M,'ПП Януари'!Q2)</f>
        <v>0</v>
      </c>
      <c r="R51" s="76">
        <f>SUMIFS(разходи!$L:$L,разходи!$E:$E,'ПП Януари'!$C$51,разходи!$M:$M,'ПП Януари'!R2)</f>
        <v>0</v>
      </c>
      <c r="S51" s="74">
        <f>SUMIFS(разходи!$L:$L,разходи!$E:$E,'ПП Януари'!$C$51,разходи!$M:$M,'ПП Януари'!S2)</f>
        <v>0</v>
      </c>
      <c r="T51" s="74">
        <f>SUMIFS(разходи!$L:$L,разходи!$E:$E,'ПП Януари'!$C$51,разходи!$M:$M,'ПП Януари'!T2)</f>
        <v>0</v>
      </c>
      <c r="U51" s="74">
        <f>SUMIFS(разходи!$L:$L,разходи!$E:$E,'ПП Януари'!$C$51,разходи!$M:$M,'ПП Януари'!U2)</f>
        <v>0</v>
      </c>
      <c r="V51" s="74">
        <f>SUMIFS(разходи!$L:$L,разходи!$E:$E,'ПП Януари'!$C$51,разходи!$M:$M,'ПП Януари'!V2)</f>
        <v>0</v>
      </c>
      <c r="W51" s="74">
        <f>SUMIFS(разходи!$L:$L,разходи!$E:$E,'ПП Януари'!$C$51,разходи!$M:$M,'ПП Януари'!W2)</f>
        <v>0</v>
      </c>
      <c r="X51" s="76">
        <f>SUMIFS(разходи!$L:$L,разходи!$E:$E,'ПП Януари'!$C$51,разходи!$M:$M,'ПП Януари'!X2)</f>
        <v>0</v>
      </c>
      <c r="Y51" s="76">
        <f>SUMIFS(разходи!$L:$L,разходи!$E:$E,'ПП Януари'!$C$51,разходи!$M:$M,'ПП Януари'!Y2)</f>
        <v>0</v>
      </c>
      <c r="Z51" s="74">
        <f>SUMIFS(разходи!$L:$L,разходи!$E:$E,'ПП Януари'!$C$51,разходи!$M:$M,'ПП Януари'!Z2)</f>
        <v>0</v>
      </c>
      <c r="AA51" s="74">
        <f>SUMIFS(разходи!$L:$L,разходи!$E:$E,'ПП Януари'!$C$51,разходи!$M:$M,'ПП Януари'!AA2)</f>
        <v>0</v>
      </c>
      <c r="AB51" s="74">
        <f>SUMIFS(разходи!$L:$L,разходи!$E:$E,'ПП Януари'!$C$51,разходи!$M:$M,'ПП Януари'!AB2)</f>
        <v>0</v>
      </c>
      <c r="AC51" s="74">
        <f>SUMIFS(разходи!$L:$L,разходи!$E:$E,'ПП Януари'!$C$51,разходи!$M:$M,'ПП Януари'!AC2)</f>
        <v>0</v>
      </c>
      <c r="AD51" s="74">
        <f>SUMIFS(разходи!$L:$L,разходи!$E:$E,'ПП Януари'!$C$51,разходи!$M:$M,'ПП Януари'!AD2)</f>
        <v>0</v>
      </c>
      <c r="AE51" s="76">
        <f>SUMIFS(разходи!$L:$L,разходи!$E:$E,'ПП Януари'!$C$51,разходи!$M:$M,'ПП Януари'!AE2)</f>
        <v>0</v>
      </c>
      <c r="AF51" s="76">
        <f>SUMIFS(разходи!$L:$L,разходи!$E:$E,'ПП Януари'!$C$51,разходи!$M:$M,'ПП Януари'!AF2)</f>
        <v>0</v>
      </c>
      <c r="AG51" s="74">
        <f>SUMIFS(разходи!$L:$L,разходи!$E:$E,'ПП Януари'!$C$51,разходи!$M:$M,'ПП Януари'!AG2)</f>
        <v>0</v>
      </c>
      <c r="AH51" s="74">
        <f>SUMIFS(разходи!$L:$L,разходи!$E:$E,'ПП Януари'!$C$51,разходи!$M:$M,'ПП Януари'!AH2)</f>
        <v>0</v>
      </c>
      <c r="AI51" s="74">
        <f>SUMIFS(разходи!$L:$L,разходи!$E:$E,'ПП Януари'!$C$51,разходи!$M:$M,'ПП Януари'!AI2)</f>
        <v>0</v>
      </c>
      <c r="AJ51" s="61">
        <f t="shared" si="17"/>
        <v>0</v>
      </c>
      <c r="AK51" s="69">
        <f t="shared" si="12"/>
        <v>0</v>
      </c>
    </row>
    <row r="52" spans="1:37" s="21" customFormat="1" ht="20.100000000000001" hidden="1" customHeight="1" outlineLevel="2" x14ac:dyDescent="0.3">
      <c r="A52" s="27"/>
      <c r="B52" s="22"/>
      <c r="C52" s="49" t="s">
        <v>867</v>
      </c>
      <c r="D52" s="80"/>
      <c r="E52" s="74">
        <f>SUMIFS(разходи!$L:$L,разходи!$E:$E,'ПП Януари'!$C$52,разходи!$M:$M,'ПП Януари'!E2)</f>
        <v>0</v>
      </c>
      <c r="F52" s="74">
        <f>SUMIFS(разходи!$L:$L,разходи!$E:$E,'ПП Януари'!$C$52,разходи!$M:$M,'ПП Януари'!F2)</f>
        <v>0</v>
      </c>
      <c r="G52" s="74">
        <f>SUMIFS(разходи!$L:$L,разходи!$E:$E,'ПП Януари'!$C$52,разходи!$M:$M,'ПП Януари'!G2)</f>
        <v>0</v>
      </c>
      <c r="H52" s="74">
        <f>SUMIFS(разходи!$L:$L,разходи!$E:$E,'ПП Януари'!$C$52,разходи!$M:$M,'ПП Януари'!H2)</f>
        <v>0</v>
      </c>
      <c r="I52" s="74">
        <f>SUMIFS(разходи!$L:$L,разходи!$E:$E,'ПП Януари'!$C$52,разходи!$M:$M,'ПП Януари'!I2)</f>
        <v>0</v>
      </c>
      <c r="J52" s="76">
        <f>SUMIFS(разходи!$L:$L,разходи!$E:$E,'ПП Януари'!$C$52,разходи!$M:$M,'ПП Януари'!J2)</f>
        <v>0</v>
      </c>
      <c r="K52" s="76">
        <f>SUMIFS(разходи!$L:$L,разходи!$E:$E,'ПП Януари'!$C$52,разходи!$M:$M,'ПП Януари'!K2)</f>
        <v>0</v>
      </c>
      <c r="L52" s="74">
        <f>SUMIFS(разходи!$L:$L,разходи!$E:$E,'ПП Януари'!$C$52,разходи!$M:$M,'ПП Януари'!L2)</f>
        <v>0</v>
      </c>
      <c r="M52" s="74">
        <f>SUMIFS(разходи!$L:$L,разходи!$E:$E,'ПП Януари'!$C$52,разходи!$M:$M,'ПП Януари'!M2)</f>
        <v>0</v>
      </c>
      <c r="N52" s="74">
        <f>SUMIFS(разходи!$L:$L,разходи!$E:$E,'ПП Януари'!$C$52,разходи!$M:$M,'ПП Януари'!N2)</f>
        <v>0</v>
      </c>
      <c r="O52" s="74">
        <f>SUMIFS(разходи!$L:$L,разходи!$E:$E,'ПП Януари'!$C$52,разходи!$M:$M,'ПП Януари'!O2)</f>
        <v>0</v>
      </c>
      <c r="P52" s="74">
        <f>SUMIFS(разходи!$L:$L,разходи!$E:$E,'ПП Януари'!$C$52,разходи!$M:$M,'ПП Януари'!P2)</f>
        <v>0</v>
      </c>
      <c r="Q52" s="76">
        <f>SUMIFS(разходи!$L:$L,разходи!$E:$E,'ПП Януари'!$C$52,разходи!$M:$M,'ПП Януари'!Q2)</f>
        <v>0</v>
      </c>
      <c r="R52" s="76">
        <f>SUMIFS(разходи!$L:$L,разходи!$E:$E,'ПП Януари'!$C$52,разходи!$M:$M,'ПП Януари'!R2)</f>
        <v>0</v>
      </c>
      <c r="S52" s="74">
        <f>SUMIFS(разходи!$L:$L,разходи!$E:$E,'ПП Януари'!$C$52,разходи!$M:$M,'ПП Януари'!S2)</f>
        <v>0</v>
      </c>
      <c r="T52" s="74">
        <f>SUMIFS(разходи!$L:$L,разходи!$E:$E,'ПП Януари'!$C$52,разходи!$M:$M,'ПП Януари'!T2)</f>
        <v>0</v>
      </c>
      <c r="U52" s="74">
        <f>SUMIFS(разходи!$L:$L,разходи!$E:$E,'ПП Януари'!$C$52,разходи!$M:$M,'ПП Януари'!U2)</f>
        <v>0</v>
      </c>
      <c r="V52" s="74">
        <f>SUMIFS(разходи!$L:$L,разходи!$E:$E,'ПП Януари'!$C$52,разходи!$M:$M,'ПП Януари'!V2)</f>
        <v>0</v>
      </c>
      <c r="W52" s="74">
        <f>SUMIFS(разходи!$L:$L,разходи!$E:$E,'ПП Януари'!$C$52,разходи!$M:$M,'ПП Януари'!W2)</f>
        <v>0</v>
      </c>
      <c r="X52" s="76">
        <f>SUMIFS(разходи!$L:$L,разходи!$E:$E,'ПП Януари'!$C$52,разходи!$M:$M,'ПП Януари'!X2)</f>
        <v>0</v>
      </c>
      <c r="Y52" s="76">
        <f>SUMIFS(разходи!$L:$L,разходи!$E:$E,'ПП Януари'!$C$52,разходи!$M:$M,'ПП Януари'!Y2)</f>
        <v>0</v>
      </c>
      <c r="Z52" s="74">
        <f>SUMIFS(разходи!$L:$L,разходи!$E:$E,'ПП Януари'!$C$52,разходи!$M:$M,'ПП Януари'!Z2)</f>
        <v>0</v>
      </c>
      <c r="AA52" s="74">
        <f>SUMIFS(разходи!$L:$L,разходи!$E:$E,'ПП Януари'!$C$52,разходи!$M:$M,'ПП Януари'!AA2)</f>
        <v>0</v>
      </c>
      <c r="AB52" s="74">
        <f>SUMIFS(разходи!$L:$L,разходи!$E:$E,'ПП Януари'!$C$52,разходи!$M:$M,'ПП Януари'!AB2)</f>
        <v>0</v>
      </c>
      <c r="AC52" s="74">
        <f>SUMIFS(разходи!$L:$L,разходи!$E:$E,'ПП Януари'!$C$52,разходи!$M:$M,'ПП Януари'!AC2)</f>
        <v>0</v>
      </c>
      <c r="AD52" s="74">
        <f>SUMIFS(разходи!$L:$L,разходи!$E:$E,'ПП Януари'!$C$52,разходи!$M:$M,'ПП Януари'!AD2)</f>
        <v>0</v>
      </c>
      <c r="AE52" s="76">
        <f>SUMIFS(разходи!$L:$L,разходи!$E:$E,'ПП Януари'!$C$52,разходи!$M:$M,'ПП Януари'!AE2)</f>
        <v>0</v>
      </c>
      <c r="AF52" s="76">
        <f>SUMIFS(разходи!$L:$L,разходи!$E:$E,'ПП Януари'!$C$52,разходи!$M:$M,'ПП Януари'!AF2)</f>
        <v>0</v>
      </c>
      <c r="AG52" s="74">
        <f>SUMIFS(разходи!$L:$L,разходи!$E:$E,'ПП Януари'!$C$52,разходи!$M:$M,'ПП Януари'!AG2)</f>
        <v>0</v>
      </c>
      <c r="AH52" s="74">
        <f>SUMIFS(разходи!$L:$L,разходи!$E:$E,'ПП Януари'!$C$52,разходи!$M:$M,'ПП Януари'!AH2)</f>
        <v>0</v>
      </c>
      <c r="AI52" s="74">
        <f>SUMIFS(разходи!$L:$L,разходи!$E:$E,'ПП Януари'!$C$52,разходи!$M:$M,'ПП Януари'!AI2)</f>
        <v>0</v>
      </c>
      <c r="AJ52" s="61">
        <f t="shared" si="17"/>
        <v>0</v>
      </c>
      <c r="AK52" s="69">
        <f t="shared" si="12"/>
        <v>0</v>
      </c>
    </row>
    <row r="53" spans="1:37" s="21" customFormat="1" ht="20.100000000000001" customHeight="1" outlineLevel="1" collapsed="1" x14ac:dyDescent="0.3">
      <c r="A53" s="27"/>
      <c r="B53" s="22"/>
      <c r="C53" s="8" t="s">
        <v>868</v>
      </c>
      <c r="D53" s="80">
        <f>SUM(D54:D55)</f>
        <v>0</v>
      </c>
      <c r="E53" s="74">
        <f>SUMIFS(разходи!$L:$L,разходи!$E:$E,'ПП Януари'!$C$57,разходи!$M:$M,'ПП Януари'!E2)</f>
        <v>0</v>
      </c>
      <c r="F53" s="74">
        <f>SUMIFS(разходи!$L:$L,разходи!$E:$E,'ПП Януари'!$C$57,разходи!$M:$M,'ПП Януари'!F2)</f>
        <v>0</v>
      </c>
      <c r="G53" s="74">
        <f>SUMIFS(разходи!$L:$L,разходи!$E:$E,'ПП Януари'!$C$57,разходи!$M:$M,'ПП Януари'!G2)</f>
        <v>0</v>
      </c>
      <c r="H53" s="74">
        <f>SUMIFS(разходи!$L:$L,разходи!$E:$E,'ПП Януари'!$C$57,разходи!$M:$M,'ПП Януари'!H2)</f>
        <v>0</v>
      </c>
      <c r="I53" s="74">
        <f>SUMIFS(разходи!$L:$L,разходи!$E:$E,'ПП Януари'!$C$57,разходи!$M:$M,'ПП Януари'!I2)</f>
        <v>0</v>
      </c>
      <c r="J53" s="76">
        <f>SUMIFS(разходи!$L:$L,разходи!$E:$E,'ПП Януари'!$C$57,разходи!$M:$M,'ПП Януари'!J2)</f>
        <v>0</v>
      </c>
      <c r="K53" s="76">
        <f>SUMIFS(разходи!$L:$L,разходи!$E:$E,'ПП Януари'!$C$57,разходи!$M:$M,'ПП Януари'!K2)</f>
        <v>0</v>
      </c>
      <c r="L53" s="74">
        <f>SUMIFS(разходи!$L:$L,разходи!$E:$E,'ПП Януари'!$C$57,разходи!$M:$M,'ПП Януари'!L2)</f>
        <v>0</v>
      </c>
      <c r="M53" s="74">
        <f>SUMIFS(разходи!$L:$L,разходи!$E:$E,'ПП Януари'!$C$57,разходи!$M:$M,'ПП Януари'!M2)</f>
        <v>0</v>
      </c>
      <c r="N53" s="74">
        <f>SUMIFS(разходи!$L:$L,разходи!$E:$E,'ПП Януари'!$C$57,разходи!$M:$M,'ПП Януари'!N2)</f>
        <v>0</v>
      </c>
      <c r="O53" s="74">
        <f>SUMIFS(разходи!$L:$L,разходи!$E:$E,'ПП Януари'!$C$57,разходи!$M:$M,'ПП Януари'!O2)</f>
        <v>0</v>
      </c>
      <c r="P53" s="74">
        <f>SUMIFS(разходи!$L:$L,разходи!$E:$E,'ПП Януари'!$C$57,разходи!$M:$M,'ПП Януари'!P2)</f>
        <v>0</v>
      </c>
      <c r="Q53" s="76">
        <f>SUMIFS(разходи!$L:$L,разходи!$E:$E,'ПП Януари'!$C$57,разходи!$M:$M,'ПП Януари'!Q2)</f>
        <v>0</v>
      </c>
      <c r="R53" s="76">
        <f>SUMIFS(разходи!$L:$L,разходи!$E:$E,'ПП Януари'!$C$57,разходи!$M:$M,'ПП Януари'!R2)</f>
        <v>0</v>
      </c>
      <c r="S53" s="74">
        <f>SUMIFS(разходи!$L:$L,разходи!$E:$E,'ПП Януари'!$C$57,разходи!$M:$M,'ПП Януари'!S2)</f>
        <v>0</v>
      </c>
      <c r="T53" s="74">
        <f>SUMIFS(разходи!$L:$L,разходи!$E:$E,'ПП Януари'!$C$57,разходи!$M:$M,'ПП Януари'!T2)</f>
        <v>0</v>
      </c>
      <c r="U53" s="74">
        <f>SUMIFS(разходи!$L:$L,разходи!$E:$E,'ПП Януари'!$C$57,разходи!$M:$M,'ПП Януари'!U2)</f>
        <v>0</v>
      </c>
      <c r="V53" s="74">
        <f>SUMIFS(разходи!$L:$L,разходи!$E:$E,'ПП Януари'!$C$57,разходи!$M:$M,'ПП Януари'!V2)</f>
        <v>0</v>
      </c>
      <c r="W53" s="74">
        <f>SUMIFS(разходи!$L:$L,разходи!$E:$E,'ПП Януари'!$C$57,разходи!$M:$M,'ПП Януари'!W2)</f>
        <v>0</v>
      </c>
      <c r="X53" s="76">
        <f>SUMIFS(разходи!$L:$L,разходи!$E:$E,'ПП Януари'!$C$57,разходи!$M:$M,'ПП Януари'!X2)</f>
        <v>0</v>
      </c>
      <c r="Y53" s="76">
        <f>SUMIFS(разходи!$L:$L,разходи!$E:$E,'ПП Януари'!$C$57,разходи!$M:$M,'ПП Януари'!Y2)</f>
        <v>0</v>
      </c>
      <c r="Z53" s="74">
        <f>SUMIFS(разходи!$L:$L,разходи!$E:$E,'ПП Януари'!$C$57,разходи!$M:$M,'ПП Януари'!Z2)</f>
        <v>0</v>
      </c>
      <c r="AA53" s="74">
        <f>SUMIFS(разходи!$L:$L,разходи!$E:$E,'ПП Януари'!$C$57,разходи!$M:$M,'ПП Януари'!AA2)</f>
        <v>0</v>
      </c>
      <c r="AB53" s="74">
        <f>SUMIFS(разходи!$L:$L,разходи!$E:$E,'ПП Януари'!$C$57,разходи!$M:$M,'ПП Януари'!AB2)</f>
        <v>0</v>
      </c>
      <c r="AC53" s="74">
        <f>SUMIFS(разходи!$L:$L,разходи!$E:$E,'ПП Януари'!$C$57,разходи!$M:$M,'ПП Януари'!AC2)</f>
        <v>0</v>
      </c>
      <c r="AD53" s="74">
        <f>SUMIFS(разходи!$L:$L,разходи!$E:$E,'ПП Януари'!$C$57,разходи!$M:$M,'ПП Януари'!AD2)</f>
        <v>0</v>
      </c>
      <c r="AE53" s="76">
        <f>SUMIFS(разходи!$L:$L,разходи!$E:$E,'ПП Януари'!$C$57,разходи!$M:$M,'ПП Януари'!AE2)</f>
        <v>0</v>
      </c>
      <c r="AF53" s="76">
        <f>SUMIFS(разходи!$L:$L,разходи!$E:$E,'ПП Януари'!$C$57,разходи!$M:$M,'ПП Януари'!AF2)</f>
        <v>0</v>
      </c>
      <c r="AG53" s="74">
        <f>SUMIFS(разходи!$L:$L,разходи!$E:$E,'ПП Януари'!$C$57,разходи!$M:$M,'ПП Януари'!AG2)</f>
        <v>0</v>
      </c>
      <c r="AH53" s="74">
        <f>SUMIFS(разходи!$L:$L,разходи!$E:$E,'ПП Януари'!$C$57,разходи!$M:$M,'ПП Януари'!AH2)</f>
        <v>0</v>
      </c>
      <c r="AI53" s="74">
        <f>SUMIFS(разходи!$L:$L,разходи!$E:$E,'ПП Януари'!$C$57,разходи!$M:$M,'ПП Януари'!AI2)</f>
        <v>0</v>
      </c>
      <c r="AJ53" s="61">
        <f t="shared" si="17"/>
        <v>0</v>
      </c>
      <c r="AK53" s="69">
        <f t="shared" si="12"/>
        <v>0</v>
      </c>
    </row>
    <row r="54" spans="1:37" s="53" customFormat="1" ht="20.100000000000001" hidden="1" customHeight="1" outlineLevel="2" x14ac:dyDescent="0.3">
      <c r="A54" s="51"/>
      <c r="B54" s="52"/>
      <c r="C54" s="49" t="s">
        <v>869</v>
      </c>
      <c r="D54" s="80"/>
      <c r="E54" s="74">
        <f>SUMIFS(разходи!$L:$L,разходи!$E:$E,'ПП Януари'!$C$54,разходи!$M:$M,'ПП Януари'!E2)</f>
        <v>0</v>
      </c>
      <c r="F54" s="74">
        <f>SUMIFS(разходи!$L:$L,разходи!$E:$E,'ПП Януари'!$C$54,разходи!$M:$M,'ПП Януари'!F2)</f>
        <v>0</v>
      </c>
      <c r="G54" s="74">
        <f>SUMIFS(разходи!$L:$L,разходи!$E:$E,'ПП Януари'!$C$54,разходи!$M:$M,'ПП Януари'!G2)</f>
        <v>0</v>
      </c>
      <c r="H54" s="74">
        <f>SUMIFS(разходи!$L:$L,разходи!$E:$E,'ПП Януари'!$C$54,разходи!$M:$M,'ПП Януари'!H2)</f>
        <v>0</v>
      </c>
      <c r="I54" s="74">
        <f>SUMIFS(разходи!$L:$L,разходи!$E:$E,'ПП Януари'!$C$54,разходи!$M:$M,'ПП Януари'!I2)</f>
        <v>0</v>
      </c>
      <c r="J54" s="76">
        <f>SUMIFS(разходи!$L:$L,разходи!$E:$E,'ПП Януари'!$C$54,разходи!$M:$M,'ПП Януари'!J2)</f>
        <v>0</v>
      </c>
      <c r="K54" s="76">
        <f>SUMIFS(разходи!$L:$L,разходи!$E:$E,'ПП Януари'!$C$54,разходи!$M:$M,'ПП Януари'!K2)</f>
        <v>0</v>
      </c>
      <c r="L54" s="74">
        <f>SUMIFS(разходи!$L:$L,разходи!$E:$E,'ПП Януари'!$C$54,разходи!$M:$M,'ПП Януари'!L2)</f>
        <v>0</v>
      </c>
      <c r="M54" s="74">
        <f>SUMIFS(разходи!$L:$L,разходи!$E:$E,'ПП Януари'!$C$54,разходи!$M:$M,'ПП Януари'!M2)</f>
        <v>0</v>
      </c>
      <c r="N54" s="74">
        <f>SUMIFS(разходи!$L:$L,разходи!$E:$E,'ПП Януари'!$C$54,разходи!$M:$M,'ПП Януари'!N2)</f>
        <v>0</v>
      </c>
      <c r="O54" s="74">
        <f>SUMIFS(разходи!$L:$L,разходи!$E:$E,'ПП Януари'!$C$54,разходи!$M:$M,'ПП Януари'!O2)</f>
        <v>0</v>
      </c>
      <c r="P54" s="74">
        <f>SUMIFS(разходи!$L:$L,разходи!$E:$E,'ПП Януари'!$C$54,разходи!$M:$M,'ПП Януари'!P2)</f>
        <v>0</v>
      </c>
      <c r="Q54" s="76">
        <f>SUMIFS(разходи!$L:$L,разходи!$E:$E,'ПП Януари'!$C$54,разходи!$M:$M,'ПП Януари'!Q2)</f>
        <v>0</v>
      </c>
      <c r="R54" s="76">
        <f>SUMIFS(разходи!$L:$L,разходи!$E:$E,'ПП Януари'!$C$54,разходи!$M:$M,'ПП Януари'!R2)</f>
        <v>0</v>
      </c>
      <c r="S54" s="74">
        <f>SUMIFS(разходи!$L:$L,разходи!$E:$E,'ПП Януари'!$C$54,разходи!$M:$M,'ПП Януари'!S2)</f>
        <v>0</v>
      </c>
      <c r="T54" s="74">
        <f>SUMIFS(разходи!$L:$L,разходи!$E:$E,'ПП Януари'!$C$54,разходи!$M:$M,'ПП Януари'!T2)</f>
        <v>0</v>
      </c>
      <c r="U54" s="74">
        <f>SUMIFS(разходи!$L:$L,разходи!$E:$E,'ПП Януари'!$C$54,разходи!$M:$M,'ПП Януари'!U2)</f>
        <v>0</v>
      </c>
      <c r="V54" s="74">
        <f>SUMIFS(разходи!$L:$L,разходи!$E:$E,'ПП Януари'!$C$54,разходи!$M:$M,'ПП Януари'!V2)</f>
        <v>0</v>
      </c>
      <c r="W54" s="74">
        <f>SUMIFS(разходи!$L:$L,разходи!$E:$E,'ПП Януари'!$C$54,разходи!$M:$M,'ПП Януари'!W2)</f>
        <v>0</v>
      </c>
      <c r="X54" s="76">
        <f>SUMIFS(разходи!$L:$L,разходи!$E:$E,'ПП Януари'!$C$54,разходи!$M:$M,'ПП Януари'!X2)</f>
        <v>0</v>
      </c>
      <c r="Y54" s="76">
        <f>SUMIFS(разходи!$L:$L,разходи!$E:$E,'ПП Януари'!$C$54,разходи!$M:$M,'ПП Януари'!Y2)</f>
        <v>0</v>
      </c>
      <c r="Z54" s="74">
        <f>SUMIFS(разходи!$L:$L,разходи!$E:$E,'ПП Януари'!$C$54,разходи!$M:$M,'ПП Януари'!Z2)</f>
        <v>0</v>
      </c>
      <c r="AA54" s="74">
        <f>SUMIFS(разходи!$L:$L,разходи!$E:$E,'ПП Януари'!$C$54,разходи!$M:$M,'ПП Януари'!AA2)</f>
        <v>0</v>
      </c>
      <c r="AB54" s="74">
        <f>SUMIFS(разходи!$L:$L,разходи!$E:$E,'ПП Януари'!$C$54,разходи!$M:$M,'ПП Януари'!AB2)</f>
        <v>0</v>
      </c>
      <c r="AC54" s="74">
        <f>SUMIFS(разходи!$L:$L,разходи!$E:$E,'ПП Януари'!$C$54,разходи!$M:$M,'ПП Януари'!AC2)</f>
        <v>0</v>
      </c>
      <c r="AD54" s="74">
        <f>SUMIFS(разходи!$L:$L,разходи!$E:$E,'ПП Януари'!$C$54,разходи!$M:$M,'ПП Януари'!AD2)</f>
        <v>0</v>
      </c>
      <c r="AE54" s="76">
        <f>SUMIFS(разходи!$L:$L,разходи!$E:$E,'ПП Януари'!$C$54,разходи!$M:$M,'ПП Януари'!AE2)</f>
        <v>0</v>
      </c>
      <c r="AF54" s="76">
        <f>SUMIFS(разходи!$L:$L,разходи!$E:$E,'ПП Януари'!$C$54,разходи!$M:$M,'ПП Януари'!AF2)</f>
        <v>0</v>
      </c>
      <c r="AG54" s="74">
        <f>SUMIFS(разходи!$L:$L,разходи!$E:$E,'ПП Януари'!$C$54,разходи!$M:$M,'ПП Януари'!AG2)</f>
        <v>0</v>
      </c>
      <c r="AH54" s="74">
        <f>SUMIFS(разходи!$L:$L,разходи!$E:$E,'ПП Януари'!$C$54,разходи!$M:$M,'ПП Януари'!AH2)</f>
        <v>0</v>
      </c>
      <c r="AI54" s="74">
        <f>SUMIFS(разходи!$L:$L,разходи!$E:$E,'ПП Януари'!$C$54,разходи!$M:$M,'ПП Януари'!AI2)</f>
        <v>0</v>
      </c>
      <c r="AJ54" s="61">
        <f t="shared" si="17"/>
        <v>0</v>
      </c>
      <c r="AK54" s="69">
        <f t="shared" si="12"/>
        <v>0</v>
      </c>
    </row>
    <row r="55" spans="1:37" s="53" customFormat="1" ht="20.100000000000001" hidden="1" customHeight="1" outlineLevel="2" x14ac:dyDescent="0.3">
      <c r="A55" s="51"/>
      <c r="B55" s="52"/>
      <c r="C55" s="49" t="s">
        <v>415</v>
      </c>
      <c r="D55" s="80"/>
      <c r="E55" s="74">
        <f>SUMIFS(разходи!$L:$L,разходи!$E:$E,'ПП Януари'!$C$55,разходи!$M:$M,'ПП Януари'!E2)</f>
        <v>0</v>
      </c>
      <c r="F55" s="74">
        <f>SUMIFS(разходи!$L:$L,разходи!$E:$E,'ПП Януари'!$C$55,разходи!$M:$M,'ПП Януари'!F2)</f>
        <v>0</v>
      </c>
      <c r="G55" s="74">
        <f>SUMIFS(разходи!$L:$L,разходи!$E:$E,'ПП Януари'!$C$55,разходи!$M:$M,'ПП Януари'!G2)</f>
        <v>0</v>
      </c>
      <c r="H55" s="74">
        <f>SUMIFS(разходи!$L:$L,разходи!$E:$E,'ПП Януари'!$C$55,разходи!$M:$M,'ПП Януари'!H2)</f>
        <v>0</v>
      </c>
      <c r="I55" s="74">
        <f>SUMIFS(разходи!$L:$L,разходи!$E:$E,'ПП Януари'!$C$55,разходи!$M:$M,'ПП Януари'!I2)</f>
        <v>0</v>
      </c>
      <c r="J55" s="76">
        <f>SUMIFS(разходи!$L:$L,разходи!$E:$E,'ПП Януари'!$C$55,разходи!$M:$M,'ПП Януари'!J2)</f>
        <v>0</v>
      </c>
      <c r="K55" s="76">
        <f>SUMIFS(разходи!$L:$L,разходи!$E:$E,'ПП Януари'!$C$55,разходи!$M:$M,'ПП Януари'!K2)</f>
        <v>0</v>
      </c>
      <c r="L55" s="74">
        <f>SUMIFS(разходи!$L:$L,разходи!$E:$E,'ПП Януари'!$C$55,разходи!$M:$M,'ПП Януари'!L2)</f>
        <v>0</v>
      </c>
      <c r="M55" s="74">
        <f>SUMIFS(разходи!$L:$L,разходи!$E:$E,'ПП Януари'!$C$55,разходи!$M:$M,'ПП Януари'!M2)</f>
        <v>0</v>
      </c>
      <c r="N55" s="74">
        <f>SUMIFS(разходи!$L:$L,разходи!$E:$E,'ПП Януари'!$C$55,разходи!$M:$M,'ПП Януари'!N2)</f>
        <v>0</v>
      </c>
      <c r="O55" s="74">
        <f>SUMIFS(разходи!$L:$L,разходи!$E:$E,'ПП Януари'!$C$55,разходи!$M:$M,'ПП Януари'!O2)</f>
        <v>0</v>
      </c>
      <c r="P55" s="74">
        <f>SUMIFS(разходи!$L:$L,разходи!$E:$E,'ПП Януари'!$C$55,разходи!$M:$M,'ПП Януари'!P2)</f>
        <v>0</v>
      </c>
      <c r="Q55" s="76">
        <f>SUMIFS(разходи!$L:$L,разходи!$E:$E,'ПП Януари'!$C$55,разходи!$M:$M,'ПП Януари'!Q2)</f>
        <v>0</v>
      </c>
      <c r="R55" s="76">
        <f>SUMIFS(разходи!$L:$L,разходи!$E:$E,'ПП Януари'!$C$55,разходи!$M:$M,'ПП Януари'!R2)</f>
        <v>0</v>
      </c>
      <c r="S55" s="74">
        <f>SUMIFS(разходи!$L:$L,разходи!$E:$E,'ПП Януари'!$C$55,разходи!$M:$M,'ПП Януари'!S2)</f>
        <v>0</v>
      </c>
      <c r="T55" s="74">
        <f>SUMIFS(разходи!$L:$L,разходи!$E:$E,'ПП Януари'!$C$55,разходи!$M:$M,'ПП Януари'!T2)</f>
        <v>0</v>
      </c>
      <c r="U55" s="74">
        <f>SUMIFS(разходи!$L:$L,разходи!$E:$E,'ПП Януари'!$C$55,разходи!$M:$M,'ПП Януари'!U2)</f>
        <v>0</v>
      </c>
      <c r="V55" s="74">
        <f>SUMIFS(разходи!$L:$L,разходи!$E:$E,'ПП Януари'!$C$55,разходи!$M:$M,'ПП Януари'!V2)</f>
        <v>0</v>
      </c>
      <c r="W55" s="74">
        <f>SUMIFS(разходи!$L:$L,разходи!$E:$E,'ПП Януари'!$C$55,разходи!$M:$M,'ПП Януари'!W2)</f>
        <v>0</v>
      </c>
      <c r="X55" s="76">
        <f>SUMIFS(разходи!$L:$L,разходи!$E:$E,'ПП Януари'!$C$55,разходи!$M:$M,'ПП Януари'!X2)</f>
        <v>0</v>
      </c>
      <c r="Y55" s="76">
        <f>SUMIFS(разходи!$L:$L,разходи!$E:$E,'ПП Януари'!$C$55,разходи!$M:$M,'ПП Януари'!Y2)</f>
        <v>0</v>
      </c>
      <c r="Z55" s="74">
        <f>SUMIFS(разходи!$L:$L,разходи!$E:$E,'ПП Януари'!$C$55,разходи!$M:$M,'ПП Януари'!Z2)</f>
        <v>0</v>
      </c>
      <c r="AA55" s="74">
        <f>SUMIFS(разходи!$L:$L,разходи!$E:$E,'ПП Януари'!$C$55,разходи!$M:$M,'ПП Януари'!AA2)</f>
        <v>0</v>
      </c>
      <c r="AB55" s="74">
        <f>SUMIFS(разходи!$L:$L,разходи!$E:$E,'ПП Януари'!$C$55,разходи!$M:$M,'ПП Януари'!AB2)</f>
        <v>0</v>
      </c>
      <c r="AC55" s="74">
        <f>SUMIFS(разходи!$L:$L,разходи!$E:$E,'ПП Януари'!$C$55,разходи!$M:$M,'ПП Януари'!AC2)</f>
        <v>0</v>
      </c>
      <c r="AD55" s="74">
        <f>SUMIFS(разходи!$L:$L,разходи!$E:$E,'ПП Януари'!$C$55,разходи!$M:$M,'ПП Януари'!AD2)</f>
        <v>0</v>
      </c>
      <c r="AE55" s="76">
        <f>SUMIFS(разходи!$L:$L,разходи!$E:$E,'ПП Януари'!$C$55,разходи!$M:$M,'ПП Януари'!AE2)</f>
        <v>0</v>
      </c>
      <c r="AF55" s="76">
        <f>SUMIFS(разходи!$L:$L,разходи!$E:$E,'ПП Януари'!$C$55,разходи!$M:$M,'ПП Януари'!AF2)</f>
        <v>0</v>
      </c>
      <c r="AG55" s="74">
        <f>SUMIFS(разходи!$L:$L,разходи!$E:$E,'ПП Януари'!$C$55,разходи!$M:$M,'ПП Януари'!AG2)</f>
        <v>0</v>
      </c>
      <c r="AH55" s="74">
        <f>SUMIFS(разходи!$L:$L,разходи!$E:$E,'ПП Януари'!$C$55,разходи!$M:$M,'ПП Януари'!AH2)</f>
        <v>0</v>
      </c>
      <c r="AI55" s="74">
        <f>SUMIFS(разходи!$L:$L,разходи!$E:$E,'ПП Януари'!$C$55,разходи!$M:$M,'ПП Януари'!AI2)</f>
        <v>0</v>
      </c>
      <c r="AJ55" s="61">
        <f t="shared" si="17"/>
        <v>0</v>
      </c>
      <c r="AK55" s="69">
        <f t="shared" si="12"/>
        <v>0</v>
      </c>
    </row>
    <row r="56" spans="1:37" s="39" customFormat="1" ht="20.100000000000001" customHeight="1" outlineLevel="1" collapsed="1" x14ac:dyDescent="0.3">
      <c r="A56" s="37"/>
      <c r="B56" s="38"/>
      <c r="C56" s="48" t="s">
        <v>870</v>
      </c>
      <c r="D56" s="80"/>
      <c r="E56" s="74">
        <f t="shared" ref="E56:AI56" si="22">SUM(E57:E61)</f>
        <v>0</v>
      </c>
      <c r="F56" s="74">
        <f t="shared" si="22"/>
        <v>0</v>
      </c>
      <c r="G56" s="74">
        <f t="shared" si="22"/>
        <v>0</v>
      </c>
      <c r="H56" s="74">
        <f t="shared" si="22"/>
        <v>0</v>
      </c>
      <c r="I56" s="74">
        <f t="shared" si="22"/>
        <v>0</v>
      </c>
      <c r="J56" s="76">
        <f t="shared" si="22"/>
        <v>0</v>
      </c>
      <c r="K56" s="76">
        <f t="shared" si="22"/>
        <v>0</v>
      </c>
      <c r="L56" s="74">
        <f t="shared" si="22"/>
        <v>0</v>
      </c>
      <c r="M56" s="74">
        <f t="shared" si="22"/>
        <v>0</v>
      </c>
      <c r="N56" s="74">
        <f t="shared" si="22"/>
        <v>0</v>
      </c>
      <c r="O56" s="74">
        <f t="shared" si="22"/>
        <v>0</v>
      </c>
      <c r="P56" s="74">
        <f t="shared" si="22"/>
        <v>0</v>
      </c>
      <c r="Q56" s="76">
        <f t="shared" si="22"/>
        <v>0</v>
      </c>
      <c r="R56" s="76">
        <f t="shared" si="22"/>
        <v>0</v>
      </c>
      <c r="S56" s="74">
        <f t="shared" si="22"/>
        <v>0</v>
      </c>
      <c r="T56" s="74">
        <f t="shared" si="22"/>
        <v>0</v>
      </c>
      <c r="U56" s="74">
        <f t="shared" si="22"/>
        <v>0</v>
      </c>
      <c r="V56" s="74">
        <f t="shared" si="22"/>
        <v>0</v>
      </c>
      <c r="W56" s="74">
        <f t="shared" si="22"/>
        <v>0</v>
      </c>
      <c r="X56" s="76">
        <f t="shared" si="22"/>
        <v>0</v>
      </c>
      <c r="Y56" s="76">
        <f t="shared" si="22"/>
        <v>0</v>
      </c>
      <c r="Z56" s="74">
        <f t="shared" si="22"/>
        <v>0</v>
      </c>
      <c r="AA56" s="74">
        <f t="shared" si="22"/>
        <v>0</v>
      </c>
      <c r="AB56" s="74">
        <f t="shared" si="22"/>
        <v>0</v>
      </c>
      <c r="AC56" s="74">
        <f t="shared" si="22"/>
        <v>0</v>
      </c>
      <c r="AD56" s="74">
        <f t="shared" si="22"/>
        <v>0</v>
      </c>
      <c r="AE56" s="76">
        <f t="shared" si="22"/>
        <v>0</v>
      </c>
      <c r="AF56" s="76">
        <f t="shared" si="22"/>
        <v>0</v>
      </c>
      <c r="AG56" s="74">
        <f t="shared" si="22"/>
        <v>0</v>
      </c>
      <c r="AH56" s="74">
        <f t="shared" si="22"/>
        <v>0</v>
      </c>
      <c r="AI56" s="74">
        <f t="shared" si="22"/>
        <v>0</v>
      </c>
      <c r="AJ56" s="61">
        <f t="shared" si="17"/>
        <v>0</v>
      </c>
      <c r="AK56" s="69">
        <f t="shared" si="12"/>
        <v>0</v>
      </c>
    </row>
    <row r="57" spans="1:37" s="39" customFormat="1" ht="20.100000000000001" hidden="1" customHeight="1" outlineLevel="2" x14ac:dyDescent="0.3">
      <c r="A57" s="37"/>
      <c r="B57" s="38"/>
      <c r="C57" s="49" t="s">
        <v>871</v>
      </c>
      <c r="D57" s="80"/>
      <c r="E57" s="74">
        <f>SUMIFS(разходи!$L:$L,разходи!$E:$E,'ПП Януари'!$C$57,разходи!$M:$M,'ПП Януари'!E2)</f>
        <v>0</v>
      </c>
      <c r="F57" s="74">
        <f>SUMIFS(разходи!$L:$L,разходи!$E:$E,'ПП Януари'!$C$57,разходи!$M:$M,'ПП Януари'!F2)</f>
        <v>0</v>
      </c>
      <c r="G57" s="74">
        <f>SUMIFS(разходи!$L:$L,разходи!$E:$E,'ПП Януари'!$C$57,разходи!$M:$M,'ПП Януари'!G2)</f>
        <v>0</v>
      </c>
      <c r="H57" s="74">
        <f>SUMIFS(разходи!$L:$L,разходи!$E:$E,'ПП Януари'!$C$57,разходи!$M:$M,'ПП Януари'!H2)</f>
        <v>0</v>
      </c>
      <c r="I57" s="74">
        <f>SUMIFS(разходи!$L:$L,разходи!$E:$E,'ПП Януари'!$C$57,разходи!$M:$M,'ПП Януари'!I2)</f>
        <v>0</v>
      </c>
      <c r="J57" s="76">
        <f>SUMIFS(разходи!$L:$L,разходи!$E:$E,'ПП Януари'!$C$57,разходи!$M:$M,'ПП Януари'!J2)</f>
        <v>0</v>
      </c>
      <c r="K57" s="76">
        <f>SUMIFS(разходи!$L:$L,разходи!$E:$E,'ПП Януари'!$C$57,разходи!$M:$M,'ПП Януари'!K2)</f>
        <v>0</v>
      </c>
      <c r="L57" s="74">
        <f>SUMIFS(разходи!$L:$L,разходи!$E:$E,'ПП Януари'!$C$57,разходи!$M:$M,'ПП Януари'!L2)</f>
        <v>0</v>
      </c>
      <c r="M57" s="74">
        <f>SUMIFS(разходи!$L:$L,разходи!$E:$E,'ПП Януари'!$C$57,разходи!$M:$M,'ПП Януари'!M2)</f>
        <v>0</v>
      </c>
      <c r="N57" s="74">
        <f>SUMIFS(разходи!$L:$L,разходи!$E:$E,'ПП Януари'!$C$57,разходи!$M:$M,'ПП Януари'!N2)</f>
        <v>0</v>
      </c>
      <c r="O57" s="74">
        <f>SUMIFS(разходи!$L:$L,разходи!$E:$E,'ПП Януари'!$C$57,разходи!$M:$M,'ПП Януари'!O2)</f>
        <v>0</v>
      </c>
      <c r="P57" s="74">
        <f>SUMIFS(разходи!$L:$L,разходи!$E:$E,'ПП Януари'!$C$57,разходи!$M:$M,'ПП Януари'!P2)</f>
        <v>0</v>
      </c>
      <c r="Q57" s="76">
        <f>SUMIFS(разходи!$L:$L,разходи!$E:$E,'ПП Януари'!$C$57,разходи!$M:$M,'ПП Януари'!Q2)</f>
        <v>0</v>
      </c>
      <c r="R57" s="76">
        <f>SUMIFS(разходи!$L:$L,разходи!$E:$E,'ПП Януари'!$C$57,разходи!$M:$M,'ПП Януари'!R2)</f>
        <v>0</v>
      </c>
      <c r="S57" s="74">
        <f>SUMIFS(разходи!$L:$L,разходи!$E:$E,'ПП Януари'!$C$57,разходи!$M:$M,'ПП Януари'!S2)</f>
        <v>0</v>
      </c>
      <c r="T57" s="74">
        <f>SUMIFS(разходи!$L:$L,разходи!$E:$E,'ПП Януари'!$C$57,разходи!$M:$M,'ПП Януари'!T2)</f>
        <v>0</v>
      </c>
      <c r="U57" s="74">
        <f>SUMIFS(разходи!$L:$L,разходи!$E:$E,'ПП Януари'!$C$57,разходи!$M:$M,'ПП Януари'!U2)</f>
        <v>0</v>
      </c>
      <c r="V57" s="74">
        <f>SUMIFS(разходи!$L:$L,разходи!$E:$E,'ПП Януари'!$C$57,разходи!$M:$M,'ПП Януари'!V2)</f>
        <v>0</v>
      </c>
      <c r="W57" s="74">
        <f>SUMIFS(разходи!$L:$L,разходи!$E:$E,'ПП Януари'!$C$57,разходи!$M:$M,'ПП Януари'!W2)</f>
        <v>0</v>
      </c>
      <c r="X57" s="76">
        <f>SUMIFS(разходи!$L:$L,разходи!$E:$E,'ПП Януари'!$C$57,разходи!$M:$M,'ПП Януари'!X2)</f>
        <v>0</v>
      </c>
      <c r="Y57" s="76">
        <f>SUMIFS(разходи!$L:$L,разходи!$E:$E,'ПП Януари'!$C$57,разходи!$M:$M,'ПП Януари'!Y2)</f>
        <v>0</v>
      </c>
      <c r="Z57" s="74">
        <f>SUMIFS(разходи!$L:$L,разходи!$E:$E,'ПП Януари'!$C$57,разходи!$M:$M,'ПП Януари'!Z2)</f>
        <v>0</v>
      </c>
      <c r="AA57" s="74">
        <f>SUMIFS(разходи!$L:$L,разходи!$E:$E,'ПП Януари'!$C$57,разходи!$M:$M,'ПП Януари'!AA2)</f>
        <v>0</v>
      </c>
      <c r="AB57" s="74">
        <f>SUMIFS(разходи!$L:$L,разходи!$E:$E,'ПП Януари'!$C$57,разходи!$M:$M,'ПП Януари'!AB2)</f>
        <v>0</v>
      </c>
      <c r="AC57" s="74">
        <f>SUMIFS(разходи!$L:$L,разходи!$E:$E,'ПП Януари'!$C$57,разходи!$M:$M,'ПП Януари'!AC2)</f>
        <v>0</v>
      </c>
      <c r="AD57" s="74">
        <f>SUMIFS(разходи!$L:$L,разходи!$E:$E,'ПП Януари'!$C$57,разходи!$M:$M,'ПП Януари'!AD2)</f>
        <v>0</v>
      </c>
      <c r="AE57" s="76">
        <f>SUMIFS(разходи!$L:$L,разходи!$E:$E,'ПП Януари'!$C$57,разходи!$M:$M,'ПП Януари'!AE2)</f>
        <v>0</v>
      </c>
      <c r="AF57" s="76">
        <f>SUMIFS(разходи!$L:$L,разходи!$E:$E,'ПП Януари'!$C$57,разходи!$M:$M,'ПП Януари'!AF2)</f>
        <v>0</v>
      </c>
      <c r="AG57" s="74">
        <f>SUMIFS(разходи!$L:$L,разходи!$E:$E,'ПП Януари'!$C$57,разходи!$M:$M,'ПП Януари'!AG2)</f>
        <v>0</v>
      </c>
      <c r="AH57" s="74">
        <f>SUMIFS(разходи!$L:$L,разходи!$E:$E,'ПП Януари'!$C$57,разходи!$M:$M,'ПП Януари'!AH2)</f>
        <v>0</v>
      </c>
      <c r="AI57" s="74">
        <f>SUMIFS(разходи!$L:$L,разходи!$E:$E,'ПП Януари'!$C$57,разходи!$M:$M,'ПП Януари'!AI2)</f>
        <v>0</v>
      </c>
      <c r="AJ57" s="61">
        <f t="shared" si="17"/>
        <v>0</v>
      </c>
      <c r="AK57" s="69">
        <f t="shared" si="12"/>
        <v>0</v>
      </c>
    </row>
    <row r="58" spans="1:37" s="39" customFormat="1" ht="20.100000000000001" hidden="1" customHeight="1" outlineLevel="2" x14ac:dyDescent="0.3">
      <c r="A58" s="37"/>
      <c r="B58" s="38"/>
      <c r="C58" s="49" t="s">
        <v>872</v>
      </c>
      <c r="D58" s="80"/>
      <c r="E58" s="74">
        <f>SUMIFS(разходи!$L:$L,разходи!$E:$E,'ПП Януари'!$C$58,разходи!$M:$M,'ПП Януари'!E2)</f>
        <v>0</v>
      </c>
      <c r="F58" s="74">
        <f>SUMIFS(разходи!$L:$L,разходи!$E:$E,'ПП Януари'!$C$58,разходи!$M:$M,'ПП Януари'!F2)</f>
        <v>0</v>
      </c>
      <c r="G58" s="74">
        <f>SUMIFS(разходи!$L:$L,разходи!$E:$E,'ПП Януари'!$C$58,разходи!$M:$M,'ПП Януари'!G2)</f>
        <v>0</v>
      </c>
      <c r="H58" s="74">
        <f>SUMIFS(разходи!$L:$L,разходи!$E:$E,'ПП Януари'!$C$58,разходи!$M:$M,'ПП Януари'!H2)</f>
        <v>0</v>
      </c>
      <c r="I58" s="74">
        <f>SUMIFS(разходи!$L:$L,разходи!$E:$E,'ПП Януари'!$C$58,разходи!$M:$M,'ПП Януари'!I2)</f>
        <v>0</v>
      </c>
      <c r="J58" s="76">
        <f>SUMIFS(разходи!$L:$L,разходи!$E:$E,'ПП Януари'!$C$58,разходи!$M:$M,'ПП Януари'!J2)</f>
        <v>0</v>
      </c>
      <c r="K58" s="76">
        <f>SUMIFS(разходи!$L:$L,разходи!$E:$E,'ПП Януари'!$C$58,разходи!$M:$M,'ПП Януари'!K2)</f>
        <v>0</v>
      </c>
      <c r="L58" s="74">
        <f>SUMIFS(разходи!$L:$L,разходи!$E:$E,'ПП Януари'!$C$58,разходи!$M:$M,'ПП Януари'!L2)</f>
        <v>0</v>
      </c>
      <c r="M58" s="74">
        <f>SUMIFS(разходи!$L:$L,разходи!$E:$E,'ПП Януари'!$C$58,разходи!$M:$M,'ПП Януари'!M2)</f>
        <v>0</v>
      </c>
      <c r="N58" s="74">
        <f>SUMIFS(разходи!$L:$L,разходи!$E:$E,'ПП Януари'!$C$58,разходи!$M:$M,'ПП Януари'!N2)</f>
        <v>0</v>
      </c>
      <c r="O58" s="74">
        <f>SUMIFS(разходи!$L:$L,разходи!$E:$E,'ПП Януари'!$C$58,разходи!$M:$M,'ПП Януари'!O2)</f>
        <v>0</v>
      </c>
      <c r="P58" s="74">
        <f>SUMIFS(разходи!$L:$L,разходи!$E:$E,'ПП Януари'!$C$58,разходи!$M:$M,'ПП Януари'!P2)</f>
        <v>0</v>
      </c>
      <c r="Q58" s="76">
        <f>SUMIFS(разходи!$L:$L,разходи!$E:$E,'ПП Януари'!$C$58,разходи!$M:$M,'ПП Януари'!Q2)</f>
        <v>0</v>
      </c>
      <c r="R58" s="76">
        <f>SUMIFS(разходи!$L:$L,разходи!$E:$E,'ПП Януари'!$C$58,разходи!$M:$M,'ПП Януари'!R2)</f>
        <v>0</v>
      </c>
      <c r="S58" s="74">
        <f>SUMIFS(разходи!$L:$L,разходи!$E:$E,'ПП Януари'!$C$58,разходи!$M:$M,'ПП Януари'!S2)</f>
        <v>0</v>
      </c>
      <c r="T58" s="74">
        <f>SUMIFS(разходи!$L:$L,разходи!$E:$E,'ПП Януари'!$C$58,разходи!$M:$M,'ПП Януари'!T2)</f>
        <v>0</v>
      </c>
      <c r="U58" s="74">
        <f>SUMIFS(разходи!$L:$L,разходи!$E:$E,'ПП Януари'!$C$58,разходи!$M:$M,'ПП Януари'!U2)</f>
        <v>0</v>
      </c>
      <c r="V58" s="74">
        <f>SUMIFS(разходи!$L:$L,разходи!$E:$E,'ПП Януари'!$C$58,разходи!$M:$M,'ПП Януари'!V2)</f>
        <v>0</v>
      </c>
      <c r="W58" s="74">
        <f>SUMIFS(разходи!$L:$L,разходи!$E:$E,'ПП Януари'!$C$58,разходи!$M:$M,'ПП Януари'!W2)</f>
        <v>0</v>
      </c>
      <c r="X58" s="76">
        <f>SUMIFS(разходи!$L:$L,разходи!$E:$E,'ПП Януари'!$C$58,разходи!$M:$M,'ПП Януари'!X2)</f>
        <v>0</v>
      </c>
      <c r="Y58" s="76">
        <f>SUMIFS(разходи!$L:$L,разходи!$E:$E,'ПП Януари'!$C$58,разходи!$M:$M,'ПП Януари'!Y2)</f>
        <v>0</v>
      </c>
      <c r="Z58" s="74">
        <f>SUMIFS(разходи!$L:$L,разходи!$E:$E,'ПП Януари'!$C$58,разходи!$M:$M,'ПП Януари'!Z2)</f>
        <v>0</v>
      </c>
      <c r="AA58" s="74">
        <f>SUMIFS(разходи!$L:$L,разходи!$E:$E,'ПП Януари'!$C$58,разходи!$M:$M,'ПП Януари'!AA2)</f>
        <v>0</v>
      </c>
      <c r="AB58" s="74">
        <f>SUMIFS(разходи!$L:$L,разходи!$E:$E,'ПП Януари'!$C$58,разходи!$M:$M,'ПП Януари'!AB2)</f>
        <v>0</v>
      </c>
      <c r="AC58" s="74">
        <f>SUMIFS(разходи!$L:$L,разходи!$E:$E,'ПП Януари'!$C$58,разходи!$M:$M,'ПП Януари'!AC2)</f>
        <v>0</v>
      </c>
      <c r="AD58" s="74">
        <f>SUMIFS(разходи!$L:$L,разходи!$E:$E,'ПП Януари'!$C$58,разходи!$M:$M,'ПП Януари'!AD2)</f>
        <v>0</v>
      </c>
      <c r="AE58" s="76">
        <f>SUMIFS(разходи!$L:$L,разходи!$E:$E,'ПП Януари'!$C$58,разходи!$M:$M,'ПП Януари'!AE2)</f>
        <v>0</v>
      </c>
      <c r="AF58" s="76">
        <f>SUMIFS(разходи!$L:$L,разходи!$E:$E,'ПП Януари'!$C$58,разходи!$M:$M,'ПП Януари'!AF2)</f>
        <v>0</v>
      </c>
      <c r="AG58" s="74">
        <f>SUMIFS(разходи!$L:$L,разходи!$E:$E,'ПП Януари'!$C$58,разходи!$M:$M,'ПП Януари'!AG2)</f>
        <v>0</v>
      </c>
      <c r="AH58" s="74">
        <f>SUMIFS(разходи!$L:$L,разходи!$E:$E,'ПП Януари'!$C$58,разходи!$M:$M,'ПП Януари'!AH2)</f>
        <v>0</v>
      </c>
      <c r="AI58" s="74">
        <f>SUMIFS(разходи!$L:$L,разходи!$E:$E,'ПП Януари'!$C$58,разходи!$M:$M,'ПП Януари'!AI2)</f>
        <v>0</v>
      </c>
      <c r="AJ58" s="61">
        <f t="shared" si="17"/>
        <v>0</v>
      </c>
      <c r="AK58" s="69">
        <f t="shared" si="12"/>
        <v>0</v>
      </c>
    </row>
    <row r="59" spans="1:37" s="39" customFormat="1" ht="20.100000000000001" hidden="1" customHeight="1" outlineLevel="2" x14ac:dyDescent="0.3">
      <c r="A59" s="37"/>
      <c r="B59" s="38"/>
      <c r="C59" s="49" t="s">
        <v>786</v>
      </c>
      <c r="D59" s="80"/>
      <c r="E59" s="74">
        <f>SUMIFS(разходи!$L:$L,разходи!$E:$E,'ПП Януари'!$C$59,разходи!$M:$M,'ПП Януари'!E2)</f>
        <v>0</v>
      </c>
      <c r="F59" s="74">
        <f>SUMIFS(разходи!$L:$L,разходи!$E:$E,'ПП Януари'!$C$59,разходи!$M:$M,'ПП Януари'!F2)</f>
        <v>0</v>
      </c>
      <c r="G59" s="74">
        <f>SUMIFS(разходи!$L:$L,разходи!$E:$E,'ПП Януари'!$C$59,разходи!$M:$M,'ПП Януари'!G2)</f>
        <v>0</v>
      </c>
      <c r="H59" s="74">
        <f>SUMIFS(разходи!$L:$L,разходи!$E:$E,'ПП Януари'!$C$59,разходи!$M:$M,'ПП Януари'!H2)</f>
        <v>0</v>
      </c>
      <c r="I59" s="74">
        <f>SUMIFS(разходи!$L:$L,разходи!$E:$E,'ПП Януари'!$C$59,разходи!$M:$M,'ПП Януари'!I2)</f>
        <v>0</v>
      </c>
      <c r="J59" s="76">
        <f>SUMIFS(разходи!$L:$L,разходи!$E:$E,'ПП Януари'!$C$59,разходи!$M:$M,'ПП Януари'!J2)</f>
        <v>0</v>
      </c>
      <c r="K59" s="76">
        <f>SUMIFS(разходи!$L:$L,разходи!$E:$E,'ПП Януари'!$C$59,разходи!$M:$M,'ПП Януари'!K2)</f>
        <v>0</v>
      </c>
      <c r="L59" s="74">
        <f>SUMIFS(разходи!$L:$L,разходи!$E:$E,'ПП Януари'!$C$59,разходи!$M:$M,'ПП Януари'!L2)</f>
        <v>0</v>
      </c>
      <c r="M59" s="74">
        <f>SUMIFS(разходи!$L:$L,разходи!$E:$E,'ПП Януари'!$C$59,разходи!$M:$M,'ПП Януари'!M2)</f>
        <v>0</v>
      </c>
      <c r="N59" s="74">
        <f>SUMIFS(разходи!$L:$L,разходи!$E:$E,'ПП Януари'!$C$59,разходи!$M:$M,'ПП Януари'!N2)</f>
        <v>0</v>
      </c>
      <c r="O59" s="74">
        <f>SUMIFS(разходи!$L:$L,разходи!$E:$E,'ПП Януари'!$C$59,разходи!$M:$M,'ПП Януари'!O2)</f>
        <v>0</v>
      </c>
      <c r="P59" s="74">
        <f>SUMIFS(разходи!$L:$L,разходи!$E:$E,'ПП Януари'!$C$59,разходи!$M:$M,'ПП Януари'!P2)</f>
        <v>0</v>
      </c>
      <c r="Q59" s="76">
        <f>SUMIFS(разходи!$L:$L,разходи!$E:$E,'ПП Януари'!$C$59,разходи!$M:$M,'ПП Януари'!Q2)</f>
        <v>0</v>
      </c>
      <c r="R59" s="76">
        <f>SUMIFS(разходи!$L:$L,разходи!$E:$E,'ПП Януари'!$C$59,разходи!$M:$M,'ПП Януари'!R2)</f>
        <v>0</v>
      </c>
      <c r="S59" s="74">
        <f>SUMIFS(разходи!$L:$L,разходи!$E:$E,'ПП Януари'!$C$59,разходи!$M:$M,'ПП Януари'!S2)</f>
        <v>0</v>
      </c>
      <c r="T59" s="74">
        <f>SUMIFS(разходи!$L:$L,разходи!$E:$E,'ПП Януари'!$C$59,разходи!$M:$M,'ПП Януари'!T2)</f>
        <v>0</v>
      </c>
      <c r="U59" s="74">
        <f>SUMIFS(разходи!$L:$L,разходи!$E:$E,'ПП Януари'!$C$59,разходи!$M:$M,'ПП Януари'!U2)</f>
        <v>0</v>
      </c>
      <c r="V59" s="74">
        <f>SUMIFS(разходи!$L:$L,разходи!$E:$E,'ПП Януари'!$C$59,разходи!$M:$M,'ПП Януари'!V2)</f>
        <v>0</v>
      </c>
      <c r="W59" s="74">
        <f>SUMIFS(разходи!$L:$L,разходи!$E:$E,'ПП Януари'!$C$59,разходи!$M:$M,'ПП Януари'!W2)</f>
        <v>0</v>
      </c>
      <c r="X59" s="76">
        <f>SUMIFS(разходи!$L:$L,разходи!$E:$E,'ПП Януари'!$C$59,разходи!$M:$M,'ПП Януари'!X2)</f>
        <v>0</v>
      </c>
      <c r="Y59" s="76">
        <f>SUMIFS(разходи!$L:$L,разходи!$E:$E,'ПП Януари'!$C$59,разходи!$M:$M,'ПП Януари'!Y2)</f>
        <v>0</v>
      </c>
      <c r="Z59" s="74">
        <f>SUMIFS(разходи!$L:$L,разходи!$E:$E,'ПП Януари'!$C$59,разходи!$M:$M,'ПП Януари'!Z2)</f>
        <v>0</v>
      </c>
      <c r="AA59" s="74">
        <f>SUMIFS(разходи!$L:$L,разходи!$E:$E,'ПП Януари'!$C$59,разходи!$M:$M,'ПП Януари'!AA2)</f>
        <v>0</v>
      </c>
      <c r="AB59" s="74">
        <f>SUMIFS(разходи!$L:$L,разходи!$E:$E,'ПП Януари'!$C$59,разходи!$M:$M,'ПП Януари'!AB2)</f>
        <v>0</v>
      </c>
      <c r="AC59" s="74">
        <f>SUMIFS(разходи!$L:$L,разходи!$E:$E,'ПП Януари'!$C$59,разходи!$M:$M,'ПП Януари'!AC2)</f>
        <v>0</v>
      </c>
      <c r="AD59" s="74">
        <f>SUMIFS(разходи!$L:$L,разходи!$E:$E,'ПП Януари'!$C$59,разходи!$M:$M,'ПП Януари'!AD2)</f>
        <v>0</v>
      </c>
      <c r="AE59" s="76">
        <f>SUMIFS(разходи!$L:$L,разходи!$E:$E,'ПП Януари'!$C$59,разходи!$M:$M,'ПП Януари'!AE2)</f>
        <v>0</v>
      </c>
      <c r="AF59" s="76">
        <f>SUMIFS(разходи!$L:$L,разходи!$E:$E,'ПП Януари'!$C$59,разходи!$M:$M,'ПП Януари'!AF2)</f>
        <v>0</v>
      </c>
      <c r="AG59" s="74">
        <f>SUMIFS(разходи!$L:$L,разходи!$E:$E,'ПП Януари'!$C$59,разходи!$M:$M,'ПП Януари'!AG2)</f>
        <v>0</v>
      </c>
      <c r="AH59" s="74">
        <f>SUMIFS(разходи!$L:$L,разходи!$E:$E,'ПП Януари'!$C$59,разходи!$M:$M,'ПП Януари'!AH2)</f>
        <v>0</v>
      </c>
      <c r="AI59" s="74">
        <f>SUMIFS(разходи!$L:$L,разходи!$E:$E,'ПП Януари'!$C$59,разходи!$M:$M,'ПП Януари'!AI2)</f>
        <v>0</v>
      </c>
      <c r="AJ59" s="61">
        <f t="shared" si="17"/>
        <v>0</v>
      </c>
      <c r="AK59" s="69">
        <f t="shared" si="12"/>
        <v>0</v>
      </c>
    </row>
    <row r="60" spans="1:37" s="39" customFormat="1" ht="20.100000000000001" hidden="1" customHeight="1" outlineLevel="2" x14ac:dyDescent="0.3">
      <c r="A60" s="37"/>
      <c r="B60" s="38"/>
      <c r="C60" s="49" t="s">
        <v>873</v>
      </c>
      <c r="D60" s="80"/>
      <c r="E60" s="74">
        <f>SUMIFS(разходи!$L:$L,разходи!$E:$E,'ПП Януари'!$C$60,разходи!$M:$M,'ПП Януари'!E2)</f>
        <v>0</v>
      </c>
      <c r="F60" s="74">
        <f>SUMIFS(разходи!$L:$L,разходи!$E:$E,'ПП Януари'!$C$60,разходи!$M:$M,'ПП Януари'!F2)</f>
        <v>0</v>
      </c>
      <c r="G60" s="74">
        <f>SUMIFS(разходи!$L:$L,разходи!$E:$E,'ПП Януари'!$C$60,разходи!$M:$M,'ПП Януари'!G2)</f>
        <v>0</v>
      </c>
      <c r="H60" s="74">
        <f>SUMIFS(разходи!$L:$L,разходи!$E:$E,'ПП Януари'!$C$60,разходи!$M:$M,'ПП Януари'!H2)</f>
        <v>0</v>
      </c>
      <c r="I60" s="74">
        <f>SUMIFS(разходи!$L:$L,разходи!$E:$E,'ПП Януари'!$C$60,разходи!$M:$M,'ПП Януари'!I2)</f>
        <v>0</v>
      </c>
      <c r="J60" s="76">
        <f>SUMIFS(разходи!$L:$L,разходи!$E:$E,'ПП Януари'!$C$60,разходи!$M:$M,'ПП Януари'!J2)</f>
        <v>0</v>
      </c>
      <c r="K60" s="76">
        <f>SUMIFS(разходи!$L:$L,разходи!$E:$E,'ПП Януари'!$C$60,разходи!$M:$M,'ПП Януари'!K2)</f>
        <v>0</v>
      </c>
      <c r="L60" s="74">
        <f>SUMIFS(разходи!$L:$L,разходи!$E:$E,'ПП Януари'!$C$60,разходи!$M:$M,'ПП Януари'!L2)</f>
        <v>0</v>
      </c>
      <c r="M60" s="74">
        <f>SUMIFS(разходи!$L:$L,разходи!$E:$E,'ПП Януари'!$C$60,разходи!$M:$M,'ПП Януари'!M2)</f>
        <v>0</v>
      </c>
      <c r="N60" s="74">
        <f>SUMIFS(разходи!$L:$L,разходи!$E:$E,'ПП Януари'!$C$60,разходи!$M:$M,'ПП Януари'!N2)</f>
        <v>0</v>
      </c>
      <c r="O60" s="74">
        <f>SUMIFS(разходи!$L:$L,разходи!$E:$E,'ПП Януари'!$C$60,разходи!$M:$M,'ПП Януари'!O2)</f>
        <v>0</v>
      </c>
      <c r="P60" s="74">
        <f>SUMIFS(разходи!$L:$L,разходи!$E:$E,'ПП Януари'!$C$60,разходи!$M:$M,'ПП Януари'!P2)</f>
        <v>0</v>
      </c>
      <c r="Q60" s="76">
        <f>SUMIFS(разходи!$L:$L,разходи!$E:$E,'ПП Януари'!$C$60,разходи!$M:$M,'ПП Януари'!Q2)</f>
        <v>0</v>
      </c>
      <c r="R60" s="76">
        <f>SUMIFS(разходи!$L:$L,разходи!$E:$E,'ПП Януари'!$C$60,разходи!$M:$M,'ПП Януари'!R2)</f>
        <v>0</v>
      </c>
      <c r="S60" s="74">
        <f>SUMIFS(разходи!$L:$L,разходи!$E:$E,'ПП Януари'!$C$60,разходи!$M:$M,'ПП Януари'!S2)</f>
        <v>0</v>
      </c>
      <c r="T60" s="74">
        <f>SUMIFS(разходи!$L:$L,разходи!$E:$E,'ПП Януари'!$C$60,разходи!$M:$M,'ПП Януари'!T2)</f>
        <v>0</v>
      </c>
      <c r="U60" s="74">
        <f>SUMIFS(разходи!$L:$L,разходи!$E:$E,'ПП Януари'!$C$60,разходи!$M:$M,'ПП Януари'!U2)</f>
        <v>0</v>
      </c>
      <c r="V60" s="74">
        <f>SUMIFS(разходи!$L:$L,разходи!$E:$E,'ПП Януари'!$C$60,разходи!$M:$M,'ПП Януари'!V2)</f>
        <v>0</v>
      </c>
      <c r="W60" s="74">
        <f>SUMIFS(разходи!$L:$L,разходи!$E:$E,'ПП Януари'!$C$60,разходи!$M:$M,'ПП Януари'!W2)</f>
        <v>0</v>
      </c>
      <c r="X60" s="76">
        <f>SUMIFS(разходи!$L:$L,разходи!$E:$E,'ПП Януари'!$C$60,разходи!$M:$M,'ПП Януари'!X2)</f>
        <v>0</v>
      </c>
      <c r="Y60" s="76">
        <f>SUMIFS(разходи!$L:$L,разходи!$E:$E,'ПП Януари'!$C$60,разходи!$M:$M,'ПП Януари'!Y2)</f>
        <v>0</v>
      </c>
      <c r="Z60" s="74">
        <f>SUMIFS(разходи!$L:$L,разходи!$E:$E,'ПП Януари'!$C$60,разходи!$M:$M,'ПП Януари'!Z2)</f>
        <v>0</v>
      </c>
      <c r="AA60" s="74">
        <f>SUMIFS(разходи!$L:$L,разходи!$E:$E,'ПП Януари'!$C$60,разходи!$M:$M,'ПП Януари'!AA2)</f>
        <v>0</v>
      </c>
      <c r="AB60" s="74">
        <f>SUMIFS(разходи!$L:$L,разходи!$E:$E,'ПП Януари'!$C$60,разходи!$M:$M,'ПП Януари'!AB2)</f>
        <v>0</v>
      </c>
      <c r="AC60" s="74">
        <f>SUMIFS(разходи!$L:$L,разходи!$E:$E,'ПП Януари'!$C$60,разходи!$M:$M,'ПП Януари'!AC2)</f>
        <v>0</v>
      </c>
      <c r="AD60" s="74">
        <f>SUMIFS(разходи!$L:$L,разходи!$E:$E,'ПП Януари'!$C$60,разходи!$M:$M,'ПП Януари'!AD2)</f>
        <v>0</v>
      </c>
      <c r="AE60" s="76">
        <f>SUMIFS(разходи!$L:$L,разходи!$E:$E,'ПП Януари'!$C$60,разходи!$M:$M,'ПП Януари'!AE2)</f>
        <v>0</v>
      </c>
      <c r="AF60" s="76">
        <f>SUMIFS(разходи!$L:$L,разходи!$E:$E,'ПП Януари'!$C$60,разходи!$M:$M,'ПП Януари'!AF2)</f>
        <v>0</v>
      </c>
      <c r="AG60" s="74">
        <f>SUMIFS(разходи!$L:$L,разходи!$E:$E,'ПП Януари'!$C$60,разходи!$M:$M,'ПП Януари'!AG2)</f>
        <v>0</v>
      </c>
      <c r="AH60" s="74">
        <f>SUMIFS(разходи!$L:$L,разходи!$E:$E,'ПП Януари'!$C$60,разходи!$M:$M,'ПП Януари'!AH2)</f>
        <v>0</v>
      </c>
      <c r="AI60" s="74">
        <f>SUMIFS(разходи!$L:$L,разходи!$E:$E,'ПП Януари'!$C$60,разходи!$M:$M,'ПП Януари'!AI2)</f>
        <v>0</v>
      </c>
      <c r="AJ60" s="61">
        <f t="shared" si="17"/>
        <v>0</v>
      </c>
      <c r="AK60" s="69">
        <f t="shared" si="12"/>
        <v>0</v>
      </c>
    </row>
    <row r="61" spans="1:37" s="39" customFormat="1" ht="20.100000000000001" hidden="1" customHeight="1" outlineLevel="2" x14ac:dyDescent="0.3">
      <c r="A61" s="37"/>
      <c r="B61" s="38"/>
      <c r="C61" s="49" t="s">
        <v>874</v>
      </c>
      <c r="D61" s="80"/>
      <c r="E61" s="74">
        <f>SUMIFS(разходи!$L:$L,разходи!$E:$E,'ПП Януари'!$C$61,разходи!$M:$M,'ПП Януари'!E2)</f>
        <v>0</v>
      </c>
      <c r="F61" s="74">
        <f>SUMIFS(разходи!$L:$L,разходи!$E:$E,'ПП Януари'!$C$61,разходи!$M:$M,'ПП Януари'!F2)</f>
        <v>0</v>
      </c>
      <c r="G61" s="74">
        <f>SUMIFS(разходи!$L:$L,разходи!$E:$E,'ПП Януари'!$C$61,разходи!$M:$M,'ПП Януари'!G2)</f>
        <v>0</v>
      </c>
      <c r="H61" s="74">
        <f>SUMIFS(разходи!$L:$L,разходи!$E:$E,'ПП Януари'!$C$61,разходи!$M:$M,'ПП Януари'!H2)</f>
        <v>0</v>
      </c>
      <c r="I61" s="74">
        <f>SUMIFS(разходи!$L:$L,разходи!$E:$E,'ПП Януари'!$C$61,разходи!$M:$M,'ПП Януари'!I2)</f>
        <v>0</v>
      </c>
      <c r="J61" s="76">
        <f>SUMIFS(разходи!$L:$L,разходи!$E:$E,'ПП Януари'!$C$61,разходи!$M:$M,'ПП Януари'!J2)</f>
        <v>0</v>
      </c>
      <c r="K61" s="76">
        <f>SUMIFS(разходи!$L:$L,разходи!$E:$E,'ПП Януари'!$C$61,разходи!$M:$M,'ПП Януари'!K2)</f>
        <v>0</v>
      </c>
      <c r="L61" s="74">
        <f>SUMIFS(разходи!$L:$L,разходи!$E:$E,'ПП Януари'!$C$61,разходи!$M:$M,'ПП Януари'!L2)</f>
        <v>0</v>
      </c>
      <c r="M61" s="74">
        <f>SUMIFS(разходи!$L:$L,разходи!$E:$E,'ПП Януари'!$C$61,разходи!$M:$M,'ПП Януари'!M2)</f>
        <v>0</v>
      </c>
      <c r="N61" s="74">
        <f>SUMIFS(разходи!$L:$L,разходи!$E:$E,'ПП Януари'!$C$61,разходи!$M:$M,'ПП Януари'!N2)</f>
        <v>0</v>
      </c>
      <c r="O61" s="74">
        <f>SUMIFS(разходи!$L:$L,разходи!$E:$E,'ПП Януари'!$C$61,разходи!$M:$M,'ПП Януари'!O2)</f>
        <v>0</v>
      </c>
      <c r="P61" s="74">
        <f>SUMIFS(разходи!$L:$L,разходи!$E:$E,'ПП Януари'!$C$61,разходи!$M:$M,'ПП Януари'!P2)</f>
        <v>0</v>
      </c>
      <c r="Q61" s="76">
        <f>SUMIFS(разходи!$L:$L,разходи!$E:$E,'ПП Януари'!$C$61,разходи!$M:$M,'ПП Януари'!Q2)</f>
        <v>0</v>
      </c>
      <c r="R61" s="76">
        <f>SUMIFS(разходи!$L:$L,разходи!$E:$E,'ПП Януари'!$C$61,разходи!$M:$M,'ПП Януари'!R2)</f>
        <v>0</v>
      </c>
      <c r="S61" s="74">
        <f>SUMIFS(разходи!$L:$L,разходи!$E:$E,'ПП Януари'!$C$61,разходи!$M:$M,'ПП Януари'!S2)</f>
        <v>0</v>
      </c>
      <c r="T61" s="74">
        <f>SUMIFS(разходи!$L:$L,разходи!$E:$E,'ПП Януари'!$C$61,разходи!$M:$M,'ПП Януари'!T2)</f>
        <v>0</v>
      </c>
      <c r="U61" s="74">
        <f>SUMIFS(разходи!$L:$L,разходи!$E:$E,'ПП Януари'!$C$61,разходи!$M:$M,'ПП Януари'!U2)</f>
        <v>0</v>
      </c>
      <c r="V61" s="74">
        <f>SUMIFS(разходи!$L:$L,разходи!$E:$E,'ПП Януари'!$C$61,разходи!$M:$M,'ПП Януари'!V2)</f>
        <v>0</v>
      </c>
      <c r="W61" s="74">
        <f>SUMIFS(разходи!$L:$L,разходи!$E:$E,'ПП Януари'!$C$61,разходи!$M:$M,'ПП Януари'!W2)</f>
        <v>0</v>
      </c>
      <c r="X61" s="76">
        <f>SUMIFS(разходи!$L:$L,разходи!$E:$E,'ПП Януари'!$C$61,разходи!$M:$M,'ПП Януари'!X2)</f>
        <v>0</v>
      </c>
      <c r="Y61" s="76">
        <f>SUMIFS(разходи!$L:$L,разходи!$E:$E,'ПП Януари'!$C$61,разходи!$M:$M,'ПП Януари'!Y2)</f>
        <v>0</v>
      </c>
      <c r="Z61" s="74">
        <f>SUMIFS(разходи!$L:$L,разходи!$E:$E,'ПП Януари'!$C$61,разходи!$M:$M,'ПП Януари'!Z2)</f>
        <v>0</v>
      </c>
      <c r="AA61" s="74">
        <f>SUMIFS(разходи!$L:$L,разходи!$E:$E,'ПП Януари'!$C$61,разходи!$M:$M,'ПП Януари'!AA2)</f>
        <v>0</v>
      </c>
      <c r="AB61" s="74">
        <f>SUMIFS(разходи!$L:$L,разходи!$E:$E,'ПП Януари'!$C$61,разходи!$M:$M,'ПП Януари'!AB2)</f>
        <v>0</v>
      </c>
      <c r="AC61" s="74">
        <f>SUMIFS(разходи!$L:$L,разходи!$E:$E,'ПП Януари'!$C$61,разходи!$M:$M,'ПП Януари'!AC2)</f>
        <v>0</v>
      </c>
      <c r="AD61" s="74">
        <f>SUMIFS(разходи!$L:$L,разходи!$E:$E,'ПП Януари'!$C$61,разходи!$M:$M,'ПП Януари'!AD2)</f>
        <v>0</v>
      </c>
      <c r="AE61" s="76">
        <f>SUMIFS(разходи!$L:$L,разходи!$E:$E,'ПП Януари'!$C$61,разходи!$M:$M,'ПП Януари'!AE2)</f>
        <v>0</v>
      </c>
      <c r="AF61" s="76">
        <f>SUMIFS(разходи!$L:$L,разходи!$E:$E,'ПП Януари'!$C$61,разходи!$M:$M,'ПП Януари'!AF2)</f>
        <v>0</v>
      </c>
      <c r="AG61" s="74">
        <f>SUMIFS(разходи!$L:$L,разходи!$E:$E,'ПП Януари'!$C$61,разходи!$M:$M,'ПП Януари'!AG2)</f>
        <v>0</v>
      </c>
      <c r="AH61" s="74">
        <f>SUMIFS(разходи!$L:$L,разходи!$E:$E,'ПП Януари'!$C$61,разходи!$M:$M,'ПП Януари'!AH2)</f>
        <v>0</v>
      </c>
      <c r="AI61" s="74">
        <f>SUMIFS(разходи!$L:$L,разходи!$E:$E,'ПП Януари'!$C$61,разходи!$M:$M,'ПП Януари'!AI2)</f>
        <v>0</v>
      </c>
      <c r="AJ61" s="61">
        <f t="shared" si="17"/>
        <v>0</v>
      </c>
      <c r="AK61" s="69">
        <f t="shared" si="12"/>
        <v>0</v>
      </c>
    </row>
    <row r="62" spans="1:37" s="39" customFormat="1" ht="20.100000000000001" customHeight="1" outlineLevel="1" collapsed="1" x14ac:dyDescent="0.3">
      <c r="A62" s="37"/>
      <c r="B62" s="38"/>
      <c r="C62" s="32" t="s">
        <v>875</v>
      </c>
      <c r="D62" s="80"/>
      <c r="E62" s="74">
        <f t="shared" ref="E62:AI62" si="23">SUM(E63:E65)</f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6">
        <f t="shared" si="23"/>
        <v>0</v>
      </c>
      <c r="K62" s="76">
        <f t="shared" si="23"/>
        <v>0</v>
      </c>
      <c r="L62" s="74">
        <f t="shared" si="23"/>
        <v>0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0</v>
      </c>
      <c r="Q62" s="76">
        <f t="shared" si="23"/>
        <v>0</v>
      </c>
      <c r="R62" s="76">
        <f t="shared" si="23"/>
        <v>0</v>
      </c>
      <c r="S62" s="74">
        <f t="shared" si="23"/>
        <v>0</v>
      </c>
      <c r="T62" s="74">
        <f t="shared" si="23"/>
        <v>0</v>
      </c>
      <c r="U62" s="74">
        <f t="shared" si="23"/>
        <v>0</v>
      </c>
      <c r="V62" s="74">
        <f t="shared" si="23"/>
        <v>0</v>
      </c>
      <c r="W62" s="74">
        <f t="shared" si="23"/>
        <v>0</v>
      </c>
      <c r="X62" s="76">
        <f t="shared" si="23"/>
        <v>0</v>
      </c>
      <c r="Y62" s="76">
        <f t="shared" si="23"/>
        <v>0</v>
      </c>
      <c r="Z62" s="74">
        <f t="shared" si="23"/>
        <v>0</v>
      </c>
      <c r="AA62" s="74">
        <f t="shared" si="23"/>
        <v>0</v>
      </c>
      <c r="AB62" s="74">
        <f t="shared" si="23"/>
        <v>0</v>
      </c>
      <c r="AC62" s="74">
        <f t="shared" si="23"/>
        <v>0</v>
      </c>
      <c r="AD62" s="74">
        <f t="shared" si="23"/>
        <v>0</v>
      </c>
      <c r="AE62" s="76">
        <f t="shared" si="23"/>
        <v>0</v>
      </c>
      <c r="AF62" s="76">
        <f t="shared" si="23"/>
        <v>0</v>
      </c>
      <c r="AG62" s="74">
        <f t="shared" si="23"/>
        <v>0</v>
      </c>
      <c r="AH62" s="74">
        <f t="shared" si="23"/>
        <v>0</v>
      </c>
      <c r="AI62" s="74">
        <f t="shared" si="23"/>
        <v>0</v>
      </c>
      <c r="AJ62" s="61">
        <f t="shared" si="17"/>
        <v>0</v>
      </c>
      <c r="AK62" s="69">
        <f t="shared" si="12"/>
        <v>0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/>
      <c r="E63" s="74">
        <f>SUMIFS(разходи!$L:$L,разходи!$E:$E,'ПП Януари'!$C$63,разходи!$M:$M,'ПП Януари'!E2)</f>
        <v>0</v>
      </c>
      <c r="F63" s="74">
        <f>SUMIFS(разходи!$L:$L,разходи!$E:$E,'ПП Януари'!$C$63,разходи!$M:$M,'ПП Януари'!F2)</f>
        <v>0</v>
      </c>
      <c r="G63" s="74">
        <f>SUMIFS(разходи!$L:$L,разходи!$E:$E,'ПП Януари'!$C$63,разходи!$M:$M,'ПП Януари'!G2)</f>
        <v>0</v>
      </c>
      <c r="H63" s="74">
        <f>SUMIFS(разходи!$L:$L,разходи!$E:$E,'ПП Януари'!$C$63,разходи!$M:$M,'ПП Януари'!H2)</f>
        <v>0</v>
      </c>
      <c r="I63" s="74">
        <f>SUMIFS(разходи!$L:$L,разходи!$E:$E,'ПП Януари'!$C$63,разходи!$M:$M,'ПП Януари'!I2)</f>
        <v>0</v>
      </c>
      <c r="J63" s="76">
        <f>SUMIFS(разходи!$L:$L,разходи!$E:$E,'ПП Януари'!$C$63,разходи!$M:$M,'ПП Януари'!J2)</f>
        <v>0</v>
      </c>
      <c r="K63" s="76">
        <f>SUMIFS(разходи!$L:$L,разходи!$E:$E,'ПП Януари'!$C$63,разходи!$M:$M,'ПП Януари'!K2)</f>
        <v>0</v>
      </c>
      <c r="L63" s="74">
        <f>SUMIFS(разходи!$L:$L,разходи!$E:$E,'ПП Януари'!$C$63,разходи!$M:$M,'ПП Януари'!L2)</f>
        <v>0</v>
      </c>
      <c r="M63" s="74">
        <f>SUMIFS(разходи!$L:$L,разходи!$E:$E,'ПП Януари'!$C$63,разходи!$M:$M,'ПП Януари'!M2)</f>
        <v>0</v>
      </c>
      <c r="N63" s="74">
        <f>SUMIFS(разходи!$L:$L,разходи!$E:$E,'ПП Януари'!$C$63,разходи!$M:$M,'ПП Януари'!N2)</f>
        <v>0</v>
      </c>
      <c r="O63" s="74">
        <f>SUMIFS(разходи!$L:$L,разходи!$E:$E,'ПП Януари'!$C$63,разходи!$M:$M,'ПП Януари'!O2)</f>
        <v>0</v>
      </c>
      <c r="P63" s="74">
        <f>SUMIFS(разходи!$L:$L,разходи!$E:$E,'ПП Януари'!$C$63,разходи!$M:$M,'ПП Януари'!P2)</f>
        <v>0</v>
      </c>
      <c r="Q63" s="76">
        <f>SUMIFS(разходи!$L:$L,разходи!$E:$E,'ПП Януари'!$C$63,разходи!$M:$M,'ПП Януари'!Q2)</f>
        <v>0</v>
      </c>
      <c r="R63" s="76">
        <f>SUMIFS(разходи!$L:$L,разходи!$E:$E,'ПП Януари'!$C$63,разходи!$M:$M,'ПП Януари'!R2)</f>
        <v>0</v>
      </c>
      <c r="S63" s="74">
        <f>SUMIFS(разходи!$L:$L,разходи!$E:$E,'ПП Януари'!$C$63,разходи!$M:$M,'ПП Януари'!S2)</f>
        <v>0</v>
      </c>
      <c r="T63" s="74">
        <f>SUMIFS(разходи!$L:$L,разходи!$E:$E,'ПП Януари'!$C$63,разходи!$M:$M,'ПП Януари'!T2)</f>
        <v>0</v>
      </c>
      <c r="U63" s="74">
        <f>SUMIFS(разходи!$L:$L,разходи!$E:$E,'ПП Януари'!$C$63,разходи!$M:$M,'ПП Януари'!U2)</f>
        <v>0</v>
      </c>
      <c r="V63" s="74">
        <f>SUMIFS(разходи!$L:$L,разходи!$E:$E,'ПП Януари'!$C$63,разходи!$M:$M,'ПП Януари'!V2)</f>
        <v>0</v>
      </c>
      <c r="W63" s="74">
        <f>SUMIFS(разходи!$L:$L,разходи!$E:$E,'ПП Януари'!$C$63,разходи!$M:$M,'ПП Януари'!W2)</f>
        <v>0</v>
      </c>
      <c r="X63" s="76">
        <f>SUMIFS(разходи!$L:$L,разходи!$E:$E,'ПП Януари'!$C$63,разходи!$M:$M,'ПП Януари'!X2)</f>
        <v>0</v>
      </c>
      <c r="Y63" s="76">
        <f>SUMIFS(разходи!$L:$L,разходи!$E:$E,'ПП Януари'!$C$63,разходи!$M:$M,'ПП Януари'!Y2)</f>
        <v>0</v>
      </c>
      <c r="Z63" s="74">
        <f>SUMIFS(разходи!$L:$L,разходи!$E:$E,'ПП Януари'!$C$63,разходи!$M:$M,'ПП Януари'!Z2)</f>
        <v>0</v>
      </c>
      <c r="AA63" s="74">
        <f>SUMIFS(разходи!$L:$L,разходи!$E:$E,'ПП Януари'!$C$63,разходи!$M:$M,'ПП Януари'!AA2)</f>
        <v>0</v>
      </c>
      <c r="AB63" s="74">
        <f>SUMIFS(разходи!$L:$L,разходи!$E:$E,'ПП Януари'!$C$63,разходи!$M:$M,'ПП Януари'!AB2)</f>
        <v>0</v>
      </c>
      <c r="AC63" s="74">
        <f>SUMIFS(разходи!$L:$L,разходи!$E:$E,'ПП Януари'!$C$63,разходи!$M:$M,'ПП Януари'!AC2)</f>
        <v>0</v>
      </c>
      <c r="AD63" s="74">
        <f>SUMIFS(разходи!$L:$L,разходи!$E:$E,'ПП Януари'!$C$63,разходи!$M:$M,'ПП Януари'!AD2)</f>
        <v>0</v>
      </c>
      <c r="AE63" s="76">
        <f>SUMIFS(разходи!$L:$L,разходи!$E:$E,'ПП Януари'!$C$63,разходи!$M:$M,'ПП Януари'!AE2)</f>
        <v>0</v>
      </c>
      <c r="AF63" s="76">
        <f>SUMIFS(разходи!$L:$L,разходи!$E:$E,'ПП Януари'!$C$63,разходи!$M:$M,'ПП Януари'!AF2)</f>
        <v>0</v>
      </c>
      <c r="AG63" s="74">
        <f>SUMIFS(разходи!$L:$L,разходи!$E:$E,'ПП Януари'!$C$63,разходи!$M:$M,'ПП Януари'!AG2)</f>
        <v>0</v>
      </c>
      <c r="AH63" s="74">
        <f>SUMIFS(разходи!$L:$L,разходи!$E:$E,'ПП Януари'!$C$63,разходи!$M:$M,'ПП Януари'!AH2)</f>
        <v>0</v>
      </c>
      <c r="AI63" s="74">
        <f>SUMIFS(разходи!$L:$L,разходи!$E:$E,'ПП Януари'!$C$63,разходи!$M:$M,'ПП Януари'!AI2)</f>
        <v>0</v>
      </c>
      <c r="AJ63" s="61">
        <f t="shared" si="17"/>
        <v>0</v>
      </c>
      <c r="AK63" s="69">
        <f t="shared" si="12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4">
        <f>SUMIFS(разходи!$L:$L,разходи!$E:$E,'ПП Януари'!$C$64,разходи!$M:$M,'ПП Януари'!E2)</f>
        <v>0</v>
      </c>
      <c r="F64" s="74">
        <f>SUMIFS(разходи!$L:$L,разходи!$E:$E,'ПП Януари'!$C$64,разходи!$M:$M,'ПП Януари'!F2)</f>
        <v>0</v>
      </c>
      <c r="G64" s="74">
        <f>SUMIFS(разходи!$L:$L,разходи!$E:$E,'ПП Януари'!$C$64,разходи!$M:$M,'ПП Януари'!G2)</f>
        <v>0</v>
      </c>
      <c r="H64" s="74">
        <f>SUMIFS(разходи!$L:$L,разходи!$E:$E,'ПП Януари'!$C$64,разходи!$M:$M,'ПП Януари'!H2)</f>
        <v>0</v>
      </c>
      <c r="I64" s="74">
        <f>SUMIFS(разходи!$L:$L,разходи!$E:$E,'ПП Януари'!$C$64,разходи!$M:$M,'ПП Януари'!I2)</f>
        <v>0</v>
      </c>
      <c r="J64" s="76">
        <f>SUMIFS(разходи!$L:$L,разходи!$E:$E,'ПП Януари'!$C$64,разходи!$M:$M,'ПП Януари'!J2)</f>
        <v>0</v>
      </c>
      <c r="K64" s="76">
        <f>SUMIFS(разходи!$L:$L,разходи!$E:$E,'ПП Януари'!$C$64,разходи!$M:$M,'ПП Януари'!K2)</f>
        <v>0</v>
      </c>
      <c r="L64" s="74">
        <f>SUMIFS(разходи!$L:$L,разходи!$E:$E,'ПП Януари'!$C$64,разходи!$M:$M,'ПП Януари'!L2)</f>
        <v>0</v>
      </c>
      <c r="M64" s="74">
        <f>SUMIFS(разходи!$L:$L,разходи!$E:$E,'ПП Януари'!$C$64,разходи!$M:$M,'ПП Януари'!M2)</f>
        <v>0</v>
      </c>
      <c r="N64" s="74">
        <f>SUMIFS(разходи!$L:$L,разходи!$E:$E,'ПП Януари'!$C$64,разходи!$M:$M,'ПП Януари'!N2)</f>
        <v>0</v>
      </c>
      <c r="O64" s="74">
        <f>SUMIFS(разходи!$L:$L,разходи!$E:$E,'ПП Януари'!$C$64,разходи!$M:$M,'ПП Януари'!O2)</f>
        <v>0</v>
      </c>
      <c r="P64" s="74">
        <f>SUMIFS(разходи!$L:$L,разходи!$E:$E,'ПП Януари'!$C$64,разходи!$M:$M,'ПП Януари'!P2)</f>
        <v>0</v>
      </c>
      <c r="Q64" s="76">
        <f>SUMIFS(разходи!$L:$L,разходи!$E:$E,'ПП Януари'!$C$64,разходи!$M:$M,'ПП Януари'!Q2)</f>
        <v>0</v>
      </c>
      <c r="R64" s="76">
        <f>SUMIFS(разходи!$L:$L,разходи!$E:$E,'ПП Януари'!$C$64,разходи!$M:$M,'ПП Януари'!R2)</f>
        <v>0</v>
      </c>
      <c r="S64" s="74">
        <f>SUMIFS(разходи!$L:$L,разходи!$E:$E,'ПП Януари'!$C$64,разходи!$M:$M,'ПП Януари'!S2)</f>
        <v>0</v>
      </c>
      <c r="T64" s="74">
        <f>SUMIFS(разходи!$L:$L,разходи!$E:$E,'ПП Януари'!$C$64,разходи!$M:$M,'ПП Януари'!T2)</f>
        <v>0</v>
      </c>
      <c r="U64" s="74">
        <f>SUMIFS(разходи!$L:$L,разходи!$E:$E,'ПП Януари'!$C$64,разходи!$M:$M,'ПП Януари'!U2)</f>
        <v>0</v>
      </c>
      <c r="V64" s="74">
        <f>SUMIFS(разходи!$L:$L,разходи!$E:$E,'ПП Януари'!$C$64,разходи!$M:$M,'ПП Януари'!V2)</f>
        <v>0</v>
      </c>
      <c r="W64" s="74">
        <f>SUMIFS(разходи!$L:$L,разходи!$E:$E,'ПП Януари'!$C$64,разходи!$M:$M,'ПП Януари'!W2)</f>
        <v>0</v>
      </c>
      <c r="X64" s="76">
        <f>SUMIFS(разходи!$L:$L,разходи!$E:$E,'ПП Януари'!$C$64,разходи!$M:$M,'ПП Януари'!X2)</f>
        <v>0</v>
      </c>
      <c r="Y64" s="76">
        <f>SUMIFS(разходи!$L:$L,разходи!$E:$E,'ПП Януари'!$C$64,разходи!$M:$M,'ПП Януари'!Y2)</f>
        <v>0</v>
      </c>
      <c r="Z64" s="74">
        <f>SUMIFS(разходи!$L:$L,разходи!$E:$E,'ПП Януари'!$C$64,разходи!$M:$M,'ПП Януари'!Z2)</f>
        <v>0</v>
      </c>
      <c r="AA64" s="74">
        <f>SUMIFS(разходи!$L:$L,разходи!$E:$E,'ПП Януари'!$C$64,разходи!$M:$M,'ПП Януари'!AA2)</f>
        <v>0</v>
      </c>
      <c r="AB64" s="74">
        <f>SUMIFS(разходи!$L:$L,разходи!$E:$E,'ПП Януари'!$C$64,разходи!$M:$M,'ПП Януари'!AB2)</f>
        <v>0</v>
      </c>
      <c r="AC64" s="74">
        <f>SUMIFS(разходи!$L:$L,разходи!$E:$E,'ПП Януари'!$C$64,разходи!$M:$M,'ПП Януари'!AC2)</f>
        <v>0</v>
      </c>
      <c r="AD64" s="74">
        <f>SUMIFS(разходи!$L:$L,разходи!$E:$E,'ПП Януари'!$C$64,разходи!$M:$M,'ПП Януари'!AD2)</f>
        <v>0</v>
      </c>
      <c r="AE64" s="76">
        <f>SUMIFS(разходи!$L:$L,разходи!$E:$E,'ПП Януари'!$C$64,разходи!$M:$M,'ПП Януари'!AE2)</f>
        <v>0</v>
      </c>
      <c r="AF64" s="76">
        <f>SUMIFS(разходи!$L:$L,разходи!$E:$E,'ПП Януари'!$C$64,разходи!$M:$M,'ПП Януари'!AF2)</f>
        <v>0</v>
      </c>
      <c r="AG64" s="74">
        <f>SUMIFS(разходи!$L:$L,разходи!$E:$E,'ПП Януари'!$C$64,разходи!$M:$M,'ПП Януари'!AG2)</f>
        <v>0</v>
      </c>
      <c r="AH64" s="74">
        <f>SUMIFS(разходи!$L:$L,разходи!$E:$E,'ПП Януари'!$C$64,разходи!$M:$M,'ПП Януари'!AH2)</f>
        <v>0</v>
      </c>
      <c r="AI64" s="74">
        <f>SUMIFS(разходи!$L:$L,разходи!$E:$E,'ПП Януари'!$C$64,разходи!$M:$M,'ПП Януари'!AI2)</f>
        <v>0</v>
      </c>
      <c r="AJ64" s="61">
        <f t="shared" si="17"/>
        <v>0</v>
      </c>
      <c r="AK64" s="69">
        <f t="shared" si="12"/>
        <v>0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4">
        <f>SUMIFS(разходи!$L:$L,разходи!$E:$E,'ПП Януари'!$C$65,разходи!$M:$M,'ПП Януари'!E2)</f>
        <v>0</v>
      </c>
      <c r="F65" s="74">
        <f>SUMIFS(разходи!$L:$L,разходи!$E:$E,'ПП Януари'!$C$65,разходи!$M:$M,'ПП Януари'!F2)</f>
        <v>0</v>
      </c>
      <c r="G65" s="74">
        <f>SUMIFS(разходи!$L:$L,разходи!$E:$E,'ПП Януари'!$C$65,разходи!$M:$M,'ПП Януари'!G2)</f>
        <v>0</v>
      </c>
      <c r="H65" s="74">
        <f>SUMIFS(разходи!$L:$L,разходи!$E:$E,'ПП Януари'!$C$65,разходи!$M:$M,'ПП Януари'!H2)</f>
        <v>0</v>
      </c>
      <c r="I65" s="74">
        <f>SUMIFS(разходи!$L:$L,разходи!$E:$E,'ПП Януари'!$C$65,разходи!$M:$M,'ПП Януари'!I2)</f>
        <v>0</v>
      </c>
      <c r="J65" s="76">
        <f>SUMIFS(разходи!$L:$L,разходи!$E:$E,'ПП Януари'!$C$65,разходи!$M:$M,'ПП Януари'!J2)</f>
        <v>0</v>
      </c>
      <c r="K65" s="76">
        <f>SUMIFS(разходи!$L:$L,разходи!$E:$E,'ПП Януари'!$C$65,разходи!$M:$M,'ПП Януари'!K2)</f>
        <v>0</v>
      </c>
      <c r="L65" s="74">
        <f>SUMIFS(разходи!$L:$L,разходи!$E:$E,'ПП Януари'!$C$65,разходи!$M:$M,'ПП Януари'!L2)</f>
        <v>0</v>
      </c>
      <c r="M65" s="74">
        <f>SUMIFS(разходи!$L:$L,разходи!$E:$E,'ПП Януари'!$C$65,разходи!$M:$M,'ПП Януари'!M2)</f>
        <v>0</v>
      </c>
      <c r="N65" s="74">
        <f>SUMIFS(разходи!$L:$L,разходи!$E:$E,'ПП Януари'!$C$65,разходи!$M:$M,'ПП Януари'!N2)</f>
        <v>0</v>
      </c>
      <c r="O65" s="74">
        <f>SUMIFS(разходи!$L:$L,разходи!$E:$E,'ПП Януари'!$C$65,разходи!$M:$M,'ПП Януари'!O2)</f>
        <v>0</v>
      </c>
      <c r="P65" s="74">
        <f>SUMIFS(разходи!$L:$L,разходи!$E:$E,'ПП Януари'!$C$65,разходи!$M:$M,'ПП Януари'!P2)</f>
        <v>0</v>
      </c>
      <c r="Q65" s="76">
        <f>SUMIFS(разходи!$L:$L,разходи!$E:$E,'ПП Януари'!$C$65,разходи!$M:$M,'ПП Януари'!Q2)</f>
        <v>0</v>
      </c>
      <c r="R65" s="76">
        <f>SUMIFS(разходи!$L:$L,разходи!$E:$E,'ПП Януари'!$C$65,разходи!$M:$M,'ПП Януари'!R2)</f>
        <v>0</v>
      </c>
      <c r="S65" s="74">
        <f>SUMIFS(разходи!$L:$L,разходи!$E:$E,'ПП Януари'!$C$65,разходи!$M:$M,'ПП Януари'!S2)</f>
        <v>0</v>
      </c>
      <c r="T65" s="74">
        <f>SUMIFS(разходи!$L:$L,разходи!$E:$E,'ПП Януари'!$C$65,разходи!$M:$M,'ПП Януари'!T2)</f>
        <v>0</v>
      </c>
      <c r="U65" s="74">
        <f>SUMIFS(разходи!$L:$L,разходи!$E:$E,'ПП Януари'!$C$65,разходи!$M:$M,'ПП Януари'!U2)</f>
        <v>0</v>
      </c>
      <c r="V65" s="74">
        <f>SUMIFS(разходи!$L:$L,разходи!$E:$E,'ПП Януари'!$C$65,разходи!$M:$M,'ПП Януари'!V2)</f>
        <v>0</v>
      </c>
      <c r="W65" s="74">
        <f>SUMIFS(разходи!$L:$L,разходи!$E:$E,'ПП Януари'!$C$65,разходи!$M:$M,'ПП Януари'!W2)</f>
        <v>0</v>
      </c>
      <c r="X65" s="76">
        <f>SUMIFS(разходи!$L:$L,разходи!$E:$E,'ПП Януари'!$C$65,разходи!$M:$M,'ПП Януари'!X2)</f>
        <v>0</v>
      </c>
      <c r="Y65" s="76">
        <f>SUMIFS(разходи!$L:$L,разходи!$E:$E,'ПП Януари'!$C$65,разходи!$M:$M,'ПП Януари'!Y2)</f>
        <v>0</v>
      </c>
      <c r="Z65" s="74">
        <f>SUMIFS(разходи!$L:$L,разходи!$E:$E,'ПП Януари'!$C$65,разходи!$M:$M,'ПП Януари'!Z2)</f>
        <v>0</v>
      </c>
      <c r="AA65" s="74">
        <f>SUMIFS(разходи!$L:$L,разходи!$E:$E,'ПП Януари'!$C$65,разходи!$M:$M,'ПП Януари'!AA2)</f>
        <v>0</v>
      </c>
      <c r="AB65" s="74">
        <f>SUMIFS(разходи!$L:$L,разходи!$E:$E,'ПП Януари'!$C$65,разходи!$M:$M,'ПП Януари'!AB2)</f>
        <v>0</v>
      </c>
      <c r="AC65" s="74">
        <f>SUMIFS(разходи!$L:$L,разходи!$E:$E,'ПП Януари'!$C$65,разходи!$M:$M,'ПП Януари'!AC2)</f>
        <v>0</v>
      </c>
      <c r="AD65" s="74">
        <f>SUMIFS(разходи!$L:$L,разходи!$E:$E,'ПП Януари'!$C$65,разходи!$M:$M,'ПП Януари'!AD2)</f>
        <v>0</v>
      </c>
      <c r="AE65" s="76">
        <f>SUMIFS(разходи!$L:$L,разходи!$E:$E,'ПП Януари'!$C$65,разходи!$M:$M,'ПП Януари'!AE2)</f>
        <v>0</v>
      </c>
      <c r="AF65" s="76">
        <f>SUMIFS(разходи!$L:$L,разходи!$E:$E,'ПП Януари'!$C$65,разходи!$M:$M,'ПП Януари'!AF2)</f>
        <v>0</v>
      </c>
      <c r="AG65" s="74">
        <f>SUMIFS(разходи!$L:$L,разходи!$E:$E,'ПП Януари'!$C$65,разходи!$M:$M,'ПП Януари'!AG2)</f>
        <v>0</v>
      </c>
      <c r="AH65" s="74">
        <f>SUMIFS(разходи!$L:$L,разходи!$E:$E,'ПП Януари'!$C$65,разходи!$M:$M,'ПП Януари'!AH2)</f>
        <v>0</v>
      </c>
      <c r="AI65" s="74">
        <f>SUMIFS(разходи!$L:$L,разходи!$E:$E,'ПП Януари'!$C$65,разходи!$M:$M,'ПП Януари'!AI2)</f>
        <v>0</v>
      </c>
      <c r="AJ65" s="61">
        <f t="shared" si="17"/>
        <v>0</v>
      </c>
      <c r="AK65" s="69">
        <f t="shared" si="12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4">D3-D23</f>
        <v>0</v>
      </c>
      <c r="E66" s="54">
        <f t="shared" si="24"/>
        <v>0</v>
      </c>
      <c r="F66" s="54">
        <f t="shared" si="24"/>
        <v>0</v>
      </c>
      <c r="G66" s="54">
        <f t="shared" si="24"/>
        <v>0</v>
      </c>
      <c r="H66" s="54">
        <f t="shared" si="24"/>
        <v>0</v>
      </c>
      <c r="I66" s="54">
        <f t="shared" si="24"/>
        <v>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0</v>
      </c>
      <c r="N66" s="54">
        <f t="shared" si="24"/>
        <v>0</v>
      </c>
      <c r="O66" s="54">
        <f t="shared" si="24"/>
        <v>0</v>
      </c>
      <c r="P66" s="54">
        <f t="shared" si="24"/>
        <v>0</v>
      </c>
      <c r="Q66" s="54">
        <f t="shared" si="24"/>
        <v>0</v>
      </c>
      <c r="R66" s="54">
        <f t="shared" si="24"/>
        <v>0</v>
      </c>
      <c r="S66" s="54">
        <f t="shared" si="24"/>
        <v>0</v>
      </c>
      <c r="T66" s="54">
        <f t="shared" si="24"/>
        <v>419740.09</v>
      </c>
      <c r="U66" s="54">
        <f t="shared" si="24"/>
        <v>35507.760000000002</v>
      </c>
      <c r="V66" s="54">
        <f t="shared" si="24"/>
        <v>0</v>
      </c>
      <c r="W66" s="54">
        <f t="shared" si="24"/>
        <v>18.59</v>
      </c>
      <c r="X66" s="54">
        <f t="shared" si="24"/>
        <v>0</v>
      </c>
      <c r="Y66" s="54">
        <f t="shared" si="24"/>
        <v>0</v>
      </c>
      <c r="Z66" s="54">
        <f t="shared" si="24"/>
        <v>150852.84</v>
      </c>
      <c r="AA66" s="54">
        <f t="shared" si="24"/>
        <v>1897.92</v>
      </c>
      <c r="AB66" s="54">
        <f t="shared" si="24"/>
        <v>0</v>
      </c>
      <c r="AC66" s="54">
        <f t="shared" si="24"/>
        <v>178821.24000000002</v>
      </c>
      <c r="AD66" s="54">
        <f t="shared" si="24"/>
        <v>8366535.0499999998</v>
      </c>
      <c r="AE66" s="54">
        <f t="shared" si="24"/>
        <v>0</v>
      </c>
      <c r="AF66" s="54">
        <f t="shared" si="24"/>
        <v>0</v>
      </c>
      <c r="AG66" s="54">
        <f t="shared" si="24"/>
        <v>0</v>
      </c>
      <c r="AH66" s="54">
        <f t="shared" si="24"/>
        <v>0</v>
      </c>
      <c r="AI66" s="54">
        <f t="shared" si="24"/>
        <v>0</v>
      </c>
      <c r="AJ66" s="54">
        <f t="shared" si="17"/>
        <v>9153373.4900000002</v>
      </c>
      <c r="AK66" s="54">
        <f t="shared" si="12"/>
        <v>-9153373.4900000002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022C-912B-41D0-86F7-BE628064DBDF}">
  <sheetPr>
    <tabColor theme="7" tint="0.79998168889431442"/>
  </sheetPr>
  <dimension ref="A1:AI67"/>
  <sheetViews>
    <sheetView zoomScale="70" zoomScaleNormal="70" workbookViewId="0">
      <pane xSplit="3" ySplit="2" topLeftCell="V12" activePane="bottomRight" state="frozen"/>
      <selection pane="topRight" activeCell="D34" sqref="D34"/>
      <selection pane="bottomLeft" activeCell="D34" sqref="D34"/>
      <selection pane="bottomRight" activeCell="C32" sqref="C32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8.85546875" style="14" customWidth="1"/>
    <col min="25" max="33" width="19.5703125" style="14" customWidth="1"/>
    <col min="34" max="34" width="21.28515625" style="30" bestFit="1" customWidth="1"/>
    <col min="35" max="35" width="30.28515625" style="14" bestFit="1" customWidth="1"/>
    <col min="36" max="16384" width="8.85546875" style="14"/>
  </cols>
  <sheetData>
    <row r="1" spans="1:35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5" x14ac:dyDescent="0.25">
      <c r="A2" s="15"/>
      <c r="B2" s="16"/>
      <c r="C2" s="17" t="s">
        <v>842</v>
      </c>
      <c r="D2" s="17" t="s">
        <v>843</v>
      </c>
      <c r="E2" s="81">
        <v>45323</v>
      </c>
      <c r="F2" s="81">
        <f>+E2+1</f>
        <v>45324</v>
      </c>
      <c r="G2" s="83">
        <f t="shared" ref="G2:AG2" si="0">+F2+1</f>
        <v>45325</v>
      </c>
      <c r="H2" s="83">
        <f t="shared" si="0"/>
        <v>45326</v>
      </c>
      <c r="I2" s="81">
        <f t="shared" si="0"/>
        <v>45327</v>
      </c>
      <c r="J2" s="81">
        <f t="shared" si="0"/>
        <v>45328</v>
      </c>
      <c r="K2" s="81">
        <f t="shared" si="0"/>
        <v>45329</v>
      </c>
      <c r="L2" s="81">
        <f t="shared" si="0"/>
        <v>45330</v>
      </c>
      <c r="M2" s="81">
        <f t="shared" si="0"/>
        <v>45331</v>
      </c>
      <c r="N2" s="83">
        <f t="shared" si="0"/>
        <v>45332</v>
      </c>
      <c r="O2" s="83">
        <f>+N2+1</f>
        <v>45333</v>
      </c>
      <c r="P2" s="81">
        <f t="shared" si="0"/>
        <v>45334</v>
      </c>
      <c r="Q2" s="82">
        <f t="shared" si="0"/>
        <v>45335</v>
      </c>
      <c r="R2" s="82">
        <f t="shared" si="0"/>
        <v>45336</v>
      </c>
      <c r="S2" s="81">
        <f t="shared" si="0"/>
        <v>45337</v>
      </c>
      <c r="T2" s="81">
        <f t="shared" si="0"/>
        <v>45338</v>
      </c>
      <c r="U2" s="83">
        <f t="shared" si="0"/>
        <v>45339</v>
      </c>
      <c r="V2" s="83">
        <f t="shared" si="0"/>
        <v>45340</v>
      </c>
      <c r="W2" s="81">
        <f t="shared" si="0"/>
        <v>45341</v>
      </c>
      <c r="X2" s="81">
        <f t="shared" si="0"/>
        <v>45342</v>
      </c>
      <c r="Y2" s="81">
        <f t="shared" si="0"/>
        <v>45343</v>
      </c>
      <c r="Z2" s="81">
        <f t="shared" si="0"/>
        <v>45344</v>
      </c>
      <c r="AA2" s="81">
        <f t="shared" si="0"/>
        <v>45345</v>
      </c>
      <c r="AB2" s="83">
        <f t="shared" si="0"/>
        <v>45346</v>
      </c>
      <c r="AC2" s="83">
        <f t="shared" si="0"/>
        <v>45347</v>
      </c>
      <c r="AD2" s="81">
        <f t="shared" si="0"/>
        <v>45348</v>
      </c>
      <c r="AE2" s="81">
        <f t="shared" si="0"/>
        <v>45349</v>
      </c>
      <c r="AF2" s="81">
        <f t="shared" si="0"/>
        <v>45350</v>
      </c>
      <c r="AG2" s="81">
        <f t="shared" si="0"/>
        <v>45351</v>
      </c>
      <c r="AH2" s="19" t="s">
        <v>844</v>
      </c>
      <c r="AI2" s="20" t="s">
        <v>845</v>
      </c>
    </row>
    <row r="3" spans="1:35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G3" si="1">SUM(D4,D11)</f>
        <v>0</v>
      </c>
      <c r="E3" s="54">
        <f t="shared" si="1"/>
        <v>4341618.57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591436.72</v>
      </c>
      <c r="J3" s="54">
        <f t="shared" si="1"/>
        <v>1268288.6299999999</v>
      </c>
      <c r="K3" s="54">
        <f t="shared" si="1"/>
        <v>25080.219999999998</v>
      </c>
      <c r="L3" s="54">
        <f t="shared" si="1"/>
        <v>0</v>
      </c>
      <c r="M3" s="54">
        <f t="shared" si="1"/>
        <v>0</v>
      </c>
      <c r="N3" s="54">
        <f t="shared" si="1"/>
        <v>-92107.36</v>
      </c>
      <c r="O3" s="54">
        <f t="shared" si="1"/>
        <v>0</v>
      </c>
      <c r="P3" s="54">
        <f t="shared" si="1"/>
        <v>0</v>
      </c>
      <c r="Q3" s="54">
        <f t="shared" si="1"/>
        <v>93780</v>
      </c>
      <c r="R3" s="54">
        <f t="shared" si="1"/>
        <v>92192.84</v>
      </c>
      <c r="S3" s="54">
        <f t="shared" si="1"/>
        <v>126418.25</v>
      </c>
      <c r="T3" s="54">
        <f t="shared" si="1"/>
        <v>89713.22</v>
      </c>
      <c r="U3" s="54">
        <f t="shared" si="1"/>
        <v>0</v>
      </c>
      <c r="V3" s="54">
        <f t="shared" si="1"/>
        <v>0</v>
      </c>
      <c r="W3" s="54">
        <f t="shared" si="1"/>
        <v>97373.98</v>
      </c>
      <c r="X3" s="54">
        <f t="shared" si="1"/>
        <v>2143.46</v>
      </c>
      <c r="Y3" s="54">
        <f t="shared" si="1"/>
        <v>41853.759999999995</v>
      </c>
      <c r="Z3" s="54">
        <f t="shared" si="1"/>
        <v>19.850000000000001</v>
      </c>
      <c r="AA3" s="54">
        <f t="shared" si="1"/>
        <v>6527913.7800000012</v>
      </c>
      <c r="AB3" s="54">
        <f t="shared" si="1"/>
        <v>129020.81999999999</v>
      </c>
      <c r="AC3" s="54">
        <f t="shared" si="1"/>
        <v>0</v>
      </c>
      <c r="AD3" s="54">
        <f t="shared" si="1"/>
        <v>40643.629999999997</v>
      </c>
      <c r="AE3" s="54">
        <f t="shared" si="1"/>
        <v>1197599.52</v>
      </c>
      <c r="AF3" s="54">
        <f t="shared" si="1"/>
        <v>879851.27</v>
      </c>
      <c r="AG3" s="54">
        <f t="shared" si="1"/>
        <v>0</v>
      </c>
      <c r="AH3" s="54">
        <f t="shared" ref="AH3:AH34" si="2">SUM(E3:AG3)</f>
        <v>15452841.16</v>
      </c>
      <c r="AI3" s="54">
        <f>+AH3</f>
        <v>15452841.16</v>
      </c>
    </row>
    <row r="4" spans="1:35" s="4" customFormat="1" ht="20.100000000000001" customHeight="1" x14ac:dyDescent="0.3">
      <c r="B4" s="5" t="s">
        <v>848</v>
      </c>
      <c r="C4" s="6" t="s">
        <v>849</v>
      </c>
      <c r="D4" s="73">
        <f t="shared" ref="D4" si="3">SUM(D5,D9,D10)</f>
        <v>0</v>
      </c>
      <c r="E4" s="73">
        <f>SUM(E5,E9,E10)</f>
        <v>3548180.14</v>
      </c>
      <c r="F4" s="73">
        <f>SUM(F5,F9,F10)</f>
        <v>0</v>
      </c>
      <c r="G4" s="77">
        <f>SUM(G5,G9,G10)</f>
        <v>0</v>
      </c>
      <c r="H4" s="77">
        <f>+H5+H9+H10</f>
        <v>0</v>
      </c>
      <c r="I4" s="73">
        <f t="shared" ref="I4:AG4" si="4">SUM(I5,I9,I10)</f>
        <v>506354.33999999997</v>
      </c>
      <c r="J4" s="73">
        <f t="shared" si="4"/>
        <v>1206799.1599999999</v>
      </c>
      <c r="K4" s="73">
        <f t="shared" si="4"/>
        <v>22398.53</v>
      </c>
      <c r="L4" s="73">
        <f t="shared" si="4"/>
        <v>0</v>
      </c>
      <c r="M4" s="73">
        <f t="shared" si="4"/>
        <v>0</v>
      </c>
      <c r="N4" s="77">
        <f t="shared" si="4"/>
        <v>-92857.16</v>
      </c>
      <c r="O4" s="77">
        <f t="shared" si="4"/>
        <v>0</v>
      </c>
      <c r="P4" s="73">
        <f t="shared" si="4"/>
        <v>0</v>
      </c>
      <c r="Q4" s="73">
        <f t="shared" si="4"/>
        <v>93780</v>
      </c>
      <c r="R4" s="73">
        <f t="shared" si="4"/>
        <v>53890</v>
      </c>
      <c r="S4" s="73">
        <f t="shared" si="4"/>
        <v>114780.46</v>
      </c>
      <c r="T4" s="73">
        <f t="shared" si="4"/>
        <v>77829.600000000006</v>
      </c>
      <c r="U4" s="77">
        <f t="shared" si="4"/>
        <v>0</v>
      </c>
      <c r="V4" s="77">
        <f t="shared" si="4"/>
        <v>0</v>
      </c>
      <c r="W4" s="73">
        <f t="shared" si="4"/>
        <v>88978.959999999992</v>
      </c>
      <c r="X4" s="73">
        <f t="shared" si="4"/>
        <v>2039.69</v>
      </c>
      <c r="Y4" s="73">
        <f t="shared" si="4"/>
        <v>31901.919999999998</v>
      </c>
      <c r="Z4" s="73">
        <f t="shared" si="4"/>
        <v>0</v>
      </c>
      <c r="AA4" s="73">
        <f t="shared" si="4"/>
        <v>6101203.1600000011</v>
      </c>
      <c r="AB4" s="77">
        <f t="shared" si="4"/>
        <v>128877.28</v>
      </c>
      <c r="AC4" s="77">
        <f t="shared" si="4"/>
        <v>0</v>
      </c>
      <c r="AD4" s="73">
        <f t="shared" si="4"/>
        <v>40333.68</v>
      </c>
      <c r="AE4" s="73">
        <f t="shared" si="4"/>
        <v>1150135.96</v>
      </c>
      <c r="AF4" s="73">
        <f t="shared" si="4"/>
        <v>878623.33000000007</v>
      </c>
      <c r="AG4" s="73">
        <f t="shared" si="4"/>
        <v>0</v>
      </c>
      <c r="AH4" s="57">
        <f t="shared" si="2"/>
        <v>13953249.049999999</v>
      </c>
      <c r="AI4" s="58">
        <f>+AH4</f>
        <v>13953249.049999999</v>
      </c>
    </row>
    <row r="5" spans="1:35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4">
        <f t="shared" ref="E5" si="5">SUM(E6:E8)</f>
        <v>3548180.14</v>
      </c>
      <c r="F5" s="74">
        <f>SUM(F6:F8)</f>
        <v>0</v>
      </c>
      <c r="G5" s="76">
        <f>SUM(G6:G8)</f>
        <v>0</v>
      </c>
      <c r="H5" s="76">
        <f>+H6+H7+H8</f>
        <v>0</v>
      </c>
      <c r="I5" s="74">
        <f t="shared" ref="I5:AG5" si="6">SUM(I6:I8)</f>
        <v>506354.33999999997</v>
      </c>
      <c r="J5" s="74">
        <f t="shared" si="6"/>
        <v>1206799.1599999999</v>
      </c>
      <c r="K5" s="74">
        <f t="shared" si="6"/>
        <v>22398.53</v>
      </c>
      <c r="L5" s="74">
        <f t="shared" si="6"/>
        <v>0</v>
      </c>
      <c r="M5" s="74">
        <f t="shared" si="6"/>
        <v>0</v>
      </c>
      <c r="N5" s="76">
        <f t="shared" si="6"/>
        <v>-92857.16</v>
      </c>
      <c r="O5" s="76">
        <f t="shared" si="6"/>
        <v>0</v>
      </c>
      <c r="P5" s="74">
        <f t="shared" si="6"/>
        <v>0</v>
      </c>
      <c r="Q5" s="74">
        <f t="shared" si="6"/>
        <v>0</v>
      </c>
      <c r="R5" s="74">
        <f t="shared" si="6"/>
        <v>53295.89</v>
      </c>
      <c r="S5" s="74">
        <f t="shared" si="6"/>
        <v>114780.46</v>
      </c>
      <c r="T5" s="74">
        <f t="shared" si="6"/>
        <v>77829.600000000006</v>
      </c>
      <c r="U5" s="76">
        <f t="shared" si="6"/>
        <v>0</v>
      </c>
      <c r="V5" s="76">
        <f t="shared" si="6"/>
        <v>0</v>
      </c>
      <c r="W5" s="74">
        <f t="shared" si="6"/>
        <v>88978.959999999992</v>
      </c>
      <c r="X5" s="74">
        <f t="shared" si="6"/>
        <v>2039.69</v>
      </c>
      <c r="Y5" s="74">
        <f t="shared" si="6"/>
        <v>31901.919999999998</v>
      </c>
      <c r="Z5" s="74">
        <f t="shared" si="6"/>
        <v>0</v>
      </c>
      <c r="AA5" s="74">
        <f t="shared" si="6"/>
        <v>6101203.1600000011</v>
      </c>
      <c r="AB5" s="76">
        <f t="shared" si="6"/>
        <v>128877.28</v>
      </c>
      <c r="AC5" s="76">
        <f t="shared" si="6"/>
        <v>0</v>
      </c>
      <c r="AD5" s="74">
        <f t="shared" si="6"/>
        <v>40333.68</v>
      </c>
      <c r="AE5" s="74">
        <f t="shared" si="6"/>
        <v>1150135.96</v>
      </c>
      <c r="AF5" s="74">
        <f t="shared" si="6"/>
        <v>878623.33000000007</v>
      </c>
      <c r="AG5" s="74">
        <f t="shared" si="6"/>
        <v>0</v>
      </c>
      <c r="AH5" s="61">
        <f t="shared" si="2"/>
        <v>13858874.939999999</v>
      </c>
      <c r="AI5" s="58">
        <f t="shared" ref="AI5:AI22" si="7">+AH5</f>
        <v>13858874.939999999</v>
      </c>
    </row>
    <row r="6" spans="1:35" s="23" customFormat="1" ht="20.100000000000001" customHeight="1" outlineLevel="1" x14ac:dyDescent="0.3">
      <c r="B6" s="24"/>
      <c r="C6" s="25" t="s">
        <v>851</v>
      </c>
      <c r="D6" s="79"/>
      <c r="E6" s="75"/>
      <c r="F6" s="75"/>
      <c r="G6" s="78"/>
      <c r="H6" s="78"/>
      <c r="I6" s="75"/>
      <c r="J6" s="75"/>
      <c r="K6" s="75"/>
      <c r="L6" s="75"/>
      <c r="M6" s="75"/>
      <c r="N6" s="78"/>
      <c r="O6" s="78"/>
      <c r="P6" s="75"/>
      <c r="Q6" s="75"/>
      <c r="R6" s="75"/>
      <c r="S6" s="75"/>
      <c r="T6" s="75"/>
      <c r="U6" s="78"/>
      <c r="V6" s="78"/>
      <c r="W6" s="75"/>
      <c r="X6" s="75"/>
      <c r="Y6" s="75"/>
      <c r="Z6" s="75"/>
      <c r="AA6" s="75"/>
      <c r="AB6" s="78"/>
      <c r="AC6" s="78"/>
      <c r="AD6" s="75"/>
      <c r="AE6" s="75"/>
      <c r="AF6" s="75"/>
      <c r="AG6" s="75"/>
      <c r="AH6" s="66">
        <f t="shared" si="2"/>
        <v>0</v>
      </c>
      <c r="AI6" s="58">
        <f t="shared" si="7"/>
        <v>0</v>
      </c>
    </row>
    <row r="7" spans="1:35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Февруари'!$C$7,приходи!$M:$M,'ПП Февруари'!E2)</f>
        <v>3541825.9</v>
      </c>
      <c r="F7" s="74">
        <f>SUMIFS(приходи!$L:$L,приходи!$E:$E,'ПП Февруари'!$C$7,приходи!$M:$M,'ПП Февруари'!F2)</f>
        <v>0</v>
      </c>
      <c r="G7" s="76">
        <f>SUMIFS(приходи!$L:$L,приходи!$E:$E,'ПП Февруари'!$C$7,приходи!$M:$M,'ПП Февруари'!G2)</f>
        <v>0</v>
      </c>
      <c r="H7" s="76">
        <f>SUMIFS(приходи!$L:$L,приходи!$E:$E,'ПП Февруари'!$C$7,приходи!$M:$M,'ПП Февруари'!H2)</f>
        <v>0</v>
      </c>
      <c r="I7" s="74">
        <f>SUMIFS(приходи!$L:$L,приходи!$E:$E,'ПП Февруари'!$C$7,приходи!$M:$M,'ПП Февруари'!I2)</f>
        <v>506354.33999999997</v>
      </c>
      <c r="J7" s="74">
        <f>SUMIFS(приходи!$L:$L,приходи!$E:$E,'ПП Февруари'!$C$7,приходи!$M:$M,'ПП Февруари'!J2)</f>
        <v>1206799.1599999999</v>
      </c>
      <c r="K7" s="74">
        <f>SUMIFS(приходи!$L:$L,приходи!$E:$E,'ПП Февруари'!$C$7,приходи!$M:$M,'ПП Февруари'!K2)</f>
        <v>21930.35</v>
      </c>
      <c r="L7" s="74">
        <f>SUMIFS(приходи!$L:$L,приходи!$E:$E,'ПП Февруари'!$C$7,приходи!$M:$M,'ПП Февруари'!L2)</f>
        <v>0</v>
      </c>
      <c r="M7" s="74">
        <f>SUMIFS(приходи!$L:$L,приходи!$E:$E,'ПП Февруари'!$C$7,приходи!$M:$M,'ПП Февруари'!M2)</f>
        <v>0</v>
      </c>
      <c r="N7" s="76">
        <f>SUMIFS(приходи!$L:$L,приходи!$E:$E,'ПП Февруари'!$C$7,приходи!$M:$M,'ПП Февруари'!N2)</f>
        <v>0</v>
      </c>
      <c r="O7" s="76">
        <f>SUMIFS(приходи!$L:$L,приходи!$E:$E,'ПП Февруари'!$C$7,приходи!$M:$M,'ПП Февруари'!O2)</f>
        <v>0</v>
      </c>
      <c r="P7" s="74">
        <f>SUMIFS(приходи!$L:$L,приходи!$E:$E,'ПП Февруари'!$C$7,приходи!$M:$M,'ПП Февруари'!P2)</f>
        <v>0</v>
      </c>
      <c r="Q7" s="74">
        <f>SUMIFS(приходи!$L:$L,приходи!$E:$E,'ПП Февруари'!$C$7,приходи!$M:$M,'ПП Февруари'!Q2)</f>
        <v>0</v>
      </c>
      <c r="R7" s="74">
        <f>SUMIFS(приходи!$L:$L,приходи!$E:$E,'ПП Февруари'!$C$7,приходи!$M:$M,'ПП Февруари'!R2)</f>
        <v>9041</v>
      </c>
      <c r="S7" s="74">
        <f>SUMIFS(приходи!$L:$L,приходи!$E:$E,'ПП Февруари'!$C$7,приходи!$M:$M,'ПП Февруари'!S2)</f>
        <v>0</v>
      </c>
      <c r="T7" s="74">
        <f>SUMIFS(приходи!$L:$L,приходи!$E:$E,'ПП Февруари'!$C$7,приходи!$M:$M,'ПП Февруари'!T2)</f>
        <v>0</v>
      </c>
      <c r="U7" s="76">
        <f>SUMIFS(приходи!$L:$L,приходи!$E:$E,'ПП Февруари'!$C$7,приходи!$M:$M,'ПП Февруари'!U2)</f>
        <v>0</v>
      </c>
      <c r="V7" s="76">
        <f>SUMIFS(приходи!$L:$L,приходи!$E:$E,'ПП Февруари'!$C$7,приходи!$M:$M,'ПП Февруари'!V2)</f>
        <v>0</v>
      </c>
      <c r="W7" s="74">
        <f>SUMIFS(приходи!$L:$L,приходи!$E:$E,'ПП Февруари'!$C$7,приходи!$M:$M,'ПП Февруари'!W2)</f>
        <v>0</v>
      </c>
      <c r="X7" s="74">
        <f>SUMIFS(приходи!$L:$L,приходи!$E:$E,'ПП Февруари'!$C$7,приходи!$M:$M,'ПП Февруари'!X2)</f>
        <v>0</v>
      </c>
      <c r="Y7" s="74">
        <f>SUMIFS(приходи!$L:$L,приходи!$E:$E,'ПП Февруари'!$C$7,приходи!$M:$M,'ПП Февруари'!Y2)</f>
        <v>0</v>
      </c>
      <c r="Z7" s="74">
        <f>SUMIFS(приходи!$L:$L,приходи!$E:$E,'ПП Февруари'!$C$7,приходи!$M:$M,'ПП Февруари'!Z2)</f>
        <v>0</v>
      </c>
      <c r="AA7" s="74">
        <f>SUMIFS(приходи!$L:$L,приходи!$E:$E,'ПП Февруари'!$C$7,приходи!$M:$M,'ПП Февруари'!AA2)</f>
        <v>6077085.2200000007</v>
      </c>
      <c r="AB7" s="76">
        <f>SUMIFS(приходи!$L:$L,приходи!$E:$E,'ПП Февруари'!$C$7,приходи!$M:$M,'ПП Февруари'!AB2)</f>
        <v>0</v>
      </c>
      <c r="AC7" s="76">
        <f>SUMIFS(приходи!$L:$L,приходи!$E:$E,'ПП Февруари'!$C$7,приходи!$M:$M,'ПП Февруари'!AC2)</f>
        <v>0</v>
      </c>
      <c r="AD7" s="74">
        <f>SUMIFS(приходи!$L:$L,приходи!$E:$E,'ПП Февруари'!$C$7,приходи!$M:$M,'ПП Февруари'!AD2)</f>
        <v>0</v>
      </c>
      <c r="AE7" s="74">
        <f>SUMIFS(приходи!$L:$L,приходи!$E:$E,'ПП Февруари'!$C$7,приходи!$M:$M,'ПП Февруари'!AE2)</f>
        <v>1150135.96</v>
      </c>
      <c r="AF7" s="74">
        <f>SUMIFS(приходи!$L:$L,приходи!$E:$E,'ПП Февруари'!$C$7,приходи!$M:$M,'ПП Февруари'!AF2)</f>
        <v>778021.07000000007</v>
      </c>
      <c r="AG7" s="74">
        <f>SUMIFS(приходи!$L:$L,приходи!$E:$E,'ПП Февруари'!$C$7,приходи!$M:$M,'ПП Февруари'!AG2)</f>
        <v>0</v>
      </c>
      <c r="AH7" s="61">
        <f t="shared" si="2"/>
        <v>13291193</v>
      </c>
      <c r="AI7" s="58">
        <f t="shared" si="7"/>
        <v>13291193</v>
      </c>
    </row>
    <row r="8" spans="1:35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Февруари'!$C$8,приходи!$M:$M,'ПП Февруари'!E2)</f>
        <v>6354.24</v>
      </c>
      <c r="F8" s="74">
        <f>SUMIFS(приходи!$L:$L,приходи!$E:$E,'ПП Февруари'!$C$8,приходи!$M:$M,'ПП Февруари'!F2)</f>
        <v>0</v>
      </c>
      <c r="G8" s="76">
        <f>SUMIFS(приходи!$L:$L,приходи!$E:$E,'ПП Февруари'!$C$8,приходи!$M:$M,'ПП Февруари'!G2)</f>
        <v>0</v>
      </c>
      <c r="H8" s="76">
        <f>SUMIFS(приходи!$L:$L,приходи!$E:$E,'ПП Февруари'!$C$8,приходи!$M:$M,'ПП Февруари'!H2)</f>
        <v>0</v>
      </c>
      <c r="I8" s="74">
        <f>SUMIFS(приходи!$L:$L,приходи!$E:$E,'ПП Февруари'!$C$8,приходи!$M:$M,'ПП Февруари'!I2)</f>
        <v>0</v>
      </c>
      <c r="J8" s="74">
        <f>SUMIFS(приходи!$L:$L,приходи!$E:$E,'ПП Февруари'!$C$8,приходи!$M:$M,'ПП Февруари'!J2)</f>
        <v>0</v>
      </c>
      <c r="K8" s="74">
        <f>SUMIFS(приходи!$L:$L,приходи!$E:$E,'ПП Февруари'!$C$8,приходи!$M:$M,'ПП Февруари'!K2)</f>
        <v>468.18</v>
      </c>
      <c r="L8" s="74">
        <f>SUMIFS(приходи!$L:$L,приходи!$E:$E,'ПП Февруари'!$C$8,приходи!$M:$M,'ПП Февруари'!L2)</f>
        <v>0</v>
      </c>
      <c r="M8" s="74">
        <f>SUMIFS(приходи!$L:$L,приходи!$E:$E,'ПП Февруари'!$C$8,приходи!$M:$M,'ПП Февруари'!M2)</f>
        <v>0</v>
      </c>
      <c r="N8" s="76">
        <f>SUMIFS(приходи!$L:$L,приходи!$E:$E,'ПП Февруари'!$C$8,приходи!$M:$M,'ПП Февруари'!N2)</f>
        <v>-92857.16</v>
      </c>
      <c r="O8" s="76">
        <f>SUMIFS(приходи!$L:$L,приходи!$E:$E,'ПП Февруари'!$C$8,приходи!$M:$M,'ПП Февруари'!O2)</f>
        <v>0</v>
      </c>
      <c r="P8" s="74">
        <f>SUMIFS(приходи!$L:$L,приходи!$E:$E,'ПП Февруари'!$C$8,приходи!$M:$M,'ПП Февруари'!P2)</f>
        <v>0</v>
      </c>
      <c r="Q8" s="74">
        <f>SUMIFS(приходи!$L:$L,приходи!$E:$E,'ПП Февруари'!$C$8,приходи!$M:$M,'ПП Февруари'!Q2)</f>
        <v>0</v>
      </c>
      <c r="R8" s="74">
        <f>SUMIFS(приходи!$L:$L,приходи!$E:$E,'ПП Февруари'!$C$8,приходи!$M:$M,'ПП Февруари'!R2)</f>
        <v>44254.89</v>
      </c>
      <c r="S8" s="74">
        <f>SUMIFS(приходи!$L:$L,приходи!$E:$E,'ПП Февруари'!$C$8,приходи!$M:$M,'ПП Февруари'!S2)</f>
        <v>114780.46</v>
      </c>
      <c r="T8" s="74">
        <f>SUMIFS(приходи!$L:$L,приходи!$E:$E,'ПП Февруари'!$C$8,приходи!$M:$M,'ПП Февруари'!T2)</f>
        <v>77829.600000000006</v>
      </c>
      <c r="U8" s="76">
        <f>SUMIFS(приходи!$L:$L,приходи!$E:$E,'ПП Февруари'!$C$8,приходи!$M:$M,'ПП Февруари'!U2)</f>
        <v>0</v>
      </c>
      <c r="V8" s="76">
        <f>SUMIFS(приходи!$L:$L,приходи!$E:$E,'ПП Февруари'!$C$8,приходи!$M:$M,'ПП Февруари'!V2)</f>
        <v>0</v>
      </c>
      <c r="W8" s="74">
        <f>SUMIFS(приходи!$L:$L,приходи!$E:$E,'ПП Февруари'!$C$8,приходи!$M:$M,'ПП Февруари'!W2)</f>
        <v>88978.959999999992</v>
      </c>
      <c r="X8" s="74">
        <f>SUMIFS(приходи!$L:$L,приходи!$E:$E,'ПП Февруари'!$C$8,приходи!$M:$M,'ПП Февруари'!X2)</f>
        <v>2039.69</v>
      </c>
      <c r="Y8" s="74">
        <f>SUMIFS(приходи!$L:$L,приходи!$E:$E,'ПП Февруари'!$C$8,приходи!$M:$M,'ПП Февруари'!Y2)</f>
        <v>31901.919999999998</v>
      </c>
      <c r="Z8" s="74">
        <f>SUMIFS(приходи!$L:$L,приходи!$E:$E,'ПП Февруари'!$C$8,приходи!$M:$M,'ПП Февруари'!Z2)</f>
        <v>0</v>
      </c>
      <c r="AA8" s="74">
        <f>SUMIFS(приходи!$L:$L,приходи!$E:$E,'ПП Февруари'!$C$8,приходи!$M:$M,'ПП Февруари'!AA2)</f>
        <v>24117.94</v>
      </c>
      <c r="AB8" s="76">
        <f>SUMIFS(приходи!$L:$L,приходи!$E:$E,'ПП Февруари'!$C$8,приходи!$M:$M,'ПП Февруари'!AB2)</f>
        <v>128877.28</v>
      </c>
      <c r="AC8" s="76">
        <f>SUMIFS(приходи!$L:$L,приходи!$E:$E,'ПП Февруари'!$C$8,приходи!$M:$M,'ПП Февруари'!AC2)</f>
        <v>0</v>
      </c>
      <c r="AD8" s="74">
        <f>SUMIFS(приходи!$L:$L,приходи!$E:$E,'ПП Февруари'!$C$8,приходи!$M:$M,'ПП Февруари'!AD2)</f>
        <v>40333.68</v>
      </c>
      <c r="AE8" s="74">
        <f>SUMIFS(приходи!$L:$L,приходи!$E:$E,'ПП Февруари'!$C$8,приходи!$M:$M,'ПП Февруари'!AE2)</f>
        <v>0</v>
      </c>
      <c r="AF8" s="74">
        <f>SUMIFS(приходи!$L:$L,приходи!$E:$E,'ПП Февруари'!$C$8,приходи!$M:$M,'ПП Февруари'!AF2)</f>
        <v>100602.26000000001</v>
      </c>
      <c r="AG8" s="74">
        <f>SUMIFS(приходи!$L:$L,приходи!$E:$E,'ПП Февруари'!$C$8,приходи!$M:$M,'ПП Февруари'!AG2)</f>
        <v>0</v>
      </c>
      <c r="AH8" s="61">
        <f t="shared" si="2"/>
        <v>567681.93999999994</v>
      </c>
      <c r="AI8" s="58">
        <f t="shared" si="7"/>
        <v>567681.93999999994</v>
      </c>
    </row>
    <row r="9" spans="1:35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Февруари'!$C$9,приходи!$M:$M,'ПП Февруари'!E2)</f>
        <v>0</v>
      </c>
      <c r="F9" s="74">
        <f>SUMIFS(приходи!$L:$L,приходи!$E:$E,'ПП Февруари'!$C$9,приходи!$M:$M,'ПП Февруари'!F2)</f>
        <v>0</v>
      </c>
      <c r="G9" s="76">
        <f>SUMIFS(приходи!$L:$L,приходи!$E:$E,'ПП Февруари'!$C$9,приходи!$M:$M,'ПП Февруари'!G2)</f>
        <v>0</v>
      </c>
      <c r="H9" s="76">
        <f>SUMIFS(приходи!$L:$L,приходи!$E:$E,'ПП Февруари'!$C$9,приходи!$M:$M,'ПП Февруари'!H2)</f>
        <v>0</v>
      </c>
      <c r="I9" s="74">
        <f>SUMIFS(приходи!$L:$L,приходи!$E:$E,'ПП Февруари'!$C$9,приходи!$M:$M,'ПП Февруари'!I2)</f>
        <v>0</v>
      </c>
      <c r="J9" s="74">
        <f>SUMIFS(приходи!$L:$L,приходи!$E:$E,'ПП Февруари'!$C$9,приходи!$M:$M,'ПП Февруари'!J2)</f>
        <v>0</v>
      </c>
      <c r="K9" s="74">
        <f>SUMIFS(приходи!$L:$L,приходи!$E:$E,'ПП Февруари'!$C$9,приходи!$M:$M,'ПП Февруари'!K2)</f>
        <v>0</v>
      </c>
      <c r="L9" s="74">
        <f>SUMIFS(приходи!$L:$L,приходи!$E:$E,'ПП Февруари'!$C$9,приходи!$M:$M,'ПП Февруари'!L2)</f>
        <v>0</v>
      </c>
      <c r="M9" s="74">
        <f>SUMIFS(приходи!$L:$L,приходи!$E:$E,'ПП Февруари'!$C$9,приходи!$M:$M,'ПП Февруари'!M2)</f>
        <v>0</v>
      </c>
      <c r="N9" s="76">
        <f>SUMIFS(приходи!$L:$L,приходи!$E:$E,'ПП Февруари'!$C$9,приходи!$M:$M,'ПП Февруари'!N2)</f>
        <v>0</v>
      </c>
      <c r="O9" s="76">
        <f>SUMIFS(приходи!$L:$L,приходи!$E:$E,'ПП Февруари'!$C$9,приходи!$M:$M,'ПП Февруари'!O2)</f>
        <v>0</v>
      </c>
      <c r="P9" s="74">
        <f>SUMIFS(приходи!$L:$L,приходи!$E:$E,'ПП Февруари'!$C$9,приходи!$M:$M,'ПП Февруари'!P2)</f>
        <v>0</v>
      </c>
      <c r="Q9" s="74">
        <f>SUMIFS(приходи!$L:$L,приходи!$E:$E,'ПП Февруари'!$C$9,приходи!$M:$M,'ПП Февруари'!Q2)</f>
        <v>93780</v>
      </c>
      <c r="R9" s="74">
        <f>SUMIFS(приходи!$L:$L,приходи!$E:$E,'ПП Февруари'!$C$9,приходи!$M:$M,'ПП Февруари'!R2)</f>
        <v>594.11</v>
      </c>
      <c r="S9" s="74">
        <f>SUMIFS(приходи!$L:$L,приходи!$E:$E,'ПП Февруари'!$C$9,приходи!$M:$M,'ПП Февруари'!S2)</f>
        <v>0</v>
      </c>
      <c r="T9" s="74">
        <f>SUMIFS(приходи!$L:$L,приходи!$E:$E,'ПП Февруари'!$C$9,приходи!$M:$M,'ПП Февруари'!T2)</f>
        <v>0</v>
      </c>
      <c r="U9" s="76">
        <f>SUMIFS(приходи!$L:$L,приходи!$E:$E,'ПП Февруари'!$C$9,приходи!$M:$M,'ПП Февруари'!U2)</f>
        <v>0</v>
      </c>
      <c r="V9" s="76">
        <f>SUMIFS(приходи!$L:$L,приходи!$E:$E,'ПП Февруари'!$C$9,приходи!$M:$M,'ПП Февруари'!V2)</f>
        <v>0</v>
      </c>
      <c r="W9" s="74">
        <f>SUMIFS(приходи!$L:$L,приходи!$E:$E,'ПП Февруари'!$C$9,приходи!$M:$M,'ПП Февруари'!W2)</f>
        <v>0</v>
      </c>
      <c r="X9" s="74">
        <f>SUMIFS(приходи!$L:$L,приходи!$E:$E,'ПП Февруари'!$C$9,приходи!$M:$M,'ПП Февруари'!X2)</f>
        <v>0</v>
      </c>
      <c r="Y9" s="74">
        <f>SUMIFS(приходи!$L:$L,приходи!$E:$E,'ПП Февруари'!$C$9,приходи!$M:$M,'ПП Февруари'!Y2)</f>
        <v>0</v>
      </c>
      <c r="Z9" s="74">
        <f>SUMIFS(приходи!$L:$L,приходи!$E:$E,'ПП Февруари'!$C$9,приходи!$M:$M,'ПП Февруари'!Z2)</f>
        <v>0</v>
      </c>
      <c r="AA9" s="74">
        <f>SUMIFS(приходи!$L:$L,приходи!$E:$E,'ПП Февруари'!$C$9,приходи!$M:$M,'ПП Февруари'!AA2)</f>
        <v>0</v>
      </c>
      <c r="AB9" s="76">
        <f>SUMIFS(приходи!$L:$L,приходи!$E:$E,'ПП Февруари'!$C$9,приходи!$M:$M,'ПП Февруари'!AB2)</f>
        <v>0</v>
      </c>
      <c r="AC9" s="76">
        <f>SUMIFS(приходи!$L:$L,приходи!$E:$E,'ПП Февруари'!$C$9,приходи!$M:$M,'ПП Февруари'!AC2)</f>
        <v>0</v>
      </c>
      <c r="AD9" s="74">
        <f>SUMIFS(приходи!$L:$L,приходи!$E:$E,'ПП Февруари'!$C$9,приходи!$M:$M,'ПП Февруари'!AD2)</f>
        <v>0</v>
      </c>
      <c r="AE9" s="74">
        <f>SUMIFS(приходи!$L:$L,приходи!$E:$E,'ПП Февруари'!$C$9,приходи!$M:$M,'ПП Февруари'!AE2)</f>
        <v>0</v>
      </c>
      <c r="AF9" s="74">
        <f>SUMIFS(приходи!$L:$L,приходи!$E:$E,'ПП Февруари'!$C$9,приходи!$M:$M,'ПП Февруари'!AF2)</f>
        <v>0</v>
      </c>
      <c r="AG9" s="74">
        <f>SUMIFS(приходи!$L:$L,приходи!$E:$E,'ПП Февруари'!$C$9,приходи!$M:$M,'ПП Февруари'!AG2)</f>
        <v>0</v>
      </c>
      <c r="AH9" s="61">
        <f t="shared" si="2"/>
        <v>94374.11</v>
      </c>
      <c r="AI9" s="58">
        <f t="shared" si="7"/>
        <v>94374.11</v>
      </c>
    </row>
    <row r="10" spans="1:35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Февруари'!$C$10,приходи!$M:$M,'ПП Февруари'!E2)</f>
        <v>0</v>
      </c>
      <c r="F10" s="74">
        <f>SUMIFS(приходи!$L:$L,приходи!$E:$E,'ПП Февруари'!$C$10,приходи!$M:$M,'ПП Февруари'!F2)</f>
        <v>0</v>
      </c>
      <c r="G10" s="76">
        <f>SUMIFS(приходи!$L:$L,приходи!$E:$E,'ПП Февруари'!$C$10,приходи!$M:$M,'ПП Февруари'!G2)</f>
        <v>0</v>
      </c>
      <c r="H10" s="76">
        <f>SUMIFS(приходи!$L:$L,приходи!$E:$E,'ПП Февруари'!$C$10,приходи!$M:$M,'ПП Февруари'!H2)</f>
        <v>0</v>
      </c>
      <c r="I10" s="74">
        <f>SUMIFS(приходи!$L:$L,приходи!$E:$E,'ПП Февруари'!$C$10,приходи!$M:$M,'ПП Февруари'!I2)</f>
        <v>0</v>
      </c>
      <c r="J10" s="74">
        <f>SUMIFS(приходи!$L:$L,приходи!$E:$E,'ПП Февруари'!$C$10,приходи!$M:$M,'ПП Февруари'!J2)</f>
        <v>0</v>
      </c>
      <c r="K10" s="74">
        <f>SUMIFS(приходи!$L:$L,приходи!$E:$E,'ПП Февруари'!$C$10,приходи!$M:$M,'ПП Февруари'!K2)</f>
        <v>0</v>
      </c>
      <c r="L10" s="74">
        <f>SUMIFS(приходи!$L:$L,приходи!$E:$E,'ПП Февруари'!$C$10,приходи!$M:$M,'ПП Февруари'!L2)</f>
        <v>0</v>
      </c>
      <c r="M10" s="74">
        <f>SUMIFS(приходи!$L:$L,приходи!$E:$E,'ПП Февруари'!$C$10,приходи!$M:$M,'ПП Февруари'!M2)</f>
        <v>0</v>
      </c>
      <c r="N10" s="76">
        <f>SUMIFS(приходи!$L:$L,приходи!$E:$E,'ПП Февруари'!$C$10,приходи!$M:$M,'ПП Февруари'!N2)</f>
        <v>0</v>
      </c>
      <c r="O10" s="76">
        <f>SUMIFS(приходи!$L:$L,приходи!$E:$E,'ПП Февруари'!$C$10,приходи!$M:$M,'ПП Февруари'!O2)</f>
        <v>0</v>
      </c>
      <c r="P10" s="74">
        <f>SUMIFS(приходи!$L:$L,приходи!$E:$E,'ПП Февруари'!$C$10,приходи!$M:$M,'ПП Февруари'!P2)</f>
        <v>0</v>
      </c>
      <c r="Q10" s="74">
        <f>SUMIFS(приходи!$L:$L,приходи!$E:$E,'ПП Февруари'!$C$10,приходи!$M:$M,'ПП Февруари'!Q2)</f>
        <v>0</v>
      </c>
      <c r="R10" s="74">
        <f>SUMIFS(приходи!$L:$L,приходи!$E:$E,'ПП Февруари'!$C$10,приходи!$M:$M,'ПП Февруари'!R2)</f>
        <v>0</v>
      </c>
      <c r="S10" s="74">
        <f>SUMIFS(приходи!$L:$L,приходи!$E:$E,'ПП Февруари'!$C$10,приходи!$M:$M,'ПП Февруари'!S2)</f>
        <v>0</v>
      </c>
      <c r="T10" s="74">
        <f>SUMIFS(приходи!$L:$L,приходи!$E:$E,'ПП Февруари'!$C$10,приходи!$M:$M,'ПП Февруари'!T2)</f>
        <v>0</v>
      </c>
      <c r="U10" s="76">
        <f>SUMIFS(приходи!$L:$L,приходи!$E:$E,'ПП Февруари'!$C$10,приходи!$M:$M,'ПП Февруари'!U2)</f>
        <v>0</v>
      </c>
      <c r="V10" s="76">
        <f>SUMIFS(приходи!$L:$L,приходи!$E:$E,'ПП Февруари'!$C$10,приходи!$M:$M,'ПП Февруари'!V2)</f>
        <v>0</v>
      </c>
      <c r="W10" s="74">
        <f>SUMIFS(приходи!$L:$L,приходи!$E:$E,'ПП Февруари'!$C$10,приходи!$M:$M,'ПП Февруари'!W2)</f>
        <v>0</v>
      </c>
      <c r="X10" s="74">
        <f>SUMIFS(приходи!$L:$L,приходи!$E:$E,'ПП Февруари'!$C$10,приходи!$M:$M,'ПП Февруари'!X2)</f>
        <v>0</v>
      </c>
      <c r="Y10" s="74">
        <f>SUMIFS(приходи!$L:$L,приходи!$E:$E,'ПП Февруари'!$C$10,приходи!$M:$M,'ПП Февруари'!Y2)</f>
        <v>0</v>
      </c>
      <c r="Z10" s="74">
        <f>SUMIFS(приходи!$L:$L,приходи!$E:$E,'ПП Февруари'!$C$10,приходи!$M:$M,'ПП Февруари'!Z2)</f>
        <v>0</v>
      </c>
      <c r="AA10" s="74">
        <f>SUMIFS(приходи!$L:$L,приходи!$E:$E,'ПП Февруари'!$C$10,приходи!$M:$M,'ПП Февруари'!AA2)</f>
        <v>0</v>
      </c>
      <c r="AB10" s="76">
        <f>SUMIFS(приходи!$L:$L,приходи!$E:$E,'ПП Февруари'!$C$10,приходи!$M:$M,'ПП Февруари'!AB2)</f>
        <v>0</v>
      </c>
      <c r="AC10" s="76">
        <f>SUMIFS(приходи!$L:$L,приходи!$E:$E,'ПП Февруари'!$C$10,приходи!$M:$M,'ПП Февруари'!AC2)</f>
        <v>0</v>
      </c>
      <c r="AD10" s="74">
        <f>SUMIFS(приходи!$L:$L,приходи!$E:$E,'ПП Февруари'!$C$10,приходи!$M:$M,'ПП Февруари'!AD2)</f>
        <v>0</v>
      </c>
      <c r="AE10" s="74">
        <f>SUMIFS(приходи!$L:$L,приходи!$E:$E,'ПП Февруари'!$C$10,приходи!$M:$M,'ПП Февруари'!AE2)</f>
        <v>0</v>
      </c>
      <c r="AF10" s="74">
        <f>SUMIFS(приходи!$L:$L,приходи!$E:$E,'ПП Февруари'!$C$10,приходи!$M:$M,'ПП Февруари'!AF2)</f>
        <v>0</v>
      </c>
      <c r="AG10" s="74">
        <f>SUMIFS(приходи!$L:$L,приходи!$E:$E,'ПП Февруари'!$C$10,приходи!$M:$M,'ПП Февруари'!AG2)</f>
        <v>0</v>
      </c>
      <c r="AH10" s="61">
        <f t="shared" si="2"/>
        <v>0</v>
      </c>
      <c r="AI10" s="58">
        <f t="shared" si="7"/>
        <v>0</v>
      </c>
    </row>
    <row r="11" spans="1:35" s="4" customFormat="1" ht="20.100000000000001" customHeight="1" x14ac:dyDescent="0.3">
      <c r="B11" s="5" t="s">
        <v>852</v>
      </c>
      <c r="C11" s="6" t="s">
        <v>853</v>
      </c>
      <c r="D11" s="73">
        <f t="shared" ref="D11:AG11" si="8">SUM(D12:D13,D20,D21,D22)</f>
        <v>0</v>
      </c>
      <c r="E11" s="73">
        <f t="shared" si="8"/>
        <v>793438.42999999993</v>
      </c>
      <c r="F11" s="73">
        <f t="shared" si="8"/>
        <v>0</v>
      </c>
      <c r="G11" s="77">
        <f t="shared" si="8"/>
        <v>0</v>
      </c>
      <c r="H11" s="77">
        <f t="shared" si="8"/>
        <v>0</v>
      </c>
      <c r="I11" s="73">
        <f t="shared" si="8"/>
        <v>85082.38</v>
      </c>
      <c r="J11" s="73">
        <f t="shared" si="8"/>
        <v>61489.47</v>
      </c>
      <c r="K11" s="73">
        <f t="shared" si="8"/>
        <v>2681.69</v>
      </c>
      <c r="L11" s="73">
        <f t="shared" si="8"/>
        <v>0</v>
      </c>
      <c r="M11" s="73">
        <f t="shared" si="8"/>
        <v>0</v>
      </c>
      <c r="N11" s="77">
        <f t="shared" si="8"/>
        <v>749.8</v>
      </c>
      <c r="O11" s="77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38302.839999999997</v>
      </c>
      <c r="S11" s="73">
        <f t="shared" si="8"/>
        <v>11637.79</v>
      </c>
      <c r="T11" s="73">
        <f t="shared" si="8"/>
        <v>11883.62</v>
      </c>
      <c r="U11" s="77">
        <f t="shared" si="8"/>
        <v>0</v>
      </c>
      <c r="V11" s="77">
        <f t="shared" si="8"/>
        <v>0</v>
      </c>
      <c r="W11" s="73">
        <f t="shared" si="8"/>
        <v>8395.02</v>
      </c>
      <c r="X11" s="73">
        <f t="shared" si="8"/>
        <v>103.77</v>
      </c>
      <c r="Y11" s="73">
        <f t="shared" si="8"/>
        <v>9951.8399999999983</v>
      </c>
      <c r="Z11" s="73">
        <f t="shared" si="8"/>
        <v>19.850000000000001</v>
      </c>
      <c r="AA11" s="73">
        <f t="shared" si="8"/>
        <v>426710.62</v>
      </c>
      <c r="AB11" s="77">
        <f t="shared" si="8"/>
        <v>143.54</v>
      </c>
      <c r="AC11" s="77">
        <f t="shared" si="8"/>
        <v>0</v>
      </c>
      <c r="AD11" s="73">
        <f t="shared" si="8"/>
        <v>309.95</v>
      </c>
      <c r="AE11" s="73">
        <f t="shared" si="8"/>
        <v>47463.56</v>
      </c>
      <c r="AF11" s="73">
        <f t="shared" si="8"/>
        <v>1227.94</v>
      </c>
      <c r="AG11" s="73">
        <f t="shared" si="8"/>
        <v>0</v>
      </c>
      <c r="AH11" s="57">
        <f t="shared" si="2"/>
        <v>1499592.1099999999</v>
      </c>
      <c r="AI11" s="58">
        <f t="shared" si="7"/>
        <v>1499592.1099999999</v>
      </c>
    </row>
    <row r="12" spans="1:35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Февруари'!$C$12,приходи!$M:$M,'ПП Февруари'!E2)</f>
        <v>132085.18</v>
      </c>
      <c r="F12" s="74">
        <f>SUMIFS(приходи!$L:$L,приходи!$E:$E,'ПП Февруари'!$C$12,приходи!$M:$M,'ПП Февруари'!F2)</f>
        <v>0</v>
      </c>
      <c r="G12" s="76">
        <f>SUMIFS(приходи!$L:$L,приходи!$E:$E,'ПП Февруари'!$C$12,приходи!$M:$M,'ПП Февруари'!G2)</f>
        <v>0</v>
      </c>
      <c r="H12" s="76">
        <f>SUMIFS(приходи!$L:$L,приходи!$E:$E,'ПП Февруари'!$C$12,приходи!$M:$M,'ПП Февруари'!H2)</f>
        <v>0</v>
      </c>
      <c r="I12" s="74">
        <f>SUMIFS(приходи!$L:$L,приходи!$E:$E,'ПП Февруари'!$C$12,приходи!$M:$M,'ПП Февруари'!I2)</f>
        <v>17540.29</v>
      </c>
      <c r="J12" s="74">
        <f>SUMIFS(приходи!$L:$L,приходи!$E:$E,'ПП Февруари'!$C$12,приходи!$M:$M,'ПП Февруари'!J2)</f>
        <v>37246.730000000003</v>
      </c>
      <c r="K12" s="74">
        <f>SUMIFS(приходи!$L:$L,приходи!$E:$E,'ПП Февруари'!$C$12,приходи!$M:$M,'ПП Февруари'!K2)</f>
        <v>288.08999999999997</v>
      </c>
      <c r="L12" s="74">
        <f>SUMIFS(приходи!$L:$L,приходи!$E:$E,'ПП Февруари'!$C$12,приходи!$M:$M,'ПП Февруари'!L2)</f>
        <v>0</v>
      </c>
      <c r="M12" s="74">
        <f>SUMIFS(приходи!$L:$L,приходи!$E:$E,'ПП Февруари'!$C$12,приходи!$M:$M,'ПП Февруари'!M2)</f>
        <v>0</v>
      </c>
      <c r="N12" s="76">
        <f>SUMIFS(приходи!$L:$L,приходи!$E:$E,'ПП Февруари'!$C$12,приходи!$M:$M,'ПП Февруари'!N2)</f>
        <v>327.87</v>
      </c>
      <c r="O12" s="76">
        <f>SUMIFS(приходи!$L:$L,приходи!$E:$E,'ПП Февруари'!$C$12,приходи!$M:$M,'ПП Февруари'!O2)</f>
        <v>0</v>
      </c>
      <c r="P12" s="74">
        <f>SUMIFS(приходи!$L:$L,приходи!$E:$E,'ПП Февруари'!$C$12,приходи!$M:$M,'ПП Февруари'!P2)</f>
        <v>0</v>
      </c>
      <c r="Q12" s="74">
        <f>SUMIFS(приходи!$L:$L,приходи!$E:$E,'ПП Февруари'!$C$12,приходи!$M:$M,'ПП Февруари'!Q2)</f>
        <v>0</v>
      </c>
      <c r="R12" s="74">
        <f>SUMIFS(приходи!$L:$L,приходи!$E:$E,'ПП Февруари'!$C$12,приходи!$M:$M,'ПП Февруари'!R2)</f>
        <v>423.95</v>
      </c>
      <c r="S12" s="74">
        <f>SUMIFS(приходи!$L:$L,приходи!$E:$E,'ПП Февруари'!$C$12,приходи!$M:$M,'ПП Февруари'!S2)</f>
        <v>1922.37</v>
      </c>
      <c r="T12" s="74">
        <f>SUMIFS(приходи!$L:$L,приходи!$E:$E,'ПП Февруари'!$C$12,приходи!$M:$M,'ПП Февруари'!T2)</f>
        <v>0</v>
      </c>
      <c r="U12" s="76">
        <f>SUMIFS(приходи!$L:$L,приходи!$E:$E,'ПП Февруари'!$C$12,приходи!$M:$M,'ПП Февруари'!U2)</f>
        <v>0</v>
      </c>
      <c r="V12" s="76">
        <f>SUMIFS(приходи!$L:$L,приходи!$E:$E,'ПП Февруари'!$C$12,приходи!$M:$M,'ПП Февруари'!V2)</f>
        <v>0</v>
      </c>
      <c r="W12" s="74">
        <f>SUMIFS(приходи!$L:$L,приходи!$E:$E,'ПП Февруари'!$C$12,приходи!$M:$M,'ПП Февруари'!W2)</f>
        <v>661.36</v>
      </c>
      <c r="X12" s="74">
        <f>SUMIFS(приходи!$L:$L,приходи!$E:$E,'ПП Февруари'!$C$12,приходи!$M:$M,'ПП Февруари'!X2)</f>
        <v>0</v>
      </c>
      <c r="Y12" s="74">
        <f>SUMIFS(приходи!$L:$L,приходи!$E:$E,'ПП Февруари'!$C$12,приходи!$M:$M,'ПП Февруари'!Y2)</f>
        <v>0</v>
      </c>
      <c r="Z12" s="74">
        <f>SUMIFS(приходи!$L:$L,приходи!$E:$E,'ПП Февруари'!$C$12,приходи!$M:$M,'ПП Февруари'!Z2)</f>
        <v>0</v>
      </c>
      <c r="AA12" s="74">
        <f>SUMIFS(приходи!$L:$L,приходи!$E:$E,'ПП Февруари'!$C$12,приходи!$M:$M,'ПП Февруари'!AA2)</f>
        <v>0</v>
      </c>
      <c r="AB12" s="76">
        <f>SUMIFS(приходи!$L:$L,приходи!$E:$E,'ПП Февруари'!$C$12,приходи!$M:$M,'ПП Февруари'!AB2)</f>
        <v>0</v>
      </c>
      <c r="AC12" s="76">
        <f>SUMIFS(приходи!$L:$L,приходи!$E:$E,'ПП Февруари'!$C$12,приходи!$M:$M,'ПП Февруари'!AC2)</f>
        <v>0</v>
      </c>
      <c r="AD12" s="74">
        <f>SUMIFS(приходи!$L:$L,приходи!$E:$E,'ПП Февруари'!$C$12,приходи!$M:$M,'ПП Февруари'!AD2)</f>
        <v>0</v>
      </c>
      <c r="AE12" s="74">
        <f>SUMIFS(приходи!$L:$L,приходи!$E:$E,'ПП Февруари'!$C$12,приходи!$M:$M,'ПП Февруари'!AE2)</f>
        <v>0</v>
      </c>
      <c r="AF12" s="74">
        <f>SUMIFS(приходи!$L:$L,приходи!$E:$E,'ПП Февруари'!$C$12,приходи!$M:$M,'ПП Февруари'!AF2)</f>
        <v>0</v>
      </c>
      <c r="AG12" s="74">
        <f>SUMIFS(приходи!$L:$L,приходи!$E:$E,'ПП Февруари'!$C$12,приходи!$M:$M,'ПП Февруари'!AG2)</f>
        <v>0</v>
      </c>
      <c r="AH12" s="61">
        <f t="shared" si="2"/>
        <v>190495.84</v>
      </c>
      <c r="AI12" s="58">
        <f t="shared" si="7"/>
        <v>190495.84</v>
      </c>
    </row>
    <row r="13" spans="1:35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4">
        <f t="shared" ref="E13:AG13" si="10">SUM(E14:E19)</f>
        <v>556589.47</v>
      </c>
      <c r="F13" s="74">
        <f t="shared" si="10"/>
        <v>0</v>
      </c>
      <c r="G13" s="76">
        <f t="shared" si="10"/>
        <v>0</v>
      </c>
      <c r="H13" s="76">
        <f t="shared" si="10"/>
        <v>0</v>
      </c>
      <c r="I13" s="74">
        <f t="shared" si="10"/>
        <v>48494.130000000005</v>
      </c>
      <c r="J13" s="74">
        <f t="shared" si="10"/>
        <v>24242.739999999998</v>
      </c>
      <c r="K13" s="74">
        <f t="shared" si="10"/>
        <v>2393.6</v>
      </c>
      <c r="L13" s="74">
        <f t="shared" si="10"/>
        <v>0</v>
      </c>
      <c r="M13" s="74">
        <f t="shared" si="10"/>
        <v>0</v>
      </c>
      <c r="N13" s="76">
        <f t="shared" si="10"/>
        <v>421.93</v>
      </c>
      <c r="O13" s="76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32164.51</v>
      </c>
      <c r="S13" s="74">
        <f t="shared" si="10"/>
        <v>9715.42</v>
      </c>
      <c r="T13" s="74">
        <f t="shared" si="10"/>
        <v>11883.62</v>
      </c>
      <c r="U13" s="76">
        <f t="shared" si="10"/>
        <v>0</v>
      </c>
      <c r="V13" s="76">
        <f t="shared" si="10"/>
        <v>0</v>
      </c>
      <c r="W13" s="74">
        <f t="shared" si="10"/>
        <v>2019.27</v>
      </c>
      <c r="X13" s="74">
        <f t="shared" si="10"/>
        <v>103.77</v>
      </c>
      <c r="Y13" s="74">
        <f t="shared" si="10"/>
        <v>9951.8399999999983</v>
      </c>
      <c r="Z13" s="74">
        <f t="shared" si="10"/>
        <v>19.850000000000001</v>
      </c>
      <c r="AA13" s="74">
        <f t="shared" si="10"/>
        <v>426710.62</v>
      </c>
      <c r="AB13" s="76">
        <f t="shared" si="10"/>
        <v>143.54</v>
      </c>
      <c r="AC13" s="76">
        <f t="shared" si="10"/>
        <v>0</v>
      </c>
      <c r="AD13" s="74">
        <f t="shared" si="10"/>
        <v>309.95</v>
      </c>
      <c r="AE13" s="74">
        <f t="shared" si="10"/>
        <v>47463.56</v>
      </c>
      <c r="AF13" s="74">
        <f t="shared" si="10"/>
        <v>1227.94</v>
      </c>
      <c r="AG13" s="74">
        <f t="shared" si="10"/>
        <v>0</v>
      </c>
      <c r="AH13" s="61">
        <f t="shared" si="2"/>
        <v>1173855.76</v>
      </c>
      <c r="AI13" s="58">
        <f t="shared" si="7"/>
        <v>1173855.76</v>
      </c>
    </row>
    <row r="14" spans="1:35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Февруари'!$C$14,приходи!$M:$M,'ПП Февруари'!E2)</f>
        <v>0</v>
      </c>
      <c r="F14" s="74">
        <f>SUMIFS(приходи!$L:$L,приходи!$E:$E,'ПП Февруари'!$C$14,приходи!$M:$M,'ПП Февруари'!F2)</f>
        <v>0</v>
      </c>
      <c r="G14" s="76">
        <f>SUMIFS(приходи!$L:$L,приходи!$E:$E,'ПП Февруари'!$C$14,приходи!$M:$M,'ПП Февруари'!G2)</f>
        <v>0</v>
      </c>
      <c r="H14" s="76">
        <f>SUMIFS(приходи!$L:$L,приходи!$E:$E,'ПП Февруари'!$C$14,приходи!$M:$M,'ПП Февруари'!H2)</f>
        <v>0</v>
      </c>
      <c r="I14" s="74">
        <f>SUMIFS(приходи!$L:$L,приходи!$E:$E,'ПП Февруари'!$C$14,приходи!$M:$M,'ПП Февруари'!I2)</f>
        <v>0</v>
      </c>
      <c r="J14" s="74">
        <f>SUMIFS(приходи!$L:$L,приходи!$E:$E,'ПП Февруари'!$C$14,приходи!$M:$M,'ПП Февруари'!J2)</f>
        <v>0</v>
      </c>
      <c r="K14" s="74">
        <f>SUMIFS(приходи!$L:$L,приходи!$E:$E,'ПП Февруари'!$C$14,приходи!$M:$M,'ПП Февруари'!K2)</f>
        <v>2338.35</v>
      </c>
      <c r="L14" s="74">
        <f>SUMIFS(приходи!$L:$L,приходи!$E:$E,'ПП Февруари'!$C$14,приходи!$M:$M,'ПП Февруари'!L2)</f>
        <v>0</v>
      </c>
      <c r="M14" s="74">
        <f>SUMIFS(приходи!$L:$L,приходи!$E:$E,'ПП Февруари'!$C$14,приходи!$M:$M,'ПП Февруари'!M2)</f>
        <v>0</v>
      </c>
      <c r="N14" s="76">
        <f>SUMIFS(приходи!$L:$L,приходи!$E:$E,'ПП Февруари'!$C$14,приходи!$M:$M,'ПП Февруари'!N2)</f>
        <v>0</v>
      </c>
      <c r="O14" s="76">
        <f>SUMIFS(приходи!$L:$L,приходи!$E:$E,'ПП Февруари'!$C$14,приходи!$M:$M,'ПП Февруари'!O2)</f>
        <v>0</v>
      </c>
      <c r="P14" s="74">
        <f>SUMIFS(приходи!$L:$L,приходи!$E:$E,'ПП Февруари'!$C$14,приходи!$M:$M,'ПП Февруари'!P2)</f>
        <v>0</v>
      </c>
      <c r="Q14" s="74">
        <f>SUMIFS(приходи!$L:$L,приходи!$E:$E,'ПП Февруари'!$C$14,приходи!$M:$M,'ПП Февруари'!Q2)</f>
        <v>0</v>
      </c>
      <c r="R14" s="74">
        <f>SUMIFS(приходи!$L:$L,приходи!$E:$E,'ПП Февруари'!$C$14,приходи!$M:$M,'ПП Февруари'!R2)</f>
        <v>30591.17</v>
      </c>
      <c r="S14" s="74">
        <f>SUMIFS(приходи!$L:$L,приходи!$E:$E,'ПП Февруари'!$C$14,приходи!$M:$M,'ПП Февруари'!S2)</f>
        <v>8412.57</v>
      </c>
      <c r="T14" s="74">
        <f>SUMIFS(приходи!$L:$L,приходи!$E:$E,'ПП Февруари'!$C$14,приходи!$M:$M,'ПП Февруари'!T2)</f>
        <v>0</v>
      </c>
      <c r="U14" s="76">
        <f>SUMIFS(приходи!$L:$L,приходи!$E:$E,'ПП Февруари'!$C$14,приходи!$M:$M,'ПП Февруари'!U2)</f>
        <v>0</v>
      </c>
      <c r="V14" s="76">
        <f>SUMIFS(приходи!$L:$L,приходи!$E:$E,'ПП Февруари'!$C$14,приходи!$M:$M,'ПП Февруари'!V2)</f>
        <v>0</v>
      </c>
      <c r="W14" s="74">
        <f>SUMIFS(приходи!$L:$L,приходи!$E:$E,'ПП Февруари'!$C$14,приходи!$M:$M,'ПП Февруари'!W2)</f>
        <v>92.37</v>
      </c>
      <c r="X14" s="74">
        <f>SUMIFS(приходи!$L:$L,приходи!$E:$E,'ПП Февруари'!$C$14,приходи!$M:$M,'ПП Февруари'!X2)</f>
        <v>0</v>
      </c>
      <c r="Y14" s="74">
        <f>SUMIFS(приходи!$L:$L,приходи!$E:$E,'ПП Февруари'!$C$14,приходи!$M:$M,'ПП Февруари'!Y2)</f>
        <v>8498.98</v>
      </c>
      <c r="Z14" s="74">
        <f>SUMIFS(приходи!$L:$L,приходи!$E:$E,'ПП Февруари'!$C$14,приходи!$M:$M,'ПП Февруари'!Z2)</f>
        <v>0</v>
      </c>
      <c r="AA14" s="74">
        <f>SUMIFS(приходи!$L:$L,приходи!$E:$E,'ПП Февруари'!$C$14,приходи!$M:$M,'ПП Февруари'!AA2)</f>
        <v>87949.61</v>
      </c>
      <c r="AB14" s="76">
        <f>SUMIFS(приходи!$L:$L,приходи!$E:$E,'ПП Февруари'!$C$14,приходи!$M:$M,'ПП Февруари'!AB2)</f>
        <v>0</v>
      </c>
      <c r="AC14" s="76">
        <f>SUMIFS(приходи!$L:$L,приходи!$E:$E,'ПП Февруари'!$C$14,приходи!$M:$M,'ПП Февруари'!AC2)</f>
        <v>0</v>
      </c>
      <c r="AD14" s="74">
        <f>SUMIFS(приходи!$L:$L,приходи!$E:$E,'ПП Февруари'!$C$14,приходи!$M:$M,'ПП Февруари'!AD2)</f>
        <v>54.79</v>
      </c>
      <c r="AE14" s="74">
        <f>SUMIFS(приходи!$L:$L,приходи!$E:$E,'ПП Февруари'!$C$14,приходи!$M:$M,'ПП Февруари'!AE2)</f>
        <v>33650.28</v>
      </c>
      <c r="AF14" s="74">
        <f>SUMIFS(приходи!$L:$L,приходи!$E:$E,'ПП Февруари'!$C$14,приходи!$M:$M,'ПП Февруари'!AF2)</f>
        <v>604.21</v>
      </c>
      <c r="AG14" s="74">
        <f>SUMIFS(приходи!$L:$L,приходи!$E:$E,'ПП Февруари'!$C$14,приходи!$M:$M,'ПП Февруари'!AG2)</f>
        <v>0</v>
      </c>
      <c r="AH14" s="61">
        <f t="shared" si="2"/>
        <v>172192.33</v>
      </c>
      <c r="AI14" s="58">
        <f t="shared" si="7"/>
        <v>172192.33</v>
      </c>
    </row>
    <row r="15" spans="1:35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Февруари'!$C$15,приходи!$M:$M,'ПП Февруари'!E2)</f>
        <v>0</v>
      </c>
      <c r="F15" s="74">
        <f>SUMIFS(приходи!$L:$L,приходи!$E:$E,'ПП Февруари'!$C$15,приходи!$M:$M,'ПП Февруари'!F2)</f>
        <v>0</v>
      </c>
      <c r="G15" s="76">
        <f>SUMIFS(приходи!$L:$L,приходи!$E:$E,'ПП Февруари'!$C$15,приходи!$M:$M,'ПП Февруари'!G2)</f>
        <v>0</v>
      </c>
      <c r="H15" s="76">
        <f>SUMIFS(приходи!$L:$L,приходи!$E:$E,'ПП Февруари'!$C$15,приходи!$M:$M,'ПП Февруари'!H2)</f>
        <v>0</v>
      </c>
      <c r="I15" s="74">
        <f>SUMIFS(приходи!$L:$L,приходи!$E:$E,'ПП Февруари'!$C$15,приходи!$M:$M,'ПП Февруари'!I2)</f>
        <v>0</v>
      </c>
      <c r="J15" s="74">
        <f>SUMIFS(приходи!$L:$L,приходи!$E:$E,'ПП Февруари'!$C$15,приходи!$M:$M,'ПП Февруари'!J2)</f>
        <v>0</v>
      </c>
      <c r="K15" s="74">
        <f>SUMIFS(приходи!$L:$L,приходи!$E:$E,'ПП Февруари'!$C$15,приходи!$M:$M,'ПП Февруари'!K2)</f>
        <v>0</v>
      </c>
      <c r="L15" s="74">
        <f>SUMIFS(приходи!$L:$L,приходи!$E:$E,'ПП Февруари'!$C$15,приходи!$M:$M,'ПП Февруари'!L2)</f>
        <v>0</v>
      </c>
      <c r="M15" s="74">
        <f>SUMIFS(приходи!$L:$L,приходи!$E:$E,'ПП Февруари'!$C$15,приходи!$M:$M,'ПП Февруари'!M2)</f>
        <v>0</v>
      </c>
      <c r="N15" s="76">
        <f>SUMIFS(приходи!$L:$L,приходи!$E:$E,'ПП Февруари'!$C$15,приходи!$M:$M,'ПП Февруари'!N2)</f>
        <v>0</v>
      </c>
      <c r="O15" s="76">
        <f>SUMIFS(приходи!$L:$L,приходи!$E:$E,'ПП Февруари'!$C$15,приходи!$M:$M,'ПП Февруари'!O2)</f>
        <v>0</v>
      </c>
      <c r="P15" s="74">
        <f>SUMIFS(приходи!$L:$L,приходи!$E:$E,'ПП Февруари'!$C$15,приходи!$M:$M,'ПП Февруари'!P2)</f>
        <v>0</v>
      </c>
      <c r="Q15" s="74">
        <f>SUMIFS(приходи!$L:$L,приходи!$E:$E,'ПП Февруари'!$C$15,приходи!$M:$M,'ПП Февруари'!Q2)</f>
        <v>0</v>
      </c>
      <c r="R15" s="74">
        <f>SUMIFS(приходи!$L:$L,приходи!$E:$E,'ПП Февруари'!$C$15,приходи!$M:$M,'ПП Февруари'!R2)</f>
        <v>0</v>
      </c>
      <c r="S15" s="74">
        <f>SUMIFS(приходи!$L:$L,приходи!$E:$E,'ПП Февруари'!$C$15,приходи!$M:$M,'ПП Февруари'!S2)</f>
        <v>0</v>
      </c>
      <c r="T15" s="74">
        <f>SUMIFS(приходи!$L:$L,приходи!$E:$E,'ПП Февруари'!$C$15,приходи!$M:$M,'ПП Февруари'!T2)</f>
        <v>0</v>
      </c>
      <c r="U15" s="76">
        <f>SUMIFS(приходи!$L:$L,приходи!$E:$E,'ПП Февруари'!$C$15,приходи!$M:$M,'ПП Февруари'!U2)</f>
        <v>0</v>
      </c>
      <c r="V15" s="76">
        <f>SUMIFS(приходи!$L:$L,приходи!$E:$E,'ПП Февруари'!$C$15,приходи!$M:$M,'ПП Февруари'!V2)</f>
        <v>0</v>
      </c>
      <c r="W15" s="74">
        <f>SUMIFS(приходи!$L:$L,приходи!$E:$E,'ПП Февруари'!$C$15,приходи!$M:$M,'ПП Февруари'!W2)</f>
        <v>988.06</v>
      </c>
      <c r="X15" s="74">
        <f>SUMIFS(приходи!$L:$L,приходи!$E:$E,'ПП Февруари'!$C$15,приходи!$M:$M,'ПП Февруари'!X2)</f>
        <v>0</v>
      </c>
      <c r="Y15" s="74">
        <f>SUMIFS(приходи!$L:$L,приходи!$E:$E,'ПП Февруари'!$C$15,приходи!$M:$M,'ПП Февруари'!Y2)</f>
        <v>924.31</v>
      </c>
      <c r="Z15" s="74">
        <f>SUMIFS(приходи!$L:$L,приходи!$E:$E,'ПП Февруари'!$C$15,приходи!$M:$M,'ПП Февруари'!Z2)</f>
        <v>0</v>
      </c>
      <c r="AA15" s="74">
        <f>SUMIFS(приходи!$L:$L,приходи!$E:$E,'ПП Февруари'!$C$15,приходи!$M:$M,'ПП Февруари'!AA2)</f>
        <v>0</v>
      </c>
      <c r="AB15" s="76">
        <f>SUMIFS(приходи!$L:$L,приходи!$E:$E,'ПП Февруари'!$C$15,приходи!$M:$M,'ПП Февруари'!AB2)</f>
        <v>0</v>
      </c>
      <c r="AC15" s="76">
        <f>SUMIFS(приходи!$L:$L,приходи!$E:$E,'ПП Февруари'!$C$15,приходи!$M:$M,'ПП Февруари'!AC2)</f>
        <v>0</v>
      </c>
      <c r="AD15" s="74">
        <f>SUMIFS(приходи!$L:$L,приходи!$E:$E,'ПП Февруари'!$C$15,приходи!$M:$M,'ПП Февруари'!AD2)</f>
        <v>0</v>
      </c>
      <c r="AE15" s="74">
        <f>SUMIFS(приходи!$L:$L,приходи!$E:$E,'ПП Февруари'!$C$15,приходи!$M:$M,'ПП Февруари'!AE2)</f>
        <v>3765.28</v>
      </c>
      <c r="AF15" s="74">
        <f>SUMIFS(приходи!$L:$L,приходи!$E:$E,'ПП Февруари'!$C$15,приходи!$M:$M,'ПП Февруари'!AF2)</f>
        <v>0</v>
      </c>
      <c r="AG15" s="74">
        <f>SUMIFS(приходи!$L:$L,приходи!$E:$E,'ПП Февруари'!$C$15,приходи!$M:$M,'ПП Февруари'!AG2)</f>
        <v>0</v>
      </c>
      <c r="AH15" s="61">
        <f t="shared" si="2"/>
        <v>5677.65</v>
      </c>
      <c r="AI15" s="58">
        <f t="shared" si="7"/>
        <v>5677.65</v>
      </c>
    </row>
    <row r="16" spans="1:35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Февруари'!$C$16,приходи!$M:$M,'ПП Февруари'!E2)</f>
        <v>341769.20999999996</v>
      </c>
      <c r="F16" s="74">
        <f>SUMIFS(приходи!$L:$L,приходи!$E:$E,'ПП Февруари'!$C$16,приходи!$M:$M,'ПП Февруари'!F2)</f>
        <v>0</v>
      </c>
      <c r="G16" s="76">
        <f>SUMIFS(приходи!$L:$L,приходи!$E:$E,'ПП Февруари'!$C$16,приходи!$M:$M,'ПП Февруари'!G2)</f>
        <v>0</v>
      </c>
      <c r="H16" s="76">
        <f>SUMIFS(приходи!$L:$L,приходи!$E:$E,'ПП Февруари'!$C$16,приходи!$M:$M,'ПП Февруари'!H2)</f>
        <v>0</v>
      </c>
      <c r="I16" s="74">
        <f>SUMIFS(приходи!$L:$L,приходи!$E:$E,'ПП Февруари'!$C$16,приходи!$M:$M,'ПП Февруари'!I2)</f>
        <v>0</v>
      </c>
      <c r="J16" s="74">
        <f>SUMIFS(приходи!$L:$L,приходи!$E:$E,'ПП Февруари'!$C$16,приходи!$M:$M,'ПП Февруари'!J2)</f>
        <v>0</v>
      </c>
      <c r="K16" s="74">
        <f>SUMIFS(приходи!$L:$L,приходи!$E:$E,'ПП Февруари'!$C$16,приходи!$M:$M,'ПП Февруари'!K2)</f>
        <v>0</v>
      </c>
      <c r="L16" s="74">
        <f>SUMIFS(приходи!$L:$L,приходи!$E:$E,'ПП Февруари'!$C$16,приходи!$M:$M,'ПП Февруари'!L2)</f>
        <v>0</v>
      </c>
      <c r="M16" s="74">
        <f>SUMIFS(приходи!$L:$L,приходи!$E:$E,'ПП Февруари'!$C$16,приходи!$M:$M,'ПП Февруари'!M2)</f>
        <v>0</v>
      </c>
      <c r="N16" s="76">
        <f>SUMIFS(приходи!$L:$L,приходи!$E:$E,'ПП Февруари'!$C$16,приходи!$M:$M,'ПП Февруари'!N2)</f>
        <v>0</v>
      </c>
      <c r="O16" s="76">
        <f>SUMIFS(приходи!$L:$L,приходи!$E:$E,'ПП Февруари'!$C$16,приходи!$M:$M,'ПП Февруари'!O2)</f>
        <v>0</v>
      </c>
      <c r="P16" s="74">
        <f>SUMIFS(приходи!$L:$L,приходи!$E:$E,'ПП Февруари'!$C$16,приходи!$M:$M,'ПП Февруари'!P2)</f>
        <v>0</v>
      </c>
      <c r="Q16" s="74">
        <f>SUMIFS(приходи!$L:$L,приходи!$E:$E,'ПП Февруари'!$C$16,приходи!$M:$M,'ПП Февруари'!Q2)</f>
        <v>0</v>
      </c>
      <c r="R16" s="74">
        <f>SUMIFS(приходи!$L:$L,приходи!$E:$E,'ПП Февруари'!$C$16,приходи!$M:$M,'ПП Февруари'!R2)</f>
        <v>0</v>
      </c>
      <c r="S16" s="74">
        <f>SUMIFS(приходи!$L:$L,приходи!$E:$E,'ПП Февруари'!$C$16,приходи!$M:$M,'ПП Февруари'!S2)</f>
        <v>0</v>
      </c>
      <c r="T16" s="74">
        <f>SUMIFS(приходи!$L:$L,приходи!$E:$E,'ПП Февруари'!$C$16,приходи!$M:$M,'ПП Февруари'!T2)</f>
        <v>11883.62</v>
      </c>
      <c r="U16" s="76">
        <f>SUMIFS(приходи!$L:$L,приходи!$E:$E,'ПП Февруари'!$C$16,приходи!$M:$M,'ПП Февруари'!U2)</f>
        <v>0</v>
      </c>
      <c r="V16" s="76">
        <f>SUMIFS(приходи!$L:$L,приходи!$E:$E,'ПП Февруари'!$C$16,приходи!$M:$M,'ПП Февруари'!V2)</f>
        <v>0</v>
      </c>
      <c r="W16" s="74">
        <f>SUMIFS(приходи!$L:$L,приходи!$E:$E,'ПП Февруари'!$C$16,приходи!$M:$M,'ПП Февруари'!W2)</f>
        <v>938.84</v>
      </c>
      <c r="X16" s="74">
        <f>SUMIFS(приходи!$L:$L,приходи!$E:$E,'ПП Февруари'!$C$16,приходи!$M:$M,'ПП Февруари'!X2)</f>
        <v>103.77</v>
      </c>
      <c r="Y16" s="74">
        <f>SUMIFS(приходи!$L:$L,приходи!$E:$E,'ПП Февруари'!$C$16,приходи!$M:$M,'ПП Февруари'!Y2)</f>
        <v>528.54999999999995</v>
      </c>
      <c r="Z16" s="74">
        <f>SUMIFS(приходи!$L:$L,приходи!$E:$E,'ПП Февруари'!$C$16,приходи!$M:$M,'ПП Февруари'!Z2)</f>
        <v>19.850000000000001</v>
      </c>
      <c r="AA16" s="74">
        <f>SUMIFS(приходи!$L:$L,приходи!$E:$E,'ПП Февруари'!$C$16,приходи!$M:$M,'ПП Февруари'!AA2)</f>
        <v>338761.01</v>
      </c>
      <c r="AB16" s="76">
        <f>SUMIFS(приходи!$L:$L,приходи!$E:$E,'ПП Февруари'!$C$16,приходи!$M:$M,'ПП Февруари'!AB2)</f>
        <v>143.54</v>
      </c>
      <c r="AC16" s="76">
        <f>SUMIFS(приходи!$L:$L,приходи!$E:$E,'ПП Февруари'!$C$16,приходи!$M:$M,'ПП Февруари'!AC2)</f>
        <v>0</v>
      </c>
      <c r="AD16" s="74">
        <f>SUMIFS(приходи!$L:$L,приходи!$E:$E,'ПП Февруари'!$C$16,приходи!$M:$M,'ПП Февруари'!AD2)</f>
        <v>255.16</v>
      </c>
      <c r="AE16" s="74">
        <f>SUMIFS(приходи!$L:$L,приходи!$E:$E,'ПП Февруари'!$C$16,приходи!$M:$M,'ПП Февруари'!AE2)</f>
        <v>10048</v>
      </c>
      <c r="AF16" s="74">
        <f>SUMIFS(приходи!$L:$L,приходи!$E:$E,'ПП Февруари'!$C$16,приходи!$M:$M,'ПП Февруари'!AF2)</f>
        <v>623.73</v>
      </c>
      <c r="AG16" s="74">
        <f>SUMIFS(приходи!$L:$L,приходи!$E:$E,'ПП Февруари'!$C$16,приходи!$M:$M,'ПП Февруари'!AG2)</f>
        <v>0</v>
      </c>
      <c r="AH16" s="61">
        <f t="shared" si="2"/>
        <v>705075.28</v>
      </c>
      <c r="AI16" s="58">
        <f t="shared" si="7"/>
        <v>705075.28</v>
      </c>
    </row>
    <row r="17" spans="1:35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Февруари'!$C$17,приходи!$M:$M,'ПП Февруари'!E2)</f>
        <v>210551.83</v>
      </c>
      <c r="F17" s="74">
        <f>SUMIFS(приходи!$L:$L,приходи!$E:$E,'ПП Февруари'!$C$17,приходи!$M:$M,'ПП Февруари'!F2)</f>
        <v>0</v>
      </c>
      <c r="G17" s="76">
        <f>SUMIFS(приходи!$L:$L,приходи!$E:$E,'ПП Февруари'!$C$17,приходи!$M:$M,'ПП Февруари'!G2)</f>
        <v>0</v>
      </c>
      <c r="H17" s="76">
        <f>SUMIFS(приходи!$L:$L,приходи!$E:$E,'ПП Февруари'!$C$17,приходи!$M:$M,'ПП Февруари'!H2)</f>
        <v>0</v>
      </c>
      <c r="I17" s="74">
        <f>SUMIFS(приходи!$L:$L,приходи!$E:$E,'ПП Февруари'!$C$17,приходи!$M:$M,'ПП Февруари'!I2)</f>
        <v>47989.15</v>
      </c>
      <c r="J17" s="74">
        <f>SUMIFS(приходи!$L:$L,приходи!$E:$E,'ПП Февруари'!$C$17,приходи!$M:$M,'ПП Февруари'!J2)</f>
        <v>16839.71</v>
      </c>
      <c r="K17" s="74">
        <f>SUMIFS(приходи!$L:$L,приходи!$E:$E,'ПП Февруари'!$C$17,приходи!$M:$M,'ПП Февруари'!K2)</f>
        <v>0</v>
      </c>
      <c r="L17" s="74">
        <f>SUMIFS(приходи!$L:$L,приходи!$E:$E,'ПП Февруари'!$C$17,приходи!$M:$M,'ПП Февруари'!L2)</f>
        <v>0</v>
      </c>
      <c r="M17" s="74">
        <f>SUMIFS(приходи!$L:$L,приходи!$E:$E,'ПП Февруари'!$C$17,приходи!$M:$M,'ПП Февруари'!M2)</f>
        <v>0</v>
      </c>
      <c r="N17" s="76">
        <f>SUMIFS(приходи!$L:$L,приходи!$E:$E,'ПП Февруари'!$C$17,приходи!$M:$M,'ПП Февруари'!N2)</f>
        <v>0</v>
      </c>
      <c r="O17" s="76">
        <f>SUMIFS(приходи!$L:$L,приходи!$E:$E,'ПП Февруари'!$C$17,приходи!$M:$M,'ПП Февруари'!O2)</f>
        <v>0</v>
      </c>
      <c r="P17" s="74">
        <f>SUMIFS(приходи!$L:$L,приходи!$E:$E,'ПП Февруари'!$C$17,приходи!$M:$M,'ПП Февруари'!P2)</f>
        <v>0</v>
      </c>
      <c r="Q17" s="74">
        <f>SUMIFS(приходи!$L:$L,приходи!$E:$E,'ПП Февруари'!$C$17,приходи!$M:$M,'ПП Февруари'!Q2)</f>
        <v>0</v>
      </c>
      <c r="R17" s="74">
        <f>SUMIFS(приходи!$L:$L,приходи!$E:$E,'ПП Февруари'!$C$17,приходи!$M:$M,'ПП Февруари'!R2)</f>
        <v>1555.57</v>
      </c>
      <c r="S17" s="74">
        <f>SUMIFS(приходи!$L:$L,приходи!$E:$E,'ПП Февруари'!$C$17,приходи!$M:$M,'ПП Февруари'!S2)</f>
        <v>0</v>
      </c>
      <c r="T17" s="74">
        <f>SUMIFS(приходи!$L:$L,приходи!$E:$E,'ПП Февруари'!$C$17,приходи!$M:$M,'ПП Февруари'!T2)</f>
        <v>0</v>
      </c>
      <c r="U17" s="76">
        <f>SUMIFS(приходи!$L:$L,приходи!$E:$E,'ПП Февруари'!$C$17,приходи!$M:$M,'ПП Февруари'!U2)</f>
        <v>0</v>
      </c>
      <c r="V17" s="76">
        <f>SUMIFS(приходи!$L:$L,приходи!$E:$E,'ПП Февруари'!$C$17,приходи!$M:$M,'ПП Февруари'!V2)</f>
        <v>0</v>
      </c>
      <c r="W17" s="74">
        <f>SUMIFS(приходи!$L:$L,приходи!$E:$E,'ПП Февруари'!$C$17,приходи!$M:$M,'ПП Февруари'!W2)</f>
        <v>0</v>
      </c>
      <c r="X17" s="74">
        <f>SUMIFS(приходи!$L:$L,приходи!$E:$E,'ПП Февруари'!$C$17,приходи!$M:$M,'ПП Февруари'!X2)</f>
        <v>0</v>
      </c>
      <c r="Y17" s="74">
        <f>SUMIFS(приходи!$L:$L,приходи!$E:$E,'ПП Февруари'!$C$17,приходи!$M:$M,'ПП Февруари'!Y2)</f>
        <v>0</v>
      </c>
      <c r="Z17" s="74">
        <f>SUMIFS(приходи!$L:$L,приходи!$E:$E,'ПП Февруари'!$C$17,приходи!$M:$M,'ПП Февруари'!Z2)</f>
        <v>0</v>
      </c>
      <c r="AA17" s="74">
        <f>SUMIFS(приходи!$L:$L,приходи!$E:$E,'ПП Февруари'!$C$17,приходи!$M:$M,'ПП Февруари'!AA2)</f>
        <v>0</v>
      </c>
      <c r="AB17" s="76">
        <f>SUMIFS(приходи!$L:$L,приходи!$E:$E,'ПП Февруари'!$C$17,приходи!$M:$M,'ПП Февруари'!AB2)</f>
        <v>0</v>
      </c>
      <c r="AC17" s="76">
        <f>SUMIFS(приходи!$L:$L,приходи!$E:$E,'ПП Февруари'!$C$17,приходи!$M:$M,'ПП Февруари'!AC2)</f>
        <v>0</v>
      </c>
      <c r="AD17" s="74">
        <f>SUMIFS(приходи!$L:$L,приходи!$E:$E,'ПП Февруари'!$C$17,приходи!$M:$M,'ПП Февруари'!AD2)</f>
        <v>0</v>
      </c>
      <c r="AE17" s="74">
        <f>SUMIFS(приходи!$L:$L,приходи!$E:$E,'ПП Февруари'!$C$17,приходи!$M:$M,'ПП Февруари'!AE2)</f>
        <v>0</v>
      </c>
      <c r="AF17" s="74">
        <f>SUMIFS(приходи!$L:$L,приходи!$E:$E,'ПП Февруари'!$C$17,приходи!$M:$M,'ПП Февруари'!AF2)</f>
        <v>0</v>
      </c>
      <c r="AG17" s="74">
        <f>SUMIFS(приходи!$L:$L,приходи!$E:$E,'ПП Февруари'!$C$17,приходи!$M:$M,'ПП Февруари'!AG2)</f>
        <v>0</v>
      </c>
      <c r="AH17" s="61">
        <f t="shared" si="2"/>
        <v>276936.26</v>
      </c>
      <c r="AI17" s="58">
        <f t="shared" si="7"/>
        <v>276936.26</v>
      </c>
    </row>
    <row r="18" spans="1:35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Февруари'!$C$18,приходи!$M:$M,'ПП Февруари'!E2)</f>
        <v>0</v>
      </c>
      <c r="F18" s="74">
        <f>SUMIFS(приходи!$L:$L,приходи!$E:$E,'ПП Февруари'!$C$18,приходи!$M:$M,'ПП Февруари'!F2)</f>
        <v>0</v>
      </c>
      <c r="G18" s="76">
        <f>SUMIFS(приходи!$L:$L,приходи!$E:$E,'ПП Февруари'!$C$18,приходи!$M:$M,'ПП Февруари'!G2)</f>
        <v>0</v>
      </c>
      <c r="H18" s="76">
        <f>SUMIFS(приходи!$L:$L,приходи!$E:$E,'ПП Февруари'!$C$18,приходи!$M:$M,'ПП Февруари'!H2)</f>
        <v>0</v>
      </c>
      <c r="I18" s="74">
        <f>SUMIFS(приходи!$L:$L,приходи!$E:$E,'ПП Февруари'!$C$18,приходи!$M:$M,'ПП Февруари'!I2)</f>
        <v>0</v>
      </c>
      <c r="J18" s="74">
        <f>SUMIFS(приходи!$L:$L,приходи!$E:$E,'ПП Февруари'!$C$18,приходи!$M:$M,'ПП Февруари'!J2)</f>
        <v>0</v>
      </c>
      <c r="K18" s="74">
        <f>SUMIFS(приходи!$L:$L,приходи!$E:$E,'ПП Февруари'!$C$18,приходи!$M:$M,'ПП Февруари'!K2)</f>
        <v>0</v>
      </c>
      <c r="L18" s="74">
        <f>SUMIFS(приходи!$L:$L,приходи!$E:$E,'ПП Февруари'!$C$18,приходи!$M:$M,'ПП Февруари'!L2)</f>
        <v>0</v>
      </c>
      <c r="M18" s="74">
        <f>SUMIFS(приходи!$L:$L,приходи!$E:$E,'ПП Февруари'!$C$18,приходи!$M:$M,'ПП Февруари'!M2)</f>
        <v>0</v>
      </c>
      <c r="N18" s="76">
        <f>SUMIFS(приходи!$L:$L,приходи!$E:$E,'ПП Февруари'!$C$18,приходи!$M:$M,'ПП Февруари'!N2)</f>
        <v>0</v>
      </c>
      <c r="O18" s="76">
        <f>SUMIFS(приходи!$L:$L,приходи!$E:$E,'ПП Февруари'!$C$18,приходи!$M:$M,'ПП Февруари'!O2)</f>
        <v>0</v>
      </c>
      <c r="P18" s="74">
        <f>SUMIFS(приходи!$L:$L,приходи!$E:$E,'ПП Февруари'!$C$18,приходи!$M:$M,'ПП Февруари'!P2)</f>
        <v>0</v>
      </c>
      <c r="Q18" s="74">
        <f>SUMIFS(приходи!$L:$L,приходи!$E:$E,'ПП Февруари'!$C$18,приходи!$M:$M,'ПП Февруари'!Q2)</f>
        <v>0</v>
      </c>
      <c r="R18" s="74">
        <f>SUMIFS(приходи!$L:$L,приходи!$E:$E,'ПП Февруари'!$C$18,приходи!$M:$M,'ПП Февруари'!R2)</f>
        <v>0</v>
      </c>
      <c r="S18" s="74">
        <f>SUMIFS(приходи!$L:$L,приходи!$E:$E,'ПП Февруари'!$C$18,приходи!$M:$M,'ПП Февруари'!S2)</f>
        <v>0</v>
      </c>
      <c r="T18" s="74">
        <f>SUMIFS(приходи!$L:$L,приходи!$E:$E,'ПП Февруари'!$C$18,приходи!$M:$M,'ПП Февруари'!T2)</f>
        <v>0</v>
      </c>
      <c r="U18" s="76">
        <f>SUMIFS(приходи!$L:$L,приходи!$E:$E,'ПП Февруари'!$C$18,приходи!$M:$M,'ПП Февруари'!U2)</f>
        <v>0</v>
      </c>
      <c r="V18" s="76">
        <f>SUMIFS(приходи!$L:$L,приходи!$E:$E,'ПП Февруари'!$C$18,приходи!$M:$M,'ПП Февруари'!V2)</f>
        <v>0</v>
      </c>
      <c r="W18" s="74">
        <f>SUMIFS(приходи!$L:$L,приходи!$E:$E,'ПП Февруари'!$C$18,приходи!$M:$M,'ПП Февруари'!W2)</f>
        <v>0</v>
      </c>
      <c r="X18" s="74">
        <f>SUMIFS(приходи!$L:$L,приходи!$E:$E,'ПП Февруари'!$C$18,приходи!$M:$M,'ПП Февруари'!X2)</f>
        <v>0</v>
      </c>
      <c r="Y18" s="74">
        <f>SUMIFS(приходи!$L:$L,приходи!$E:$E,'ПП Февруари'!$C$18,приходи!$M:$M,'ПП Февруари'!Y2)</f>
        <v>0</v>
      </c>
      <c r="Z18" s="74">
        <f>SUMIFS(приходи!$L:$L,приходи!$E:$E,'ПП Февруари'!$C$18,приходи!$M:$M,'ПП Февруари'!Z2)</f>
        <v>0</v>
      </c>
      <c r="AA18" s="74">
        <f>SUMIFS(приходи!$L:$L,приходи!$E:$E,'ПП Февруари'!$C$18,приходи!$M:$M,'ПП Февруари'!AA2)</f>
        <v>0</v>
      </c>
      <c r="AB18" s="76">
        <f>SUMIFS(приходи!$L:$L,приходи!$E:$E,'ПП Февруари'!$C$18,приходи!$M:$M,'ПП Февруари'!AB2)</f>
        <v>0</v>
      </c>
      <c r="AC18" s="76">
        <f>SUMIFS(приходи!$L:$L,приходи!$E:$E,'ПП Февруари'!$C$18,приходи!$M:$M,'ПП Февруари'!AC2)</f>
        <v>0</v>
      </c>
      <c r="AD18" s="74">
        <f>SUMIFS(приходи!$L:$L,приходи!$E:$E,'ПП Февруари'!$C$18,приходи!$M:$M,'ПП Февруари'!AD2)</f>
        <v>0</v>
      </c>
      <c r="AE18" s="74">
        <f>SUMIFS(приходи!$L:$L,приходи!$E:$E,'ПП Февруари'!$C$18,приходи!$M:$M,'ПП Февруари'!AE2)</f>
        <v>0</v>
      </c>
      <c r="AF18" s="74">
        <f>SUMIFS(приходи!$L:$L,приходи!$E:$E,'ПП Февруари'!$C$18,приходи!$M:$M,'ПП Февруари'!AF2)</f>
        <v>0</v>
      </c>
      <c r="AG18" s="74">
        <f>SUMIFS(приходи!$L:$L,приходи!$E:$E,'ПП Февруари'!$C$18,приходи!$M:$M,'ПП Февруари'!AG2)</f>
        <v>0</v>
      </c>
      <c r="AH18" s="61">
        <f t="shared" si="2"/>
        <v>0</v>
      </c>
      <c r="AI18" s="58">
        <f t="shared" si="7"/>
        <v>0</v>
      </c>
    </row>
    <row r="19" spans="1:35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Февруари'!$C$19,приходи!$M:$M,'ПП Февруари'!E2)</f>
        <v>4268.43</v>
      </c>
      <c r="F19" s="74">
        <f>SUMIFS(приходи!$L:$L,приходи!$E:$E,'ПП Февруари'!$C$19,приходи!$M:$M,'ПП Февруари'!F2)</f>
        <v>0</v>
      </c>
      <c r="G19" s="76">
        <f>SUMIFS(приходи!$L:$L,приходи!$E:$E,'ПП Февруари'!$C$19,приходи!$M:$M,'ПП Февруари'!G2)</f>
        <v>0</v>
      </c>
      <c r="H19" s="76">
        <f>SUMIFS(приходи!$L:$L,приходи!$E:$E,'ПП Февруари'!$C$19,приходи!$M:$M,'ПП Февруари'!H2)</f>
        <v>0</v>
      </c>
      <c r="I19" s="74">
        <f>SUMIFS(приходи!$L:$L,приходи!$E:$E,'ПП Февруари'!$C$19,приходи!$M:$M,'ПП Февруари'!I2)</f>
        <v>504.98</v>
      </c>
      <c r="J19" s="74">
        <f>SUMIFS(приходи!$L:$L,приходи!$E:$E,'ПП Февруари'!$C$19,приходи!$M:$M,'ПП Февруари'!J2)</f>
        <v>7403.03</v>
      </c>
      <c r="K19" s="74">
        <f>SUMIFS(приходи!$L:$L,приходи!$E:$E,'ПП Февруари'!$C$19,приходи!$M:$M,'ПП Февруари'!K2)</f>
        <v>55.25</v>
      </c>
      <c r="L19" s="74">
        <f>SUMIFS(приходи!$L:$L,приходи!$E:$E,'ПП Февруари'!$C$19,приходи!$M:$M,'ПП Февруари'!L2)</f>
        <v>0</v>
      </c>
      <c r="M19" s="74">
        <f>SUMIFS(приходи!$L:$L,приходи!$E:$E,'ПП Февруари'!$C$19,приходи!$M:$M,'ПП Февруари'!M2)</f>
        <v>0</v>
      </c>
      <c r="N19" s="76">
        <f>SUMIFS(приходи!$L:$L,приходи!$E:$E,'ПП Февруари'!$C$19,приходи!$M:$M,'ПП Февруари'!N2)</f>
        <v>421.93</v>
      </c>
      <c r="O19" s="76">
        <f>SUMIFS(приходи!$L:$L,приходи!$E:$E,'ПП Февруари'!$C$19,приходи!$M:$M,'ПП Февруари'!O2)</f>
        <v>0</v>
      </c>
      <c r="P19" s="74">
        <f>SUMIFS(приходи!$L:$L,приходи!$E:$E,'ПП Февруари'!$C$19,приходи!$M:$M,'ПП Февруари'!P2)</f>
        <v>0</v>
      </c>
      <c r="Q19" s="74">
        <f>SUMIFS(приходи!$L:$L,приходи!$E:$E,'ПП Февруари'!$C$19,приходи!$M:$M,'ПП Февруари'!Q2)</f>
        <v>0</v>
      </c>
      <c r="R19" s="74">
        <f>SUMIFS(приходи!$L:$L,приходи!$E:$E,'ПП Февруари'!$C$19,приходи!$M:$M,'ПП Февруари'!R2)</f>
        <v>17.77</v>
      </c>
      <c r="S19" s="74">
        <f>SUMIFS(приходи!$L:$L,приходи!$E:$E,'ПП Февруари'!$C$19,приходи!$M:$M,'ПП Февруари'!S2)</f>
        <v>1302.8499999999999</v>
      </c>
      <c r="T19" s="74">
        <f>SUMIFS(приходи!$L:$L,приходи!$E:$E,'ПП Февруари'!$C$19,приходи!$M:$M,'ПП Февруари'!T2)</f>
        <v>0</v>
      </c>
      <c r="U19" s="76">
        <f>SUMIFS(приходи!$L:$L,приходи!$E:$E,'ПП Февруари'!$C$19,приходи!$M:$M,'ПП Февруари'!U2)</f>
        <v>0</v>
      </c>
      <c r="V19" s="76">
        <f>SUMIFS(приходи!$L:$L,приходи!$E:$E,'ПП Февруари'!$C$19,приходи!$M:$M,'ПП Февруари'!V2)</f>
        <v>0</v>
      </c>
      <c r="W19" s="74">
        <f>SUMIFS(приходи!$L:$L,приходи!$E:$E,'ПП Февруари'!$C$19,приходи!$M:$M,'ПП Февруари'!W2)</f>
        <v>0</v>
      </c>
      <c r="X19" s="74">
        <f>SUMIFS(приходи!$L:$L,приходи!$E:$E,'ПП Февруари'!$C$19,приходи!$M:$M,'ПП Февруари'!X2)</f>
        <v>0</v>
      </c>
      <c r="Y19" s="74">
        <f>SUMIFS(приходи!$L:$L,приходи!$E:$E,'ПП Февруари'!$C$19,приходи!$M:$M,'ПП Февруари'!Y2)</f>
        <v>0</v>
      </c>
      <c r="Z19" s="74">
        <f>SUMIFS(приходи!$L:$L,приходи!$E:$E,'ПП Февруари'!$C$19,приходи!$M:$M,'ПП Февруари'!Z2)</f>
        <v>0</v>
      </c>
      <c r="AA19" s="74">
        <f>SUMIFS(приходи!$L:$L,приходи!$E:$E,'ПП Февруари'!$C$19,приходи!$M:$M,'ПП Февруари'!AA2)</f>
        <v>0</v>
      </c>
      <c r="AB19" s="76">
        <f>SUMIFS(приходи!$L:$L,приходи!$E:$E,'ПП Февруари'!$C$19,приходи!$M:$M,'ПП Февруари'!AB2)</f>
        <v>0</v>
      </c>
      <c r="AC19" s="76">
        <f>SUMIFS(приходи!$L:$L,приходи!$E:$E,'ПП Февруари'!$C$19,приходи!$M:$M,'ПП Февруари'!AC2)</f>
        <v>0</v>
      </c>
      <c r="AD19" s="74">
        <f>SUMIFS(приходи!$L:$L,приходи!$E:$E,'ПП Февруари'!$C$19,приходи!$M:$M,'ПП Февруари'!AD2)</f>
        <v>0</v>
      </c>
      <c r="AE19" s="74">
        <f>SUMIFS(приходи!$L:$L,приходи!$E:$E,'ПП Февруари'!$C$19,приходи!$M:$M,'ПП Февруари'!AE2)</f>
        <v>0</v>
      </c>
      <c r="AF19" s="74">
        <f>SUMIFS(приходи!$L:$L,приходи!$E:$E,'ПП Февруари'!$C$19,приходи!$M:$M,'ПП Февруари'!AF2)</f>
        <v>0</v>
      </c>
      <c r="AG19" s="74">
        <f>SUMIFS(приходи!$L:$L,приходи!$E:$E,'ПП Февруари'!$C$19,приходи!$M:$M,'ПП Февруари'!AG2)</f>
        <v>0</v>
      </c>
      <c r="AH19" s="61">
        <f t="shared" si="2"/>
        <v>13974.24</v>
      </c>
      <c r="AI19" s="58">
        <f t="shared" si="7"/>
        <v>13974.24</v>
      </c>
    </row>
    <row r="20" spans="1:35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Февруари'!$C$20,приходи!$M:$M,'ПП Февруари'!E2)</f>
        <v>104763.78</v>
      </c>
      <c r="F20" s="74">
        <f>SUMIFS(приходи!$L:$L,приходи!$E:$E,'ПП Февруари'!$C$20,приходи!$M:$M,'ПП Февруари'!F2)</f>
        <v>0</v>
      </c>
      <c r="G20" s="76">
        <f>SUMIFS(приходи!$L:$L,приходи!$E:$E,'ПП Февруари'!$C$20,приходи!$M:$M,'ПП Февруари'!G2)</f>
        <v>0</v>
      </c>
      <c r="H20" s="76">
        <f>SUMIFS(приходи!$L:$L,приходи!$E:$E,'ПП Февруари'!$C$20,приходи!$M:$M,'ПП Февруари'!H2)</f>
        <v>0</v>
      </c>
      <c r="I20" s="74">
        <f>SUMIFS(приходи!$L:$L,приходи!$E:$E,'ПП Февруари'!$C$20,приходи!$M:$M,'ПП Февруари'!I2)</f>
        <v>19047.96</v>
      </c>
      <c r="J20" s="74">
        <f>SUMIFS(приходи!$L:$L,приходи!$E:$E,'ПП Февруари'!$C$20,приходи!$M:$M,'ПП Февруари'!J2)</f>
        <v>0</v>
      </c>
      <c r="K20" s="74">
        <f>SUMIFS(приходи!$L:$L,приходи!$E:$E,'ПП Февруари'!$C$20,приходи!$M:$M,'ПП Февруари'!K2)</f>
        <v>0</v>
      </c>
      <c r="L20" s="74">
        <f>SUMIFS(приходи!$L:$L,приходи!$E:$E,'ПП Февруари'!$C$20,приходи!$M:$M,'ПП Февруари'!L2)</f>
        <v>0</v>
      </c>
      <c r="M20" s="74">
        <f>SUMIFS(приходи!$L:$L,приходи!$E:$E,'ПП Февруари'!$C$20,приходи!$M:$M,'ПП Февруари'!M2)</f>
        <v>0</v>
      </c>
      <c r="N20" s="76">
        <f>SUMIFS(приходи!$L:$L,приходи!$E:$E,'ПП Февруари'!$C$20,приходи!$M:$M,'ПП Февруари'!N2)</f>
        <v>0</v>
      </c>
      <c r="O20" s="76">
        <f>SUMIFS(приходи!$L:$L,приходи!$E:$E,'ПП Февруари'!$C$20,приходи!$M:$M,'ПП Февруари'!O2)</f>
        <v>0</v>
      </c>
      <c r="P20" s="74">
        <f>SUMIFS(приходи!$L:$L,приходи!$E:$E,'ПП Февруари'!$C$20,приходи!$M:$M,'ПП Февруари'!P2)</f>
        <v>0</v>
      </c>
      <c r="Q20" s="74">
        <f>SUMIFS(приходи!$L:$L,приходи!$E:$E,'ПП Февруари'!$C$20,приходи!$M:$M,'ПП Февруари'!Q2)</f>
        <v>0</v>
      </c>
      <c r="R20" s="74">
        <f>SUMIFS(приходи!$L:$L,приходи!$E:$E,'ПП Февруари'!$C$20,приходи!$M:$M,'ПП Февруари'!R2)</f>
        <v>5714.38</v>
      </c>
      <c r="S20" s="74">
        <f>SUMIFS(приходи!$L:$L,приходи!$E:$E,'ПП Февруари'!$C$20,приходи!$M:$M,'ПП Февруари'!S2)</f>
        <v>0</v>
      </c>
      <c r="T20" s="74">
        <f>SUMIFS(приходи!$L:$L,приходи!$E:$E,'ПП Февруари'!$C$20,приходи!$M:$M,'ПП Февруари'!T2)</f>
        <v>0</v>
      </c>
      <c r="U20" s="76">
        <f>SUMIFS(приходи!$L:$L,приходи!$E:$E,'ПП Февруари'!$C$20,приходи!$M:$M,'ПП Февруари'!U2)</f>
        <v>0</v>
      </c>
      <c r="V20" s="76">
        <f>SUMIFS(приходи!$L:$L,приходи!$E:$E,'ПП Февруари'!$C$20,приходи!$M:$M,'ПП Февруари'!V2)</f>
        <v>0</v>
      </c>
      <c r="W20" s="74">
        <f>SUMIFS(приходи!$L:$L,приходи!$E:$E,'ПП Февруари'!$C$20,приходи!$M:$M,'ПП Февруари'!W2)</f>
        <v>5714.39</v>
      </c>
      <c r="X20" s="74">
        <f>SUMIFS(приходи!$L:$L,приходи!$E:$E,'ПП Февруари'!$C$20,приходи!$M:$M,'ПП Февруари'!X2)</f>
        <v>0</v>
      </c>
      <c r="Y20" s="74">
        <f>SUMIFS(приходи!$L:$L,приходи!$E:$E,'ПП Февруари'!$C$20,приходи!$M:$M,'ПП Февруари'!Y2)</f>
        <v>0</v>
      </c>
      <c r="Z20" s="74">
        <f>SUMIFS(приходи!$L:$L,приходи!$E:$E,'ПП Февруари'!$C$20,приходи!$M:$M,'ПП Февруари'!Z2)</f>
        <v>0</v>
      </c>
      <c r="AA20" s="74">
        <f>SUMIFS(приходи!$L:$L,приходи!$E:$E,'ПП Февруари'!$C$20,приходи!$M:$M,'ПП Февруари'!AA2)</f>
        <v>0</v>
      </c>
      <c r="AB20" s="76">
        <f>SUMIFS(приходи!$L:$L,приходи!$E:$E,'ПП Февруари'!$C$20,приходи!$M:$M,'ПП Февруари'!AB2)</f>
        <v>0</v>
      </c>
      <c r="AC20" s="76">
        <f>SUMIFS(приходи!$L:$L,приходи!$E:$E,'ПП Февруари'!$C$20,приходи!$M:$M,'ПП Февруари'!AC2)</f>
        <v>0</v>
      </c>
      <c r="AD20" s="74">
        <f>SUMIFS(приходи!$L:$L,приходи!$E:$E,'ПП Февруари'!$C$20,приходи!$M:$M,'ПП Февруари'!AD2)</f>
        <v>0</v>
      </c>
      <c r="AE20" s="74">
        <f>SUMIFS(приходи!$L:$L,приходи!$E:$E,'ПП Февруари'!$C$20,приходи!$M:$M,'ПП Февруари'!AE2)</f>
        <v>0</v>
      </c>
      <c r="AF20" s="74">
        <f>SUMIFS(приходи!$L:$L,приходи!$E:$E,'ПП Февруари'!$C$20,приходи!$M:$M,'ПП Февруари'!AF2)</f>
        <v>0</v>
      </c>
      <c r="AG20" s="74">
        <f>SUMIFS(приходи!$L:$L,приходи!$E:$E,'ПП Февруари'!$C$20,приходи!$M:$M,'ПП Февруари'!AG2)</f>
        <v>0</v>
      </c>
      <c r="AH20" s="61">
        <f t="shared" si="2"/>
        <v>135240.51</v>
      </c>
      <c r="AI20" s="58">
        <f t="shared" si="7"/>
        <v>135240.51</v>
      </c>
    </row>
    <row r="21" spans="1:35" s="4" customFormat="1" ht="20.100000000000001" customHeight="1" x14ac:dyDescent="0.3">
      <c r="B21" s="7">
        <v>4</v>
      </c>
      <c r="C21" s="8" t="s">
        <v>855</v>
      </c>
      <c r="D21" s="80"/>
      <c r="E21" s="74">
        <f>SUMIFS(приходи!$L:$L,приходи!$E:$E,'ПП Февруари'!$C$21,приходи!$M:$M,'ПП Февруари'!E2)</f>
        <v>0</v>
      </c>
      <c r="F21" s="74">
        <f>SUMIFS(приходи!$L:$L,приходи!$E:$E,'ПП Февруари'!$C$21,приходи!$M:$M,'ПП Февруари'!F2)</f>
        <v>0</v>
      </c>
      <c r="G21" s="76">
        <f>SUMIFS(приходи!$L:$L,приходи!$E:$E,'ПП Февруари'!$C$21,приходи!$M:$M,'ПП Февруари'!G2)</f>
        <v>0</v>
      </c>
      <c r="H21" s="76">
        <f>SUMIFS(приходи!$L:$L,приходи!$E:$E,'ПП Февруари'!$C$21,приходи!$M:$M,'ПП Февруари'!H2)</f>
        <v>0</v>
      </c>
      <c r="I21" s="74">
        <f>SUMIFS(приходи!$L:$L,приходи!$E:$E,'ПП Февруари'!$C$21,приходи!$M:$M,'ПП Февруари'!I2)</f>
        <v>0</v>
      </c>
      <c r="J21" s="74">
        <f>SUMIFS(приходи!$L:$L,приходи!$E:$E,'ПП Февруари'!$C$21,приходи!$M:$M,'ПП Февруари'!J2)</f>
        <v>0</v>
      </c>
      <c r="K21" s="74">
        <f>SUMIFS(приходи!$L:$L,приходи!$E:$E,'ПП Февруари'!$C$21,приходи!$M:$M,'ПП Февруари'!K2)</f>
        <v>0</v>
      </c>
      <c r="L21" s="74">
        <f>SUMIFS(приходи!$L:$L,приходи!$E:$E,'ПП Февруари'!$C$21,приходи!$M:$M,'ПП Февруари'!L2)</f>
        <v>0</v>
      </c>
      <c r="M21" s="74">
        <f>SUMIFS(приходи!$L:$L,приходи!$E:$E,'ПП Февруари'!$C$21,приходи!$M:$M,'ПП Февруари'!M2)</f>
        <v>0</v>
      </c>
      <c r="N21" s="76">
        <f>SUMIFS(приходи!$L:$L,приходи!$E:$E,'ПП Февруари'!$C$21,приходи!$M:$M,'ПП Февруари'!N2)</f>
        <v>0</v>
      </c>
      <c r="O21" s="76">
        <f>SUMIFS(приходи!$L:$L,приходи!$E:$E,'ПП Февруари'!$C$21,приходи!$M:$M,'ПП Февруари'!O2)</f>
        <v>0</v>
      </c>
      <c r="P21" s="74">
        <f>SUMIFS(приходи!$L:$L,приходи!$E:$E,'ПП Февруари'!$C$21,приходи!$M:$M,'ПП Февруари'!P2)</f>
        <v>0</v>
      </c>
      <c r="Q21" s="74">
        <f>SUMIFS(приходи!$L:$L,приходи!$E:$E,'ПП Февруари'!$C$21,приходи!$M:$M,'ПП Февруари'!Q2)</f>
        <v>0</v>
      </c>
      <c r="R21" s="74">
        <f>SUMIFS(приходи!$L:$L,приходи!$E:$E,'ПП Февруари'!$C$21,приходи!$M:$M,'ПП Февруари'!R2)</f>
        <v>0</v>
      </c>
      <c r="S21" s="74">
        <f>SUMIFS(приходи!$L:$L,приходи!$E:$E,'ПП Февруари'!$C$21,приходи!$M:$M,'ПП Февруари'!S2)</f>
        <v>0</v>
      </c>
      <c r="T21" s="74">
        <f>SUMIFS(приходи!$L:$L,приходи!$E:$E,'ПП Февруари'!$C$21,приходи!$M:$M,'ПП Февруари'!T2)</f>
        <v>0</v>
      </c>
      <c r="U21" s="76">
        <f>SUMIFS(приходи!$L:$L,приходи!$E:$E,'ПП Февруари'!$C$21,приходи!$M:$M,'ПП Февруари'!U2)</f>
        <v>0</v>
      </c>
      <c r="V21" s="76">
        <f>SUMIFS(приходи!$L:$L,приходи!$E:$E,'ПП Февруари'!$C$21,приходи!$M:$M,'ПП Февруари'!V2)</f>
        <v>0</v>
      </c>
      <c r="W21" s="74">
        <f>SUMIFS(приходи!$L:$L,приходи!$E:$E,'ПП Февруари'!$C$21,приходи!$M:$M,'ПП Февруари'!W2)</f>
        <v>0</v>
      </c>
      <c r="X21" s="74">
        <f>SUMIFS(приходи!$L:$L,приходи!$E:$E,'ПП Февруари'!$C$21,приходи!$M:$M,'ПП Февруари'!X2)</f>
        <v>0</v>
      </c>
      <c r="Y21" s="74">
        <f>SUMIFS(приходи!$L:$L,приходи!$E:$E,'ПП Февруари'!$C$21,приходи!$M:$M,'ПП Февруари'!Y2)</f>
        <v>0</v>
      </c>
      <c r="Z21" s="74">
        <f>SUMIFS(приходи!$L:$L,приходи!$E:$E,'ПП Февруари'!$C$21,приходи!$M:$M,'ПП Февруари'!Z2)</f>
        <v>0</v>
      </c>
      <c r="AA21" s="74">
        <f>SUMIFS(приходи!$L:$L,приходи!$E:$E,'ПП Февруари'!$C$21,приходи!$M:$M,'ПП Февруари'!AA2)</f>
        <v>0</v>
      </c>
      <c r="AB21" s="76">
        <f>SUMIFS(приходи!$L:$L,приходи!$E:$E,'ПП Февруари'!$C$21,приходи!$M:$M,'ПП Февруари'!AB2)</f>
        <v>0</v>
      </c>
      <c r="AC21" s="76">
        <f>SUMIFS(приходи!$L:$L,приходи!$E:$E,'ПП Февруари'!$C$21,приходи!$M:$M,'ПП Февруари'!AC2)</f>
        <v>0</v>
      </c>
      <c r="AD21" s="74">
        <f>SUMIFS(приходи!$L:$L,приходи!$E:$E,'ПП Февруари'!$C$21,приходи!$M:$M,'ПП Февруари'!AD2)</f>
        <v>0</v>
      </c>
      <c r="AE21" s="74">
        <f>SUMIFS(приходи!$L:$L,приходи!$E:$E,'ПП Февруари'!$C$21,приходи!$M:$M,'ПП Февруари'!AE2)</f>
        <v>0</v>
      </c>
      <c r="AF21" s="74">
        <f>SUMIFS(приходи!$L:$L,приходи!$E:$E,'ПП Февруари'!$C$21,приходи!$M:$M,'ПП Февруари'!AF2)</f>
        <v>0</v>
      </c>
      <c r="AG21" s="74">
        <f>SUMIFS(приходи!$L:$L,приходи!$E:$E,'ПП Февруари'!$C$21,приходи!$M:$M,'ПП Февруари'!AG2)</f>
        <v>0</v>
      </c>
      <c r="AH21" s="61">
        <f t="shared" si="2"/>
        <v>0</v>
      </c>
      <c r="AI21" s="58">
        <f t="shared" si="7"/>
        <v>0</v>
      </c>
    </row>
    <row r="22" spans="1:35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Февруари'!$C$22,приходи!$M:$M,'ПП Февруари'!E2)</f>
        <v>0</v>
      </c>
      <c r="F22" s="74">
        <f>SUMIFS(приходи!$L:$L,приходи!$E:$E,'ПП Февруари'!$C$22,приходи!$M:$M,'ПП Февруари'!F2)</f>
        <v>0</v>
      </c>
      <c r="G22" s="76">
        <f>SUMIFS(приходи!$L:$L,приходи!$E:$E,'ПП Февруари'!$C$22,приходи!$M:$M,'ПП Февруари'!G2)</f>
        <v>0</v>
      </c>
      <c r="H22" s="76">
        <f>SUMIFS(приходи!$L:$L,приходи!$E:$E,'ПП Февруари'!$C$22,приходи!$M:$M,'ПП Февруари'!H2)</f>
        <v>0</v>
      </c>
      <c r="I22" s="74">
        <f>SUMIFS(приходи!$L:$L,приходи!$E:$E,'ПП Февруари'!$C$22,приходи!$M:$M,'ПП Февруари'!I2)</f>
        <v>0</v>
      </c>
      <c r="J22" s="74">
        <f>SUMIFS(приходи!$L:$L,приходи!$E:$E,'ПП Февруари'!$C$22,приходи!$M:$M,'ПП Февруари'!J2)</f>
        <v>0</v>
      </c>
      <c r="K22" s="74">
        <f>SUMIFS(приходи!$L:$L,приходи!$E:$E,'ПП Февруари'!$C$22,приходи!$M:$M,'ПП Февруари'!K2)</f>
        <v>0</v>
      </c>
      <c r="L22" s="74">
        <f>SUMIFS(приходи!$L:$L,приходи!$E:$E,'ПП Февруари'!$C$22,приходи!$M:$M,'ПП Февруари'!L2)</f>
        <v>0</v>
      </c>
      <c r="M22" s="74">
        <f>SUMIFS(приходи!$L:$L,приходи!$E:$E,'ПП Февруари'!$C$22,приходи!$M:$M,'ПП Февруари'!M2)</f>
        <v>0</v>
      </c>
      <c r="N22" s="76">
        <f>SUMIFS(приходи!$L:$L,приходи!$E:$E,'ПП Февруари'!$C$22,приходи!$M:$M,'ПП Февруари'!N2)</f>
        <v>0</v>
      </c>
      <c r="O22" s="76">
        <f>SUMIFS(приходи!$L:$L,приходи!$E:$E,'ПП Февруари'!$C$22,приходи!$M:$M,'ПП Февруари'!O2)</f>
        <v>0</v>
      </c>
      <c r="P22" s="74">
        <f>SUMIFS(приходи!$L:$L,приходи!$E:$E,'ПП Февруари'!$C$22,приходи!$M:$M,'ПП Февруари'!P2)</f>
        <v>0</v>
      </c>
      <c r="Q22" s="74">
        <f>SUMIFS(приходи!$L:$L,приходи!$E:$E,'ПП Февруари'!$C$22,приходи!$M:$M,'ПП Февруари'!Q2)</f>
        <v>0</v>
      </c>
      <c r="R22" s="74">
        <f>SUMIFS(приходи!$L:$L,приходи!$E:$E,'ПП Февруари'!$C$22,приходи!$M:$M,'ПП Февруари'!R2)</f>
        <v>0</v>
      </c>
      <c r="S22" s="74">
        <f>SUMIFS(приходи!$L:$L,приходи!$E:$E,'ПП Февруари'!$C$22,приходи!$M:$M,'ПП Февруари'!S2)</f>
        <v>0</v>
      </c>
      <c r="T22" s="74">
        <f>SUMIFS(приходи!$L:$L,приходи!$E:$E,'ПП Февруари'!$C$22,приходи!$M:$M,'ПП Февруари'!T2)</f>
        <v>0</v>
      </c>
      <c r="U22" s="76">
        <f>SUMIFS(приходи!$L:$L,приходи!$E:$E,'ПП Февруари'!$C$22,приходи!$M:$M,'ПП Февруари'!U2)</f>
        <v>0</v>
      </c>
      <c r="V22" s="76">
        <f>SUMIFS(приходи!$L:$L,приходи!$E:$E,'ПП Февруари'!$C$22,приходи!$M:$M,'ПП Февруари'!V2)</f>
        <v>0</v>
      </c>
      <c r="W22" s="74">
        <f>SUMIFS(приходи!$L:$L,приходи!$E:$E,'ПП Февруари'!$C$22,приходи!$M:$M,'ПП Февруари'!W2)</f>
        <v>0</v>
      </c>
      <c r="X22" s="74">
        <f>SUMIFS(приходи!$L:$L,приходи!$E:$E,'ПП Февруари'!$C$22,приходи!$M:$M,'ПП Февруари'!X2)</f>
        <v>0</v>
      </c>
      <c r="Y22" s="74">
        <f>SUMIFS(приходи!$L:$L,приходи!$E:$E,'ПП Февруари'!$C$22,приходи!$M:$M,'ПП Февруари'!Y2)</f>
        <v>0</v>
      </c>
      <c r="Z22" s="74">
        <f>SUMIFS(приходи!$L:$L,приходи!$E:$E,'ПП Февруари'!$C$22,приходи!$M:$M,'ПП Февруари'!Z2)</f>
        <v>0</v>
      </c>
      <c r="AA22" s="74">
        <f>SUMIFS(приходи!$L:$L,приходи!$E:$E,'ПП Февруари'!$C$22,приходи!$M:$M,'ПП Февруари'!AA2)</f>
        <v>0</v>
      </c>
      <c r="AB22" s="76">
        <f>SUMIFS(приходи!$L:$L,приходи!$E:$E,'ПП Февруари'!$C$22,приходи!$M:$M,'ПП Февруари'!AB2)</f>
        <v>0</v>
      </c>
      <c r="AC22" s="76">
        <f>SUMIFS(приходи!$L:$L,приходи!$E:$E,'ПП Февруари'!$C$22,приходи!$M:$M,'ПП Февруари'!AC2)</f>
        <v>0</v>
      </c>
      <c r="AD22" s="74">
        <f>SUMIFS(приходи!$L:$L,приходи!$E:$E,'ПП Февруари'!$C$22,приходи!$M:$M,'ПП Февруари'!AD2)</f>
        <v>0</v>
      </c>
      <c r="AE22" s="74">
        <f>SUMIFS(приходи!$L:$L,приходи!$E:$E,'ПП Февруари'!$C$22,приходи!$M:$M,'ПП Февруари'!AE2)</f>
        <v>0</v>
      </c>
      <c r="AF22" s="74">
        <f>SUMIFS(приходи!$L:$L,приходи!$E:$E,'ПП Февруари'!$C$22,приходи!$M:$M,'ПП Февруари'!AF2)</f>
        <v>0</v>
      </c>
      <c r="AG22" s="74">
        <f>SUMIFS(приходи!$L:$L,приходи!$E:$E,'ПП Февруари'!$C$22,приходи!$M:$M,'ПП Февруари'!AG2)</f>
        <v>0</v>
      </c>
      <c r="AH22" s="61">
        <f t="shared" si="2"/>
        <v>0</v>
      </c>
      <c r="AI22" s="58">
        <f t="shared" si="7"/>
        <v>0</v>
      </c>
    </row>
    <row r="23" spans="1:35" s="4" customFormat="1" ht="20.100000000000001" customHeight="1" x14ac:dyDescent="0.3">
      <c r="B23" s="2" t="s">
        <v>856</v>
      </c>
      <c r="C23" s="3" t="s">
        <v>857</v>
      </c>
      <c r="D23" s="54">
        <f t="shared" ref="D23:AG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7056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2"/>
        <v>7056</v>
      </c>
      <c r="AI23" s="54">
        <f t="shared" ref="AI23:AI34" si="12">+D23-AH23</f>
        <v>-7056</v>
      </c>
    </row>
    <row r="24" spans="1:35" s="4" customFormat="1" ht="20.100000000000001" customHeight="1" x14ac:dyDescent="0.3">
      <c r="B24" s="7">
        <v>1</v>
      </c>
      <c r="C24" s="8" t="s">
        <v>858</v>
      </c>
      <c r="D24" s="55">
        <f t="shared" ref="D24" si="13">SUM(D26:D28)</f>
        <v>0</v>
      </c>
      <c r="E24" s="55">
        <f t="shared" ref="E24:AG24" si="14">SUM(E25:E28)</f>
        <v>0</v>
      </c>
      <c r="F24" s="73">
        <f t="shared" si="14"/>
        <v>0</v>
      </c>
      <c r="G24" s="77">
        <f t="shared" si="14"/>
        <v>0</v>
      </c>
      <c r="H24" s="77">
        <f t="shared" si="14"/>
        <v>0</v>
      </c>
      <c r="I24" s="73">
        <f t="shared" si="14"/>
        <v>0</v>
      </c>
      <c r="J24" s="73">
        <f t="shared" si="14"/>
        <v>0</v>
      </c>
      <c r="K24" s="73">
        <f t="shared" si="14"/>
        <v>0</v>
      </c>
      <c r="L24" s="73">
        <f t="shared" si="14"/>
        <v>0</v>
      </c>
      <c r="M24" s="73">
        <f t="shared" si="14"/>
        <v>0</v>
      </c>
      <c r="N24" s="77">
        <f t="shared" si="14"/>
        <v>0</v>
      </c>
      <c r="O24" s="77">
        <f t="shared" si="14"/>
        <v>0</v>
      </c>
      <c r="P24" s="73">
        <f t="shared" si="14"/>
        <v>0</v>
      </c>
      <c r="Q24" s="73">
        <f t="shared" si="14"/>
        <v>0</v>
      </c>
      <c r="R24" s="73">
        <f t="shared" si="14"/>
        <v>0</v>
      </c>
      <c r="S24" s="73">
        <f t="shared" si="14"/>
        <v>0</v>
      </c>
      <c r="T24" s="73">
        <f t="shared" si="14"/>
        <v>0</v>
      </c>
      <c r="U24" s="77">
        <f t="shared" si="14"/>
        <v>0</v>
      </c>
      <c r="V24" s="77">
        <f t="shared" si="14"/>
        <v>0</v>
      </c>
      <c r="W24" s="73">
        <f t="shared" si="14"/>
        <v>0</v>
      </c>
      <c r="X24" s="73">
        <f t="shared" si="14"/>
        <v>0</v>
      </c>
      <c r="Y24" s="73">
        <f t="shared" si="14"/>
        <v>0</v>
      </c>
      <c r="Z24" s="73">
        <f t="shared" si="14"/>
        <v>7056</v>
      </c>
      <c r="AA24" s="73">
        <f t="shared" si="14"/>
        <v>0</v>
      </c>
      <c r="AB24" s="77">
        <f t="shared" si="14"/>
        <v>0</v>
      </c>
      <c r="AC24" s="77">
        <f t="shared" si="14"/>
        <v>0</v>
      </c>
      <c r="AD24" s="73">
        <f t="shared" si="14"/>
        <v>0</v>
      </c>
      <c r="AE24" s="73">
        <f t="shared" si="14"/>
        <v>0</v>
      </c>
      <c r="AF24" s="73">
        <f t="shared" si="14"/>
        <v>0</v>
      </c>
      <c r="AG24" s="73">
        <f t="shared" si="14"/>
        <v>0</v>
      </c>
      <c r="AH24" s="61">
        <f t="shared" si="2"/>
        <v>7056</v>
      </c>
      <c r="AI24" s="58">
        <f t="shared" si="12"/>
        <v>-7056</v>
      </c>
    </row>
    <row r="25" spans="1:35" s="36" customFormat="1" ht="20.100000000000001" customHeight="1" outlineLevel="1" x14ac:dyDescent="0.3">
      <c r="A25" s="33"/>
      <c r="B25" s="34"/>
      <c r="C25" s="35" t="s">
        <v>859</v>
      </c>
      <c r="D25" s="63"/>
      <c r="E25" s="71"/>
      <c r="F25" s="75"/>
      <c r="G25" s="78"/>
      <c r="H25" s="78"/>
      <c r="I25" s="75"/>
      <c r="J25" s="75"/>
      <c r="K25" s="75"/>
      <c r="L25" s="75"/>
      <c r="M25" s="75"/>
      <c r="N25" s="78"/>
      <c r="O25" s="78"/>
      <c r="P25" s="75"/>
      <c r="Q25" s="75"/>
      <c r="R25" s="75"/>
      <c r="S25" s="75"/>
      <c r="T25" s="75"/>
      <c r="U25" s="78"/>
      <c r="V25" s="78"/>
      <c r="W25" s="75"/>
      <c r="X25" s="75"/>
      <c r="Y25" s="75"/>
      <c r="Z25" s="75"/>
      <c r="AA25" s="75"/>
      <c r="AB25" s="78"/>
      <c r="AC25" s="78"/>
      <c r="AD25" s="75"/>
      <c r="AE25" s="75"/>
      <c r="AF25" s="75"/>
      <c r="AG25" s="75"/>
      <c r="AH25" s="66">
        <f t="shared" si="2"/>
        <v>0</v>
      </c>
      <c r="AI25" s="67">
        <f t="shared" si="12"/>
        <v>0</v>
      </c>
    </row>
    <row r="26" spans="1:35" s="21" customFormat="1" ht="20.100000000000001" customHeight="1" outlineLevel="1" x14ac:dyDescent="0.3">
      <c r="A26" s="27"/>
      <c r="B26" s="22"/>
      <c r="C26" s="8" t="s">
        <v>263</v>
      </c>
      <c r="D26" s="68"/>
      <c r="E26" s="59">
        <f>SUMIFS(разходи!$L:$L,разходи!$E:$E,'ПП Февруари'!$C$26,разходи!$M:$M,'ПП Февруари'!E2)</f>
        <v>0</v>
      </c>
      <c r="F26" s="74">
        <f>SUMIFS(разходи!$L:$L,разходи!$E:$E,'ПП Февруари'!$C$26,разходи!$M:$M,'ПП Февруари'!F2)</f>
        <v>0</v>
      </c>
      <c r="G26" s="76">
        <f>SUMIFS(разходи!$L:$L,разходи!$E:$E,'ПП Февруари'!$C$26,разходи!$M:$M,'ПП Февруари'!G2)</f>
        <v>0</v>
      </c>
      <c r="H26" s="76">
        <f>SUMIFS(разходи!$L:$L,разходи!$E:$E,'ПП Февруари'!$C$26,разходи!$M:$M,'ПП Февруари'!H2)</f>
        <v>0</v>
      </c>
      <c r="I26" s="74">
        <f>SUMIFS(разходи!$L:$L,разходи!$E:$E,'ПП Февруари'!$C$26,разходи!$M:$M,'ПП Февруари'!I2)</f>
        <v>0</v>
      </c>
      <c r="J26" s="74">
        <f>SUMIFS(разходи!$L:$L,разходи!$E:$E,'ПП Февруари'!$C$26,разходи!$M:$M,'ПП Февруари'!J2)</f>
        <v>0</v>
      </c>
      <c r="K26" s="74">
        <f>SUMIFS(разходи!$L:$L,разходи!$E:$E,'ПП Февруари'!$C$26,разходи!$M:$M,'ПП Февруари'!K2)</f>
        <v>0</v>
      </c>
      <c r="L26" s="74">
        <f>SUMIFS(разходи!$L:$L,разходи!$E:$E,'ПП Февруари'!$C$26,разходи!$M:$M,'ПП Февруари'!L2)</f>
        <v>0</v>
      </c>
      <c r="M26" s="74">
        <f>SUMIFS(разходи!$L:$L,разходи!$E:$E,'ПП Февруари'!$C$26,разходи!$M:$M,'ПП Февруари'!M2)</f>
        <v>0</v>
      </c>
      <c r="N26" s="76">
        <f>SUMIFS(разходи!$L:$L,разходи!$E:$E,'ПП Февруари'!$C$26,разходи!$M:$M,'ПП Февруари'!N2)</f>
        <v>0</v>
      </c>
      <c r="O26" s="76">
        <f>SUMIFS(разходи!$L:$L,разходи!$E:$E,'ПП Февруари'!$C$26,разходи!$M:$M,'ПП Февруари'!O2)</f>
        <v>0</v>
      </c>
      <c r="P26" s="74">
        <f>SUMIFS(разходи!$L:$L,разходи!$E:$E,'ПП Февруари'!$C$26,разходи!$M:$M,'ПП Февруари'!P2)</f>
        <v>0</v>
      </c>
      <c r="Q26" s="74">
        <f>SUMIFS(разходи!$L:$L,разходи!$E:$E,'ПП Февруари'!$C$26,разходи!$M:$M,'ПП Февруари'!Q2)</f>
        <v>0</v>
      </c>
      <c r="R26" s="74">
        <f>SUMIFS(разходи!$L:$L,разходи!$E:$E,'ПП Февруари'!$C$26,разходи!$M:$M,'ПП Февруари'!R2)</f>
        <v>0</v>
      </c>
      <c r="S26" s="74">
        <f>SUMIFS(разходи!$L:$L,разходи!$E:$E,'ПП Февруари'!$C$26,разходи!$M:$M,'ПП Февруари'!S2)</f>
        <v>0</v>
      </c>
      <c r="T26" s="74">
        <f>SUMIFS(разходи!$L:$L,разходи!$E:$E,'ПП Февруари'!$C$26,разходи!$M:$M,'ПП Февруари'!T2)</f>
        <v>0</v>
      </c>
      <c r="U26" s="76">
        <f>SUMIFS(разходи!$L:$L,разходи!$E:$E,'ПП Февруари'!$C$26,разходи!$M:$M,'ПП Февруари'!U2)</f>
        <v>0</v>
      </c>
      <c r="V26" s="76">
        <f>SUMIFS(разходи!$L:$L,разходи!$E:$E,'ПП Февруари'!$C$26,разходи!$M:$M,'ПП Февруари'!V2)</f>
        <v>0</v>
      </c>
      <c r="W26" s="74">
        <f>SUMIFS(разходи!$L:$L,разходи!$E:$E,'ПП Февруари'!$C$26,разходи!$M:$M,'ПП Февруари'!W2)</f>
        <v>0</v>
      </c>
      <c r="X26" s="74">
        <f>SUMIFS(разходи!$L:$L,разходи!$E:$E,'ПП Февруари'!$C$26,разходи!$M:$M,'ПП Февруари'!X2)</f>
        <v>0</v>
      </c>
      <c r="Y26" s="74">
        <f>SUMIFS(разходи!$L:$L,разходи!$E:$E,'ПП Февруари'!$C$26,разходи!$M:$M,'ПП Февруари'!Y2)</f>
        <v>0</v>
      </c>
      <c r="Z26" s="74">
        <f>SUMIFS(разходи!$L:$L,разходи!$E:$E,'ПП Февруари'!$C$26,разходи!$M:$M,'ПП Февруари'!Z2)</f>
        <v>0</v>
      </c>
      <c r="AA26" s="74">
        <f>SUMIFS(разходи!$L:$L,разходи!$E:$E,'ПП Февруари'!$C$26,разходи!$M:$M,'ПП Февруари'!AA2)</f>
        <v>0</v>
      </c>
      <c r="AB26" s="76">
        <f>SUMIFS(разходи!$L:$L,разходи!$E:$E,'ПП Февруари'!$C$26,разходи!$M:$M,'ПП Февруари'!AB2)</f>
        <v>0</v>
      </c>
      <c r="AC26" s="76">
        <f>SUMIFS(разходи!$L:$L,разходи!$E:$E,'ПП Февруари'!$C$26,разходи!$M:$M,'ПП Февруари'!AC2)</f>
        <v>0</v>
      </c>
      <c r="AD26" s="74">
        <f>SUMIFS(разходи!$L:$L,разходи!$E:$E,'ПП Февруари'!$C$26,разходи!$M:$M,'ПП Февруари'!AD2)</f>
        <v>0</v>
      </c>
      <c r="AE26" s="74">
        <f>SUMIFS(разходи!$L:$L,разходи!$E:$E,'ПП Февруари'!$C$26,разходи!$M:$M,'ПП Февруари'!AE2)</f>
        <v>0</v>
      </c>
      <c r="AF26" s="74">
        <f>SUMIFS(разходи!$L:$L,разходи!$E:$E,'ПП Февруари'!$C$26,разходи!$M:$M,'ПП Февруари'!AF2)</f>
        <v>0</v>
      </c>
      <c r="AG26" s="74">
        <f>SUMIFS(разходи!$L:$L,разходи!$E:$E,'ПП Февруари'!$C$26,разходи!$M:$M,'ПП Февруари'!AG2)</f>
        <v>0</v>
      </c>
      <c r="AH26" s="61">
        <f t="shared" si="2"/>
        <v>0</v>
      </c>
      <c r="AI26" s="69">
        <f t="shared" si="12"/>
        <v>0</v>
      </c>
    </row>
    <row r="27" spans="1:35" s="21" customFormat="1" ht="20.100000000000001" customHeight="1" outlineLevel="1" x14ac:dyDescent="0.3">
      <c r="A27" s="27"/>
      <c r="B27" s="22"/>
      <c r="C27" s="8" t="s">
        <v>131</v>
      </c>
      <c r="D27" s="68"/>
      <c r="E27" s="59">
        <f>SUMIFS(разходи!$L:$L,разходи!$E:$E,'ПП Февруари'!$C$27,разходи!$M:$M,'ПП Февруари'!E2)</f>
        <v>0</v>
      </c>
      <c r="F27" s="74">
        <f>SUMIFS(разходи!$L:$L,разходи!$E:$E,'ПП Февруари'!$C$27,разходи!$M:$M,'ПП Февруари'!F2)</f>
        <v>0</v>
      </c>
      <c r="G27" s="76">
        <f>SUMIFS(разходи!$L:$L,разходи!$E:$E,'ПП Февруари'!$C$27,разходи!$M:$M,'ПП Февруари'!G2)</f>
        <v>0</v>
      </c>
      <c r="H27" s="76">
        <f>SUMIFS(разходи!$L:$L,разходи!$E:$E,'ПП Февруари'!$C$27,разходи!$M:$M,'ПП Февруари'!H2)</f>
        <v>0</v>
      </c>
      <c r="I27" s="74">
        <f>SUMIFS(разходи!$L:$L,разходи!$E:$E,'ПП Февруари'!$C$27,разходи!$M:$M,'ПП Февруари'!I2)</f>
        <v>0</v>
      </c>
      <c r="J27" s="74">
        <f>SUMIFS(разходи!$L:$L,разходи!$E:$E,'ПП Февруари'!$C$27,разходи!$M:$M,'ПП Февруари'!J2)</f>
        <v>0</v>
      </c>
      <c r="K27" s="74">
        <f>SUMIFS(разходи!$L:$L,разходи!$E:$E,'ПП Февруари'!$C$27,разходи!$M:$M,'ПП Февруари'!K2)</f>
        <v>0</v>
      </c>
      <c r="L27" s="74">
        <f>SUMIFS(разходи!$L:$L,разходи!$E:$E,'ПП Февруари'!$C$27,разходи!$M:$M,'ПП Февруари'!L2)</f>
        <v>0</v>
      </c>
      <c r="M27" s="74">
        <f>SUMIFS(разходи!$L:$L,разходи!$E:$E,'ПП Февруари'!$C$27,разходи!$M:$M,'ПП Февруари'!M2)</f>
        <v>0</v>
      </c>
      <c r="N27" s="76">
        <f>SUMIFS(разходи!$L:$L,разходи!$E:$E,'ПП Февруари'!$C$27,разходи!$M:$M,'ПП Февруари'!N2)</f>
        <v>0</v>
      </c>
      <c r="O27" s="76">
        <f>SUMIFS(разходи!$L:$L,разходи!$E:$E,'ПП Февруари'!$C$27,разходи!$M:$M,'ПП Февруари'!O2)</f>
        <v>0</v>
      </c>
      <c r="P27" s="74">
        <f>SUMIFS(разходи!$L:$L,разходи!$E:$E,'ПП Февруари'!$C$27,разходи!$M:$M,'ПП Февруари'!P2)</f>
        <v>0</v>
      </c>
      <c r="Q27" s="74">
        <f>SUMIFS(разходи!$L:$L,разходи!$E:$E,'ПП Февруари'!$C$27,разходи!$M:$M,'ПП Февруари'!Q2)</f>
        <v>0</v>
      </c>
      <c r="R27" s="74">
        <f>SUMIFS(разходи!$L:$L,разходи!$E:$E,'ПП Февруари'!$C$27,разходи!$M:$M,'ПП Февруари'!R2)</f>
        <v>0</v>
      </c>
      <c r="S27" s="74">
        <f>SUMIFS(разходи!$L:$L,разходи!$E:$E,'ПП Февруари'!$C$27,разходи!$M:$M,'ПП Февруари'!S2)</f>
        <v>0</v>
      </c>
      <c r="T27" s="74">
        <f>SUMIFS(разходи!$L:$L,разходи!$E:$E,'ПП Февруари'!$C$27,разходи!$M:$M,'ПП Февруари'!T2)</f>
        <v>0</v>
      </c>
      <c r="U27" s="76">
        <f>SUMIFS(разходи!$L:$L,разходи!$E:$E,'ПП Февруари'!$C$27,разходи!$M:$M,'ПП Февруари'!U2)</f>
        <v>0</v>
      </c>
      <c r="V27" s="76">
        <f>SUMIFS(разходи!$L:$L,разходи!$E:$E,'ПП Февруари'!$C$27,разходи!$M:$M,'ПП Февруари'!V2)</f>
        <v>0</v>
      </c>
      <c r="W27" s="74">
        <f>SUMIFS(разходи!$L:$L,разходи!$E:$E,'ПП Февруари'!$C$27,разходи!$M:$M,'ПП Февруари'!W2)</f>
        <v>0</v>
      </c>
      <c r="X27" s="74">
        <f>SUMIFS(разходи!$L:$L,разходи!$E:$E,'ПП Февруари'!$C$27,разходи!$M:$M,'ПП Февруари'!X2)</f>
        <v>0</v>
      </c>
      <c r="Y27" s="74">
        <f>SUMIFS(разходи!$L:$L,разходи!$E:$E,'ПП Февруари'!$C$27,разходи!$M:$M,'ПП Февруари'!Y2)</f>
        <v>0</v>
      </c>
      <c r="Z27" s="74">
        <f>SUMIFS(разходи!$L:$L,разходи!$E:$E,'ПП Февруари'!$C$27,разходи!$M:$M,'ПП Февруари'!Z2)</f>
        <v>7056</v>
      </c>
      <c r="AA27" s="74">
        <f>SUMIFS(разходи!$L:$L,разходи!$E:$E,'ПП Февруари'!$C$27,разходи!$M:$M,'ПП Февруари'!AA2)</f>
        <v>0</v>
      </c>
      <c r="AB27" s="76">
        <f>SUMIFS(разходи!$L:$L,разходи!$E:$E,'ПП Февруари'!$C$27,разходи!$M:$M,'ПП Февруари'!AB2)</f>
        <v>0</v>
      </c>
      <c r="AC27" s="76">
        <f>SUMIFS(разходи!$L:$L,разходи!$E:$E,'ПП Февруари'!$C$27,разходи!$M:$M,'ПП Февруари'!AC2)</f>
        <v>0</v>
      </c>
      <c r="AD27" s="74">
        <f>SUMIFS(разходи!$L:$L,разходи!$E:$E,'ПП Февруари'!$C$27,разходи!$M:$M,'ПП Февруари'!AD2)</f>
        <v>0</v>
      </c>
      <c r="AE27" s="74">
        <f>SUMIFS(разходи!$L:$L,разходи!$E:$E,'ПП Февруари'!$C$27,разходи!$M:$M,'ПП Февруари'!AE2)</f>
        <v>0</v>
      </c>
      <c r="AF27" s="74">
        <f>SUMIFS(разходи!$L:$L,разходи!$E:$E,'ПП Февруари'!$C$27,разходи!$M:$M,'ПП Февруари'!AF2)</f>
        <v>0</v>
      </c>
      <c r="AG27" s="74">
        <f>SUMIFS(разходи!$L:$L,разходи!$E:$E,'ПП Февруари'!$C$27,разходи!$M:$M,'ПП Февруари'!AG2)</f>
        <v>0</v>
      </c>
      <c r="AH27" s="61">
        <f t="shared" si="2"/>
        <v>7056</v>
      </c>
      <c r="AI27" s="69">
        <f>+AH27</f>
        <v>7056</v>
      </c>
    </row>
    <row r="28" spans="1:35" s="21" customFormat="1" ht="20.100000000000001" customHeight="1" outlineLevel="1" x14ac:dyDescent="0.3">
      <c r="A28" s="27"/>
      <c r="B28" s="22"/>
      <c r="C28" s="8" t="s">
        <v>328</v>
      </c>
      <c r="D28" s="68"/>
      <c r="E28" s="59">
        <f>SUMIFS(разходи!$L:$L,разходи!$E:$E,'ПП Февруари'!$C$28,разходи!$M:$M,'ПП Февруари'!E2)</f>
        <v>0</v>
      </c>
      <c r="F28" s="74">
        <f>SUMIFS(разходи!$L:$L,разходи!$E:$E,'ПП Февруари'!$C$28,разходи!$M:$M,'ПП Февруари'!F2)</f>
        <v>0</v>
      </c>
      <c r="G28" s="76">
        <f>SUMIFS(разходи!$L:$L,разходи!$E:$E,'ПП Февруари'!$C$28,разходи!$M:$M,'ПП Февруари'!G2)</f>
        <v>0</v>
      </c>
      <c r="H28" s="76">
        <f>SUMIFS(разходи!$L:$L,разходи!$E:$E,'ПП Февруари'!$C$28,разходи!$M:$M,'ПП Февруари'!H2)</f>
        <v>0</v>
      </c>
      <c r="I28" s="74">
        <f>SUMIFS(разходи!$L:$L,разходи!$E:$E,'ПП Февруари'!$C$28,разходи!$M:$M,'ПП Февруари'!I2)</f>
        <v>0</v>
      </c>
      <c r="J28" s="74">
        <f>SUMIFS(разходи!$L:$L,разходи!$E:$E,'ПП Февруари'!$C$28,разходи!$M:$M,'ПП Февруари'!J2)</f>
        <v>0</v>
      </c>
      <c r="K28" s="74">
        <f>SUMIFS(разходи!$L:$L,разходи!$E:$E,'ПП Февруари'!$C$28,разходи!$M:$M,'ПП Февруари'!K2)</f>
        <v>0</v>
      </c>
      <c r="L28" s="74">
        <f>SUMIFS(разходи!$L:$L,разходи!$E:$E,'ПП Февруари'!$C$28,разходи!$M:$M,'ПП Февруари'!L2)</f>
        <v>0</v>
      </c>
      <c r="M28" s="74">
        <f>SUMIFS(разходи!$L:$L,разходи!$E:$E,'ПП Февруари'!$C$28,разходи!$M:$M,'ПП Февруари'!M2)</f>
        <v>0</v>
      </c>
      <c r="N28" s="76">
        <f>SUMIFS(разходи!$L:$L,разходи!$E:$E,'ПП Февруари'!$C$28,разходи!$M:$M,'ПП Февруари'!N2)</f>
        <v>0</v>
      </c>
      <c r="O28" s="76">
        <f>SUMIFS(разходи!$L:$L,разходи!$E:$E,'ПП Февруари'!$C$28,разходи!$M:$M,'ПП Февруари'!O2)</f>
        <v>0</v>
      </c>
      <c r="P28" s="74">
        <f>SUMIFS(разходи!$L:$L,разходи!$E:$E,'ПП Февруари'!$C$28,разходи!$M:$M,'ПП Февруари'!P2)</f>
        <v>0</v>
      </c>
      <c r="Q28" s="74">
        <f>SUMIFS(разходи!$L:$L,разходи!$E:$E,'ПП Февруари'!$C$28,разходи!$M:$M,'ПП Февруари'!Q2)</f>
        <v>0</v>
      </c>
      <c r="R28" s="74">
        <f>SUMIFS(разходи!$L:$L,разходи!$E:$E,'ПП Февруари'!$C$28,разходи!$M:$M,'ПП Февруари'!R2)</f>
        <v>0</v>
      </c>
      <c r="S28" s="74">
        <f>SUMIFS(разходи!$L:$L,разходи!$E:$E,'ПП Февруари'!$C$28,разходи!$M:$M,'ПП Февруари'!S2)</f>
        <v>0</v>
      </c>
      <c r="T28" s="74">
        <f>SUMIFS(разходи!$L:$L,разходи!$E:$E,'ПП Февруари'!$C$28,разходи!$M:$M,'ПП Февруари'!T2)</f>
        <v>0</v>
      </c>
      <c r="U28" s="76">
        <f>SUMIFS(разходи!$L:$L,разходи!$E:$E,'ПП Февруари'!$C$28,разходи!$M:$M,'ПП Февруари'!U2)</f>
        <v>0</v>
      </c>
      <c r="V28" s="76">
        <f>SUMIFS(разходи!$L:$L,разходи!$E:$E,'ПП Февруари'!$C$28,разходи!$M:$M,'ПП Февруари'!V2)</f>
        <v>0</v>
      </c>
      <c r="W28" s="74">
        <f>SUMIFS(разходи!$L:$L,разходи!$E:$E,'ПП Февруари'!$C$28,разходи!$M:$M,'ПП Февруари'!W2)</f>
        <v>0</v>
      </c>
      <c r="X28" s="74">
        <f>SUMIFS(разходи!$L:$L,разходи!$E:$E,'ПП Февруари'!$C$28,разходи!$M:$M,'ПП Февруари'!X2)</f>
        <v>0</v>
      </c>
      <c r="Y28" s="74">
        <f>SUMIFS(разходи!$L:$L,разходи!$E:$E,'ПП Февруари'!$C$28,разходи!$M:$M,'ПП Февруари'!Y2)</f>
        <v>0</v>
      </c>
      <c r="Z28" s="74">
        <f>SUMIFS(разходи!$L:$L,разходи!$E:$E,'ПП Февруари'!$C$28,разходи!$M:$M,'ПП Февруари'!Z2)</f>
        <v>0</v>
      </c>
      <c r="AA28" s="74">
        <f>SUMIFS(разходи!$L:$L,разходи!$E:$E,'ПП Февруари'!$C$28,разходи!$M:$M,'ПП Февруари'!AA2)</f>
        <v>0</v>
      </c>
      <c r="AB28" s="76">
        <f>SUMIFS(разходи!$L:$L,разходи!$E:$E,'ПП Февруари'!$C$28,разходи!$M:$M,'ПП Февруари'!AB2)</f>
        <v>0</v>
      </c>
      <c r="AC28" s="76">
        <f>SUMIFS(разходи!$L:$L,разходи!$E:$E,'ПП Февруари'!$C$28,разходи!$M:$M,'ПП Февруари'!AC2)</f>
        <v>0</v>
      </c>
      <c r="AD28" s="74">
        <f>SUMIFS(разходи!$L:$L,разходи!$E:$E,'ПП Февруари'!$C$28,разходи!$M:$M,'ПП Февруари'!AD2)</f>
        <v>0</v>
      </c>
      <c r="AE28" s="74">
        <f>SUMIFS(разходи!$L:$L,разходи!$E:$E,'ПП Февруари'!$C$28,разходи!$M:$M,'ПП Февруари'!AE2)</f>
        <v>0</v>
      </c>
      <c r="AF28" s="74">
        <f>SUMIFS(разходи!$L:$L,разходи!$E:$E,'ПП Февруари'!$C$28,разходи!$M:$M,'ПП Февруари'!AF2)</f>
        <v>0</v>
      </c>
      <c r="AG28" s="74">
        <f>SUMIFS(разходи!$L:$L,разходи!$E:$E,'ПП Февруари'!$C$28,разходи!$M:$M,'ПП Февруари'!AG2)</f>
        <v>0</v>
      </c>
      <c r="AH28" s="61">
        <f t="shared" si="2"/>
        <v>0</v>
      </c>
      <c r="AI28" s="69">
        <f t="shared" si="12"/>
        <v>0</v>
      </c>
    </row>
    <row r="29" spans="1:35" s="4" customFormat="1" ht="20.100000000000001" customHeight="1" x14ac:dyDescent="0.3">
      <c r="A29" s="9"/>
      <c r="B29" s="7">
        <v>2</v>
      </c>
      <c r="C29" s="8" t="s">
        <v>860</v>
      </c>
      <c r="D29" s="70">
        <f t="shared" ref="D29" si="15">SUM(D30:D35)</f>
        <v>0</v>
      </c>
      <c r="E29" s="70">
        <f t="shared" ref="E29:AG29" si="16">SUM(E30:E35)</f>
        <v>0</v>
      </c>
      <c r="F29" s="74">
        <f t="shared" si="16"/>
        <v>0</v>
      </c>
      <c r="G29" s="76">
        <f t="shared" si="16"/>
        <v>0</v>
      </c>
      <c r="H29" s="76">
        <f t="shared" si="16"/>
        <v>0</v>
      </c>
      <c r="I29" s="74">
        <f t="shared" si="16"/>
        <v>0</v>
      </c>
      <c r="J29" s="74">
        <f t="shared" si="16"/>
        <v>0</v>
      </c>
      <c r="K29" s="74">
        <f t="shared" si="16"/>
        <v>0</v>
      </c>
      <c r="L29" s="74">
        <f t="shared" si="16"/>
        <v>0</v>
      </c>
      <c r="M29" s="74">
        <f t="shared" si="16"/>
        <v>0</v>
      </c>
      <c r="N29" s="76">
        <f t="shared" si="16"/>
        <v>0</v>
      </c>
      <c r="O29" s="76">
        <f t="shared" si="16"/>
        <v>0</v>
      </c>
      <c r="P29" s="74">
        <f t="shared" si="16"/>
        <v>0</v>
      </c>
      <c r="Q29" s="74">
        <f t="shared" si="16"/>
        <v>0</v>
      </c>
      <c r="R29" s="74">
        <f t="shared" si="16"/>
        <v>0</v>
      </c>
      <c r="S29" s="74">
        <f t="shared" si="16"/>
        <v>0</v>
      </c>
      <c r="T29" s="74">
        <f t="shared" si="16"/>
        <v>0</v>
      </c>
      <c r="U29" s="76">
        <f t="shared" si="16"/>
        <v>0</v>
      </c>
      <c r="V29" s="76">
        <f t="shared" si="16"/>
        <v>0</v>
      </c>
      <c r="W29" s="74">
        <f t="shared" si="16"/>
        <v>0</v>
      </c>
      <c r="X29" s="74">
        <f t="shared" si="16"/>
        <v>0</v>
      </c>
      <c r="Y29" s="74">
        <f t="shared" si="16"/>
        <v>0</v>
      </c>
      <c r="Z29" s="74">
        <f t="shared" si="16"/>
        <v>0</v>
      </c>
      <c r="AA29" s="74">
        <f t="shared" si="16"/>
        <v>0</v>
      </c>
      <c r="AB29" s="76">
        <f t="shared" si="16"/>
        <v>0</v>
      </c>
      <c r="AC29" s="76">
        <f t="shared" si="16"/>
        <v>0</v>
      </c>
      <c r="AD29" s="74">
        <f t="shared" si="16"/>
        <v>0</v>
      </c>
      <c r="AE29" s="74">
        <f t="shared" si="16"/>
        <v>0</v>
      </c>
      <c r="AF29" s="74">
        <f t="shared" si="16"/>
        <v>0</v>
      </c>
      <c r="AG29" s="74">
        <f t="shared" si="16"/>
        <v>0</v>
      </c>
      <c r="AH29" s="61">
        <f t="shared" si="2"/>
        <v>0</v>
      </c>
      <c r="AI29" s="62">
        <f t="shared" si="12"/>
        <v>0</v>
      </c>
    </row>
    <row r="30" spans="1:35" s="21" customFormat="1" ht="20.100000000000001" customHeight="1" outlineLevel="1" x14ac:dyDescent="0.3">
      <c r="A30" s="27"/>
      <c r="B30" s="22"/>
      <c r="C30" s="8" t="s">
        <v>458</v>
      </c>
      <c r="D30" s="68"/>
      <c r="E30" s="59">
        <f>SUMIFS(разходи!$L:$L,разходи!$E:$E,'ПП Февруари'!$C$30,разходи!$M:$M,'ПП Февруари'!E2)</f>
        <v>0</v>
      </c>
      <c r="F30" s="74">
        <f>SUMIFS(разходи!$L:$L,разходи!$E:$E,'ПП Февруари'!$C$30,разходи!$M:$M,'ПП Февруари'!F2)</f>
        <v>0</v>
      </c>
      <c r="G30" s="76">
        <f>SUMIFS(разходи!$L:$L,разходи!$E:$E,'ПП Февруари'!$C$30,разходи!$M:$M,'ПП Февруари'!G2)</f>
        <v>0</v>
      </c>
      <c r="H30" s="76">
        <f>SUMIFS(разходи!$L:$L,разходи!$E:$E,'ПП Февруари'!$C$30,разходи!$M:$M,'ПП Февруари'!H2)</f>
        <v>0</v>
      </c>
      <c r="I30" s="74">
        <f>SUMIFS(разходи!$L:$L,разходи!$E:$E,'ПП Февруари'!$C$30,разходи!$M:$M,'ПП Февруари'!I2)</f>
        <v>0</v>
      </c>
      <c r="J30" s="74">
        <f>SUMIFS(разходи!$L:$L,разходи!$E:$E,'ПП Февруари'!$C$30,разходи!$M:$M,'ПП Февруари'!J2)</f>
        <v>0</v>
      </c>
      <c r="K30" s="74">
        <f>SUMIFS(разходи!$L:$L,разходи!$E:$E,'ПП Февруари'!$C$30,разходи!$M:$M,'ПП Февруари'!K2)</f>
        <v>0</v>
      </c>
      <c r="L30" s="74">
        <f>SUMIFS(разходи!$L:$L,разходи!$E:$E,'ПП Февруари'!$C$30,разходи!$M:$M,'ПП Февруари'!L2)</f>
        <v>0</v>
      </c>
      <c r="M30" s="74">
        <f>SUMIFS(разходи!$L:$L,разходи!$E:$E,'ПП Февруари'!$C$30,разходи!$M:$M,'ПП Февруари'!M2)</f>
        <v>0</v>
      </c>
      <c r="N30" s="76">
        <f>SUMIFS(разходи!$L:$L,разходи!$E:$E,'ПП Февруари'!$C$30,разходи!$M:$M,'ПП Февруари'!N2)</f>
        <v>0</v>
      </c>
      <c r="O30" s="76">
        <f>SUMIFS(разходи!$L:$L,разходи!$E:$E,'ПП Февруари'!$C$30,разходи!$M:$M,'ПП Февруари'!O2)</f>
        <v>0</v>
      </c>
      <c r="P30" s="74">
        <f>SUMIFS(разходи!$L:$L,разходи!$E:$E,'ПП Февруари'!$C$30,разходи!$M:$M,'ПП Февруари'!P2)</f>
        <v>0</v>
      </c>
      <c r="Q30" s="74">
        <f>SUMIFS(разходи!$L:$L,разходи!$E:$E,'ПП Февруари'!$C$30,разходи!$M:$M,'ПП Февруари'!Q2)</f>
        <v>0</v>
      </c>
      <c r="R30" s="74">
        <f>SUMIFS(разходи!$L:$L,разходи!$E:$E,'ПП Февруари'!$C$30,разходи!$M:$M,'ПП Февруари'!R2)</f>
        <v>0</v>
      </c>
      <c r="S30" s="74">
        <f>SUMIFS(разходи!$L:$L,разходи!$E:$E,'ПП Февруари'!$C$30,разходи!$M:$M,'ПП Февруари'!S2)</f>
        <v>0</v>
      </c>
      <c r="T30" s="74">
        <f>SUMIFS(разходи!$L:$L,разходи!$E:$E,'ПП Февруари'!$C$30,разходи!$M:$M,'ПП Февруари'!T2)</f>
        <v>0</v>
      </c>
      <c r="U30" s="76">
        <f>SUMIFS(разходи!$L:$L,разходи!$E:$E,'ПП Февруари'!$C$30,разходи!$M:$M,'ПП Февруари'!U2)</f>
        <v>0</v>
      </c>
      <c r="V30" s="76">
        <f>SUMIFS(разходи!$L:$L,разходи!$E:$E,'ПП Февруари'!$C$30,разходи!$M:$M,'ПП Февруари'!V2)</f>
        <v>0</v>
      </c>
      <c r="W30" s="74">
        <f>SUMIFS(разходи!$L:$L,разходи!$E:$E,'ПП Февруари'!$C$30,разходи!$M:$M,'ПП Февруари'!W2)</f>
        <v>0</v>
      </c>
      <c r="X30" s="74">
        <f>SUMIFS(разходи!$L:$L,разходи!$E:$E,'ПП Февруари'!$C$30,разходи!$M:$M,'ПП Февруари'!X2)</f>
        <v>0</v>
      </c>
      <c r="Y30" s="74">
        <f>SUMIFS(разходи!$L:$L,разходи!$E:$E,'ПП Февруари'!$C$30,разходи!$M:$M,'ПП Февруари'!Y2)</f>
        <v>0</v>
      </c>
      <c r="Z30" s="74">
        <f>SUMIFS(разходи!$L:$L,разходи!$E:$E,'ПП Февруари'!$C$30,разходи!$M:$M,'ПП Февруари'!Z2)</f>
        <v>0</v>
      </c>
      <c r="AA30" s="74">
        <f>SUMIFS(разходи!$L:$L,разходи!$E:$E,'ПП Февруари'!$C$30,разходи!$M:$M,'ПП Февруари'!AA2)</f>
        <v>0</v>
      </c>
      <c r="AB30" s="76">
        <f>SUMIFS(разходи!$L:$L,разходи!$E:$E,'ПП Февруари'!$C$30,разходи!$M:$M,'ПП Февруари'!AB2)</f>
        <v>0</v>
      </c>
      <c r="AC30" s="76">
        <f>SUMIFS(разходи!$L:$L,разходи!$E:$E,'ПП Февруари'!$C$30,разходи!$M:$M,'ПП Февруари'!AC2)</f>
        <v>0</v>
      </c>
      <c r="AD30" s="74">
        <f>SUMIFS(разходи!$L:$L,разходи!$E:$E,'ПП Февруари'!$C$30,разходи!$M:$M,'ПП Февруари'!AD2)</f>
        <v>0</v>
      </c>
      <c r="AE30" s="74">
        <f>SUMIFS(разходи!$L:$L,разходи!$E:$E,'ПП Февруари'!$C$30,разходи!$M:$M,'ПП Февруари'!AE2)</f>
        <v>0</v>
      </c>
      <c r="AF30" s="74">
        <f>SUMIFS(разходи!$L:$L,разходи!$E:$E,'ПП Февруари'!$C$30,разходи!$M:$M,'ПП Февруари'!AF2)</f>
        <v>0</v>
      </c>
      <c r="AG30" s="74">
        <f>SUMIFS(разходи!$L:$L,разходи!$E:$E,'ПП Февруари'!$C$30,разходи!$M:$M,'ПП Февруари'!AG2)</f>
        <v>0</v>
      </c>
      <c r="AH30" s="61">
        <f t="shared" si="2"/>
        <v>0</v>
      </c>
      <c r="AI30" s="69">
        <f t="shared" si="12"/>
        <v>0</v>
      </c>
    </row>
    <row r="31" spans="1:35" s="21" customFormat="1" ht="20.100000000000001" customHeight="1" outlineLevel="1" x14ac:dyDescent="0.3">
      <c r="A31" s="27"/>
      <c r="B31" s="22"/>
      <c r="C31" s="8" t="s">
        <v>459</v>
      </c>
      <c r="D31" s="68"/>
      <c r="E31" s="59">
        <f>SUMIFS(разходи!$L:$L,разходи!$E:$E,'ПП Февруари'!$C$31,разходи!$M:$M,'ПП Февруари'!E2)</f>
        <v>0</v>
      </c>
      <c r="F31" s="74">
        <f>SUMIFS(разходи!$L:$L,разходи!$E:$E,'ПП Февруари'!$C$31,разходи!$M:$M,'ПП Февруари'!F2)</f>
        <v>0</v>
      </c>
      <c r="G31" s="76">
        <f>SUMIFS(разходи!$L:$L,разходи!$E:$E,'ПП Февруари'!$C$31,разходи!$M:$M,'ПП Февруари'!G2)</f>
        <v>0</v>
      </c>
      <c r="H31" s="76">
        <f>SUMIFS(разходи!$L:$L,разходи!$E:$E,'ПП Февруари'!$C$31,разходи!$M:$M,'ПП Февруари'!H2)</f>
        <v>0</v>
      </c>
      <c r="I31" s="74">
        <f>SUMIFS(разходи!$L:$L,разходи!$E:$E,'ПП Февруари'!$C$31,разходи!$M:$M,'ПП Февруари'!I2)</f>
        <v>0</v>
      </c>
      <c r="J31" s="74">
        <f>SUMIFS(разходи!$L:$L,разходи!$E:$E,'ПП Февруари'!$C$31,разходи!$M:$M,'ПП Февруари'!J2)</f>
        <v>0</v>
      </c>
      <c r="K31" s="74">
        <f>SUMIFS(разходи!$L:$L,разходи!$E:$E,'ПП Февруари'!$C$31,разходи!$M:$M,'ПП Февруари'!K2)</f>
        <v>0</v>
      </c>
      <c r="L31" s="74">
        <f>SUMIFS(разходи!$L:$L,разходи!$E:$E,'ПП Февруари'!$C$31,разходи!$M:$M,'ПП Февруари'!L2)</f>
        <v>0</v>
      </c>
      <c r="M31" s="74">
        <f>SUMIFS(разходи!$L:$L,разходи!$E:$E,'ПП Февруари'!$C$31,разходи!$M:$M,'ПП Февруари'!M2)</f>
        <v>0</v>
      </c>
      <c r="N31" s="76">
        <f>SUMIFS(разходи!$L:$L,разходи!$E:$E,'ПП Февруари'!$C$31,разходи!$M:$M,'ПП Февруари'!N2)</f>
        <v>0</v>
      </c>
      <c r="O31" s="76">
        <f>SUMIFS(разходи!$L:$L,разходи!$E:$E,'ПП Февруари'!$C$31,разходи!$M:$M,'ПП Февруари'!O2)</f>
        <v>0</v>
      </c>
      <c r="P31" s="74">
        <f>SUMIFS(разходи!$L:$L,разходи!$E:$E,'ПП Февруари'!$C$31,разходи!$M:$M,'ПП Февруари'!P2)</f>
        <v>0</v>
      </c>
      <c r="Q31" s="74">
        <f>SUMIFS(разходи!$L:$L,разходи!$E:$E,'ПП Февруари'!$C$31,разходи!$M:$M,'ПП Февруари'!Q2)</f>
        <v>0</v>
      </c>
      <c r="R31" s="74">
        <f>SUMIFS(разходи!$L:$L,разходи!$E:$E,'ПП Февруари'!$C$31,разходи!$M:$M,'ПП Февруари'!R2)</f>
        <v>0</v>
      </c>
      <c r="S31" s="74">
        <f>SUMIFS(разходи!$L:$L,разходи!$E:$E,'ПП Февруари'!$C$31,разходи!$M:$M,'ПП Февруари'!S2)</f>
        <v>0</v>
      </c>
      <c r="T31" s="74">
        <f>SUMIFS(разходи!$L:$L,разходи!$E:$E,'ПП Февруари'!$C$31,разходи!$M:$M,'ПП Февруари'!T2)</f>
        <v>0</v>
      </c>
      <c r="U31" s="76">
        <f>SUMIFS(разходи!$L:$L,разходи!$E:$E,'ПП Февруари'!$C$31,разходи!$M:$M,'ПП Февруари'!U2)</f>
        <v>0</v>
      </c>
      <c r="V31" s="76">
        <f>SUMIFS(разходи!$L:$L,разходи!$E:$E,'ПП Февруари'!$C$31,разходи!$M:$M,'ПП Февруари'!V2)</f>
        <v>0</v>
      </c>
      <c r="W31" s="74">
        <f>SUMIFS(разходи!$L:$L,разходи!$E:$E,'ПП Февруари'!$C$31,разходи!$M:$M,'ПП Февруари'!W2)</f>
        <v>0</v>
      </c>
      <c r="X31" s="74">
        <f>SUMIFS(разходи!$L:$L,разходи!$E:$E,'ПП Февруари'!$C$31,разходи!$M:$M,'ПП Февруари'!X2)</f>
        <v>0</v>
      </c>
      <c r="Y31" s="74">
        <f>SUMIFS(разходи!$L:$L,разходи!$E:$E,'ПП Февруари'!$C$31,разходи!$M:$M,'ПП Февруари'!Y2)</f>
        <v>0</v>
      </c>
      <c r="Z31" s="74">
        <f>SUMIFS(разходи!$L:$L,разходи!$E:$E,'ПП Февруари'!$C$31,разходи!$M:$M,'ПП Февруари'!Z2)</f>
        <v>0</v>
      </c>
      <c r="AA31" s="74">
        <f>SUMIFS(разходи!$L:$L,разходи!$E:$E,'ПП Февруари'!$C$31,разходи!$M:$M,'ПП Февруари'!AA2)</f>
        <v>0</v>
      </c>
      <c r="AB31" s="76">
        <f>SUMIFS(разходи!$L:$L,разходи!$E:$E,'ПП Февруари'!$C$31,разходи!$M:$M,'ПП Февруари'!AB2)</f>
        <v>0</v>
      </c>
      <c r="AC31" s="76">
        <f>SUMIFS(разходи!$L:$L,разходи!$E:$E,'ПП Февруари'!$C$31,разходи!$M:$M,'ПП Февруари'!AC2)</f>
        <v>0</v>
      </c>
      <c r="AD31" s="74">
        <f>SUMIFS(разходи!$L:$L,разходи!$E:$E,'ПП Февруари'!$C$31,разходи!$M:$M,'ПП Февруари'!AD2)</f>
        <v>0</v>
      </c>
      <c r="AE31" s="74">
        <f>SUMIFS(разходи!$L:$L,разходи!$E:$E,'ПП Февруари'!$C$31,разходи!$M:$M,'ПП Февруари'!AE2)</f>
        <v>0</v>
      </c>
      <c r="AF31" s="74">
        <f>SUMIFS(разходи!$L:$L,разходи!$E:$E,'ПП Февруари'!$C$31,разходи!$M:$M,'ПП Февруари'!AF2)</f>
        <v>0</v>
      </c>
      <c r="AG31" s="74">
        <f>SUMIFS(разходи!$L:$L,разходи!$E:$E,'ПП Февруари'!$C$31,разходи!$M:$M,'ПП Февруари'!AG2)</f>
        <v>0</v>
      </c>
      <c r="AH31" s="61">
        <f t="shared" si="2"/>
        <v>0</v>
      </c>
      <c r="AI31" s="69">
        <f t="shared" si="12"/>
        <v>0</v>
      </c>
    </row>
    <row r="32" spans="1:35" s="21" customFormat="1" ht="20.100000000000001" customHeight="1" outlineLevel="1" x14ac:dyDescent="0.3">
      <c r="A32" s="27"/>
      <c r="B32" s="22"/>
      <c r="C32" s="8" t="s">
        <v>460</v>
      </c>
      <c r="D32" s="68"/>
      <c r="E32" s="59">
        <f>SUMIFS(разходи!$L:$L,разходи!$E:$E,'ПП Февруари'!$C$32,разходи!$M:$M,'ПП Февруари'!E2)</f>
        <v>0</v>
      </c>
      <c r="F32" s="74">
        <f>SUMIFS(разходи!$L:$L,разходи!$E:$E,'ПП Февруари'!$C$32,разходи!$M:$M,'ПП Февруари'!F2)</f>
        <v>0</v>
      </c>
      <c r="G32" s="76">
        <f>SUMIFS(разходи!$L:$L,разходи!$E:$E,'ПП Февруари'!$C$32,разходи!$M:$M,'ПП Февруари'!G2)</f>
        <v>0</v>
      </c>
      <c r="H32" s="76">
        <f>SUMIFS(разходи!$L:$L,разходи!$E:$E,'ПП Февруари'!$C$32,разходи!$M:$M,'ПП Февруари'!H2)</f>
        <v>0</v>
      </c>
      <c r="I32" s="74">
        <f>SUMIFS(разходи!$L:$L,разходи!$E:$E,'ПП Февруари'!$C$32,разходи!$M:$M,'ПП Февруари'!I2)</f>
        <v>0</v>
      </c>
      <c r="J32" s="74">
        <f>SUMIFS(разходи!$L:$L,разходи!$E:$E,'ПП Февруари'!$C$32,разходи!$M:$M,'ПП Февруари'!J2)</f>
        <v>0</v>
      </c>
      <c r="K32" s="74">
        <f>SUMIFS(разходи!$L:$L,разходи!$E:$E,'ПП Февруари'!$C$32,разходи!$M:$M,'ПП Февруари'!K2)</f>
        <v>0</v>
      </c>
      <c r="L32" s="74">
        <f>SUMIFS(разходи!$L:$L,разходи!$E:$E,'ПП Февруари'!$C$32,разходи!$M:$M,'ПП Февруари'!L2)</f>
        <v>0</v>
      </c>
      <c r="M32" s="74">
        <f>SUMIFS(разходи!$L:$L,разходи!$E:$E,'ПП Февруари'!$C$32,разходи!$M:$M,'ПП Февруари'!M2)</f>
        <v>0</v>
      </c>
      <c r="N32" s="76">
        <f>SUMIFS(разходи!$L:$L,разходи!$E:$E,'ПП Февруари'!$C$32,разходи!$M:$M,'ПП Февруари'!N2)</f>
        <v>0</v>
      </c>
      <c r="O32" s="76">
        <f>SUMIFS(разходи!$L:$L,разходи!$E:$E,'ПП Февруари'!$C$32,разходи!$M:$M,'ПП Февруари'!O2)</f>
        <v>0</v>
      </c>
      <c r="P32" s="74">
        <f>SUMIFS(разходи!$L:$L,разходи!$E:$E,'ПП Февруари'!$C$32,разходи!$M:$M,'ПП Февруари'!P2)</f>
        <v>0</v>
      </c>
      <c r="Q32" s="74">
        <f>SUMIFS(разходи!$L:$L,разходи!$E:$E,'ПП Февруари'!$C$32,разходи!$M:$M,'ПП Февруари'!Q2)</f>
        <v>0</v>
      </c>
      <c r="R32" s="74">
        <f>SUMIFS(разходи!$L:$L,разходи!$E:$E,'ПП Февруари'!$C$32,разходи!$M:$M,'ПП Февруари'!R2)</f>
        <v>0</v>
      </c>
      <c r="S32" s="74">
        <f>SUMIFS(разходи!$L:$L,разходи!$E:$E,'ПП Февруари'!$C$32,разходи!$M:$M,'ПП Февруари'!S2)</f>
        <v>0</v>
      </c>
      <c r="T32" s="74">
        <f>SUMIFS(разходи!$L:$L,разходи!$E:$E,'ПП Февруари'!$C$32,разходи!$M:$M,'ПП Февруари'!T2)</f>
        <v>0</v>
      </c>
      <c r="U32" s="76">
        <f>SUMIFS(разходи!$L:$L,разходи!$E:$E,'ПП Февруари'!$C$32,разходи!$M:$M,'ПП Февруари'!U2)</f>
        <v>0</v>
      </c>
      <c r="V32" s="76">
        <f>SUMIFS(разходи!$L:$L,разходи!$E:$E,'ПП Февруари'!$C$32,разходи!$M:$M,'ПП Февруари'!V2)</f>
        <v>0</v>
      </c>
      <c r="W32" s="74">
        <f>SUMIFS(разходи!$L:$L,разходи!$E:$E,'ПП Февруари'!$C$32,разходи!$M:$M,'ПП Февруари'!W2)</f>
        <v>0</v>
      </c>
      <c r="X32" s="74">
        <f>SUMIFS(разходи!$L:$L,разходи!$E:$E,'ПП Февруари'!$C$32,разходи!$M:$M,'ПП Февруари'!X2)</f>
        <v>0</v>
      </c>
      <c r="Y32" s="74">
        <f>SUMIFS(разходи!$L:$L,разходи!$E:$E,'ПП Февруари'!$C$32,разходи!$M:$M,'ПП Февруари'!Y2)</f>
        <v>0</v>
      </c>
      <c r="Z32" s="74">
        <f>SUMIFS(разходи!$L:$L,разходи!$E:$E,'ПП Февруари'!$C$32,разходи!$M:$M,'ПП Февруари'!Z2)</f>
        <v>0</v>
      </c>
      <c r="AA32" s="74">
        <f>SUMIFS(разходи!$L:$L,разходи!$E:$E,'ПП Февруари'!$C$32,разходи!$M:$M,'ПП Февруари'!AA2)</f>
        <v>0</v>
      </c>
      <c r="AB32" s="76">
        <f>SUMIFS(разходи!$L:$L,разходи!$E:$E,'ПП Февруари'!$C$32,разходи!$M:$M,'ПП Февруари'!AB2)</f>
        <v>0</v>
      </c>
      <c r="AC32" s="76">
        <f>SUMIFS(разходи!$L:$L,разходи!$E:$E,'ПП Февруари'!$C$32,разходи!$M:$M,'ПП Февруари'!AC2)</f>
        <v>0</v>
      </c>
      <c r="AD32" s="74">
        <f>SUMIFS(разходи!$L:$L,разходи!$E:$E,'ПП Февруари'!$C$32,разходи!$M:$M,'ПП Февруари'!AD2)</f>
        <v>0</v>
      </c>
      <c r="AE32" s="74">
        <f>SUMIFS(разходи!$L:$L,разходи!$E:$E,'ПП Февруари'!$C$32,разходи!$M:$M,'ПП Февруари'!AE2)</f>
        <v>0</v>
      </c>
      <c r="AF32" s="74">
        <f>SUMIFS(разходи!$L:$L,разходи!$E:$E,'ПП Февруари'!$C$32,разходи!$M:$M,'ПП Февруари'!AF2)</f>
        <v>0</v>
      </c>
      <c r="AG32" s="74">
        <f>SUMIFS(разходи!$L:$L,разходи!$E:$E,'ПП Февруари'!$C$32,разходи!$M:$M,'ПП Февруари'!AG2)</f>
        <v>0</v>
      </c>
      <c r="AH32" s="61">
        <f t="shared" si="2"/>
        <v>0</v>
      </c>
      <c r="AI32" s="69">
        <f t="shared" si="12"/>
        <v>0</v>
      </c>
    </row>
    <row r="33" spans="1:35" s="21" customFormat="1" ht="20.100000000000001" customHeight="1" outlineLevel="1" x14ac:dyDescent="0.3">
      <c r="A33" s="27"/>
      <c r="B33" s="22"/>
      <c r="C33" s="8" t="s">
        <v>121</v>
      </c>
      <c r="D33" s="68"/>
      <c r="E33" s="59">
        <f>SUMIFS(разходи!$L:$L,разходи!$E:$E,'ПП Февруари'!$C$33,разходи!$M:$M,'ПП Февруари'!E2)</f>
        <v>0</v>
      </c>
      <c r="F33" s="74">
        <f>SUMIFS(разходи!$L:$L,разходи!$E:$E,'ПП Февруари'!$C$33,разходи!$M:$M,'ПП Февруари'!F2)</f>
        <v>0</v>
      </c>
      <c r="G33" s="76">
        <f>SUMIFS(разходи!$L:$L,разходи!$E:$E,'ПП Февруари'!$C$33,разходи!$M:$M,'ПП Февруари'!G2)</f>
        <v>0</v>
      </c>
      <c r="H33" s="76">
        <f>SUMIFS(разходи!$L:$L,разходи!$E:$E,'ПП Февруари'!$C$33,разходи!$M:$M,'ПП Февруари'!H2)</f>
        <v>0</v>
      </c>
      <c r="I33" s="74">
        <f>SUMIFS(разходи!$L:$L,разходи!$E:$E,'ПП Февруари'!$C$33,разходи!$M:$M,'ПП Февруари'!I2)</f>
        <v>0</v>
      </c>
      <c r="J33" s="74">
        <f>SUMIFS(разходи!$L:$L,разходи!$E:$E,'ПП Февруари'!$C$33,разходи!$M:$M,'ПП Февруари'!J2)</f>
        <v>0</v>
      </c>
      <c r="K33" s="74">
        <f>SUMIFS(разходи!$L:$L,разходи!$E:$E,'ПП Февруари'!$C$33,разходи!$M:$M,'ПП Февруари'!K2)</f>
        <v>0</v>
      </c>
      <c r="L33" s="74">
        <f>SUMIFS(разходи!$L:$L,разходи!$E:$E,'ПП Февруари'!$C$33,разходи!$M:$M,'ПП Февруари'!L2)</f>
        <v>0</v>
      </c>
      <c r="M33" s="74">
        <f>SUMIFS(разходи!$L:$L,разходи!$E:$E,'ПП Февруари'!$C$33,разходи!$M:$M,'ПП Февруари'!M2)</f>
        <v>0</v>
      </c>
      <c r="N33" s="76">
        <f>SUMIFS(разходи!$L:$L,разходи!$E:$E,'ПП Февруари'!$C$33,разходи!$M:$M,'ПП Февруари'!N2)</f>
        <v>0</v>
      </c>
      <c r="O33" s="76">
        <f>SUMIFS(разходи!$L:$L,разходи!$E:$E,'ПП Февруари'!$C$33,разходи!$M:$M,'ПП Февруари'!O2)</f>
        <v>0</v>
      </c>
      <c r="P33" s="74">
        <f>SUMIFS(разходи!$L:$L,разходи!$E:$E,'ПП Февруари'!$C$33,разходи!$M:$M,'ПП Февруари'!P2)</f>
        <v>0</v>
      </c>
      <c r="Q33" s="74">
        <f>SUMIFS(разходи!$L:$L,разходи!$E:$E,'ПП Февруари'!$C$33,разходи!$M:$M,'ПП Февруари'!Q2)</f>
        <v>0</v>
      </c>
      <c r="R33" s="74">
        <f>SUMIFS(разходи!$L:$L,разходи!$E:$E,'ПП Февруари'!$C$33,разходи!$M:$M,'ПП Февруари'!R2)</f>
        <v>0</v>
      </c>
      <c r="S33" s="74">
        <f>SUMIFS(разходи!$L:$L,разходи!$E:$E,'ПП Февруари'!$C$33,разходи!$M:$M,'ПП Февруари'!S2)</f>
        <v>0</v>
      </c>
      <c r="T33" s="74">
        <f>SUMIFS(разходи!$L:$L,разходи!$E:$E,'ПП Февруари'!$C$33,разходи!$M:$M,'ПП Февруари'!T2)</f>
        <v>0</v>
      </c>
      <c r="U33" s="76">
        <f>SUMIFS(разходи!$L:$L,разходи!$E:$E,'ПП Февруари'!$C$33,разходи!$M:$M,'ПП Февруари'!U2)</f>
        <v>0</v>
      </c>
      <c r="V33" s="76">
        <f>SUMIFS(разходи!$L:$L,разходи!$E:$E,'ПП Февруари'!$C$33,разходи!$M:$M,'ПП Февруари'!V2)</f>
        <v>0</v>
      </c>
      <c r="W33" s="74">
        <f>SUMIFS(разходи!$L:$L,разходи!$E:$E,'ПП Февруари'!$C$33,разходи!$M:$M,'ПП Февруари'!W2)</f>
        <v>0</v>
      </c>
      <c r="X33" s="74">
        <f>SUMIFS(разходи!$L:$L,разходи!$E:$E,'ПП Февруари'!$C$33,разходи!$M:$M,'ПП Февруари'!X2)</f>
        <v>0</v>
      </c>
      <c r="Y33" s="74">
        <f>SUMIFS(разходи!$L:$L,разходи!$E:$E,'ПП Февруари'!$C$33,разходи!$M:$M,'ПП Февруари'!Y2)</f>
        <v>0</v>
      </c>
      <c r="Z33" s="74">
        <f>SUMIFS(разходи!$L:$L,разходи!$E:$E,'ПП Февруари'!$C$33,разходи!$M:$M,'ПП Февруари'!Z2)</f>
        <v>0</v>
      </c>
      <c r="AA33" s="74">
        <f>SUMIFS(разходи!$L:$L,разходи!$E:$E,'ПП Февруари'!$C$33,разходи!$M:$M,'ПП Февруари'!AA2)</f>
        <v>0</v>
      </c>
      <c r="AB33" s="76">
        <f>SUMIFS(разходи!$L:$L,разходи!$E:$E,'ПП Февруари'!$C$33,разходи!$M:$M,'ПП Февруари'!AB2)</f>
        <v>0</v>
      </c>
      <c r="AC33" s="76">
        <f>SUMIFS(разходи!$L:$L,разходи!$E:$E,'ПП Февруари'!$C$33,разходи!$M:$M,'ПП Февруари'!AC2)</f>
        <v>0</v>
      </c>
      <c r="AD33" s="74">
        <f>SUMIFS(разходи!$L:$L,разходи!$E:$E,'ПП Февруари'!$C$33,разходи!$M:$M,'ПП Февруари'!AD2)</f>
        <v>0</v>
      </c>
      <c r="AE33" s="74">
        <f>SUMIFS(разходи!$L:$L,разходи!$E:$E,'ПП Февруари'!$C$33,разходи!$M:$M,'ПП Февруари'!AE2)</f>
        <v>0</v>
      </c>
      <c r="AF33" s="74">
        <f>SUMIFS(разходи!$L:$L,разходи!$E:$E,'ПП Февруари'!$C$33,разходи!$M:$M,'ПП Февруари'!AF2)</f>
        <v>0</v>
      </c>
      <c r="AG33" s="74">
        <f>SUMIFS(разходи!$L:$L,разходи!$E:$E,'ПП Февруари'!$C$33,разходи!$M:$M,'ПП Февруари'!AG2)</f>
        <v>0</v>
      </c>
      <c r="AH33" s="61">
        <f t="shared" si="2"/>
        <v>0</v>
      </c>
      <c r="AI33" s="69">
        <f t="shared" si="12"/>
        <v>0</v>
      </c>
    </row>
    <row r="34" spans="1:35" s="21" customFormat="1" ht="20.100000000000001" customHeight="1" outlineLevel="1" x14ac:dyDescent="0.3">
      <c r="A34" s="27"/>
      <c r="B34" s="22"/>
      <c r="C34" s="8" t="s">
        <v>461</v>
      </c>
      <c r="D34" s="68"/>
      <c r="E34" s="59">
        <f>SUMIFS(разходи!$L:$L,разходи!$E:$E,'ПП Февруари'!$C$34,разходи!$M:$M,'ПП Февруари'!E2)</f>
        <v>0</v>
      </c>
      <c r="F34" s="74">
        <f>SUMIFS(разходи!$L:$L,разходи!$E:$E,'ПП Февруари'!$C$34,разходи!$M:$M,'ПП Февруари'!F2)</f>
        <v>0</v>
      </c>
      <c r="G34" s="76">
        <f>SUMIFS(разходи!$L:$L,разходи!$E:$E,'ПП Февруари'!$C$34,разходи!$M:$M,'ПП Февруари'!G2)</f>
        <v>0</v>
      </c>
      <c r="H34" s="76">
        <f>SUMIFS(разходи!$L:$L,разходи!$E:$E,'ПП Февруари'!$C$34,разходи!$M:$M,'ПП Февруари'!H2)</f>
        <v>0</v>
      </c>
      <c r="I34" s="74">
        <f>SUMIFS(разходи!$L:$L,разходи!$E:$E,'ПП Февруари'!$C$34,разходи!$M:$M,'ПП Февруари'!I2)</f>
        <v>0</v>
      </c>
      <c r="J34" s="74">
        <f>SUMIFS(разходи!$L:$L,разходи!$E:$E,'ПП Февруари'!$C$34,разходи!$M:$M,'ПП Февруари'!J2)</f>
        <v>0</v>
      </c>
      <c r="K34" s="74">
        <f>SUMIFS(разходи!$L:$L,разходи!$E:$E,'ПП Февруари'!$C$34,разходи!$M:$M,'ПП Февруари'!K2)</f>
        <v>0</v>
      </c>
      <c r="L34" s="74">
        <f>SUMIFS(разходи!$L:$L,разходи!$E:$E,'ПП Февруари'!$C$34,разходи!$M:$M,'ПП Февруари'!L2)</f>
        <v>0</v>
      </c>
      <c r="M34" s="74">
        <f>SUMIFS(разходи!$L:$L,разходи!$E:$E,'ПП Февруари'!$C$34,разходи!$M:$M,'ПП Февруари'!M2)</f>
        <v>0</v>
      </c>
      <c r="N34" s="76">
        <f>SUMIFS(разходи!$L:$L,разходи!$E:$E,'ПП Февруари'!$C$34,разходи!$M:$M,'ПП Февруари'!N2)</f>
        <v>0</v>
      </c>
      <c r="O34" s="76">
        <f>SUMIFS(разходи!$L:$L,разходи!$E:$E,'ПП Февруари'!$C$34,разходи!$M:$M,'ПП Февруари'!O2)</f>
        <v>0</v>
      </c>
      <c r="P34" s="74">
        <f>SUMIFS(разходи!$L:$L,разходи!$E:$E,'ПП Февруари'!$C$34,разходи!$M:$M,'ПП Февруари'!P2)</f>
        <v>0</v>
      </c>
      <c r="Q34" s="74">
        <f>SUMIFS(разходи!$L:$L,разходи!$E:$E,'ПП Февруари'!$C$34,разходи!$M:$M,'ПП Февруари'!Q2)</f>
        <v>0</v>
      </c>
      <c r="R34" s="74">
        <f>SUMIFS(разходи!$L:$L,разходи!$E:$E,'ПП Февруари'!$C$34,разходи!$M:$M,'ПП Февруари'!R2)</f>
        <v>0</v>
      </c>
      <c r="S34" s="74">
        <f>SUMIFS(разходи!$L:$L,разходи!$E:$E,'ПП Февруари'!$C$34,разходи!$M:$M,'ПП Февруари'!S2)</f>
        <v>0</v>
      </c>
      <c r="T34" s="74">
        <f>SUMIFS(разходи!$L:$L,разходи!$E:$E,'ПП Февруари'!$C$34,разходи!$M:$M,'ПП Февруари'!T2)</f>
        <v>0</v>
      </c>
      <c r="U34" s="76">
        <f>SUMIFS(разходи!$L:$L,разходи!$E:$E,'ПП Февруари'!$C$34,разходи!$M:$M,'ПП Февруари'!U2)</f>
        <v>0</v>
      </c>
      <c r="V34" s="76">
        <f>SUMIFS(разходи!$L:$L,разходи!$E:$E,'ПП Февруари'!$C$34,разходи!$M:$M,'ПП Февруари'!V2)</f>
        <v>0</v>
      </c>
      <c r="W34" s="74">
        <f>SUMIFS(разходи!$L:$L,разходи!$E:$E,'ПП Февруари'!$C$34,разходи!$M:$M,'ПП Февруари'!W2)</f>
        <v>0</v>
      </c>
      <c r="X34" s="74">
        <f>SUMIFS(разходи!$L:$L,разходи!$E:$E,'ПП Февруари'!$C$34,разходи!$M:$M,'ПП Февруари'!X2)</f>
        <v>0</v>
      </c>
      <c r="Y34" s="74">
        <f>SUMIFS(разходи!$L:$L,разходи!$E:$E,'ПП Февруари'!$C$34,разходи!$M:$M,'ПП Февруари'!Y2)</f>
        <v>0</v>
      </c>
      <c r="Z34" s="74">
        <f>SUMIFS(разходи!$L:$L,разходи!$E:$E,'ПП Февруари'!$C$34,разходи!$M:$M,'ПП Февруари'!Z2)</f>
        <v>0</v>
      </c>
      <c r="AA34" s="74">
        <f>SUMIFS(разходи!$L:$L,разходи!$E:$E,'ПП Февруари'!$C$34,разходи!$M:$M,'ПП Февруари'!AA2)</f>
        <v>0</v>
      </c>
      <c r="AB34" s="76">
        <f>SUMIFS(разходи!$L:$L,разходи!$E:$E,'ПП Февруари'!$C$34,разходи!$M:$M,'ПП Февруари'!AB2)</f>
        <v>0</v>
      </c>
      <c r="AC34" s="76">
        <f>SUMIFS(разходи!$L:$L,разходи!$E:$E,'ПП Февруари'!$C$34,разходи!$M:$M,'ПП Февруари'!AC2)</f>
        <v>0</v>
      </c>
      <c r="AD34" s="74">
        <f>SUMIFS(разходи!$L:$L,разходи!$E:$E,'ПП Февруари'!$C$34,разходи!$M:$M,'ПП Февруари'!AD2)</f>
        <v>0</v>
      </c>
      <c r="AE34" s="74">
        <f>SUMIFS(разходи!$L:$L,разходи!$E:$E,'ПП Февруари'!$C$34,разходи!$M:$M,'ПП Февруари'!AE2)</f>
        <v>0</v>
      </c>
      <c r="AF34" s="74">
        <f>SUMIFS(разходи!$L:$L,разходи!$E:$E,'ПП Февруари'!$C$34,разходи!$M:$M,'ПП Февруари'!AF2)</f>
        <v>0</v>
      </c>
      <c r="AG34" s="74">
        <f>SUMIFS(разходи!$L:$L,разходи!$E:$E,'ПП Февруари'!$C$34,разходи!$M:$M,'ПП Февруари'!AG2)</f>
        <v>0</v>
      </c>
      <c r="AH34" s="61">
        <f t="shared" si="2"/>
        <v>0</v>
      </c>
      <c r="AI34" s="69">
        <f t="shared" si="12"/>
        <v>0</v>
      </c>
    </row>
    <row r="35" spans="1:35" s="21" customFormat="1" ht="20.100000000000001" customHeight="1" outlineLevel="1" x14ac:dyDescent="0.3">
      <c r="A35" s="27"/>
      <c r="B35" s="22"/>
      <c r="C35" s="8" t="s">
        <v>466</v>
      </c>
      <c r="D35" s="68"/>
      <c r="E35" s="59">
        <f>SUMIFS(разходи!$L:$L,разходи!$E:$E,'ПП Февруари'!$C$35,разходи!$M:$M,'ПП Февруари'!E2)</f>
        <v>0</v>
      </c>
      <c r="F35" s="74">
        <f>SUMIFS(разходи!$L:$L,разходи!$E:$E,'ПП Февруари'!$C$35,разходи!$M:$M,'ПП Февруари'!F2)</f>
        <v>0</v>
      </c>
      <c r="G35" s="76">
        <f>SUMIFS(разходи!$L:$L,разходи!$E:$E,'ПП Февруари'!$C$35,разходи!$M:$M,'ПП Февруари'!G2)</f>
        <v>0</v>
      </c>
      <c r="H35" s="76">
        <f>SUMIFS(разходи!$L:$L,разходи!$E:$E,'ПП Февруари'!$C$35,разходи!$M:$M,'ПП Февруари'!H2)</f>
        <v>0</v>
      </c>
      <c r="I35" s="74">
        <f>SUMIFS(разходи!$L:$L,разходи!$E:$E,'ПП Февруари'!$C$35,разходи!$M:$M,'ПП Февруари'!I2)</f>
        <v>0</v>
      </c>
      <c r="J35" s="74">
        <f>SUMIFS(разходи!$L:$L,разходи!$E:$E,'ПП Февруари'!$C$35,разходи!$M:$M,'ПП Февруари'!J2)</f>
        <v>0</v>
      </c>
      <c r="K35" s="74">
        <f>SUMIFS(разходи!$L:$L,разходи!$E:$E,'ПП Февруари'!$C$35,разходи!$M:$M,'ПП Февруари'!K2)</f>
        <v>0</v>
      </c>
      <c r="L35" s="74">
        <f>SUMIFS(разходи!$L:$L,разходи!$E:$E,'ПП Февруари'!$C$35,разходи!$M:$M,'ПП Февруари'!L2)</f>
        <v>0</v>
      </c>
      <c r="M35" s="74">
        <f>SUMIFS(разходи!$L:$L,разходи!$E:$E,'ПП Февруари'!$C$35,разходи!$M:$M,'ПП Февруари'!M2)</f>
        <v>0</v>
      </c>
      <c r="N35" s="76">
        <f>SUMIFS(разходи!$L:$L,разходи!$E:$E,'ПП Февруари'!$C$35,разходи!$M:$M,'ПП Февруари'!N2)</f>
        <v>0</v>
      </c>
      <c r="O35" s="76">
        <f>SUMIFS(разходи!$L:$L,разходи!$E:$E,'ПП Февруари'!$C$35,разходи!$M:$M,'ПП Февруари'!O2)</f>
        <v>0</v>
      </c>
      <c r="P35" s="74">
        <f>SUMIFS(разходи!$L:$L,разходи!$E:$E,'ПП Февруари'!$C$35,разходи!$M:$M,'ПП Февруари'!P2)</f>
        <v>0</v>
      </c>
      <c r="Q35" s="74">
        <f>SUMIFS(разходи!$L:$L,разходи!$E:$E,'ПП Февруари'!$C$35,разходи!$M:$M,'ПП Февруари'!Q2)</f>
        <v>0</v>
      </c>
      <c r="R35" s="74">
        <f>SUMIFS(разходи!$L:$L,разходи!$E:$E,'ПП Февруари'!$C$35,разходи!$M:$M,'ПП Февруари'!R2)</f>
        <v>0</v>
      </c>
      <c r="S35" s="74">
        <f>SUMIFS(разходи!$L:$L,разходи!$E:$E,'ПП Февруари'!$C$35,разходи!$M:$M,'ПП Февруари'!S2)</f>
        <v>0</v>
      </c>
      <c r="T35" s="74">
        <f>SUMIFS(разходи!$L:$L,разходи!$E:$E,'ПП Февруари'!$C$35,разходи!$M:$M,'ПП Февруари'!T2)</f>
        <v>0</v>
      </c>
      <c r="U35" s="76">
        <f>SUMIFS(разходи!$L:$L,разходи!$E:$E,'ПП Февруари'!$C$35,разходи!$M:$M,'ПП Февруари'!U2)</f>
        <v>0</v>
      </c>
      <c r="V35" s="76">
        <f>SUMIFS(разходи!$L:$L,разходи!$E:$E,'ПП Февруари'!$C$35,разходи!$M:$M,'ПП Февруари'!V2)</f>
        <v>0</v>
      </c>
      <c r="W35" s="74">
        <f>SUMIFS(разходи!$L:$L,разходи!$E:$E,'ПП Февруари'!$C$35,разходи!$M:$M,'ПП Февруари'!W2)</f>
        <v>0</v>
      </c>
      <c r="X35" s="74">
        <f>SUMIFS(разходи!$L:$L,разходи!$E:$E,'ПП Февруари'!$C$35,разходи!$M:$M,'ПП Февруари'!X2)</f>
        <v>0</v>
      </c>
      <c r="Y35" s="74">
        <f>SUMIFS(разходи!$L:$L,разходи!$E:$E,'ПП Февруари'!$C$35,разходи!$M:$M,'ПП Февруари'!Y2)</f>
        <v>0</v>
      </c>
      <c r="Z35" s="74">
        <f>SUMIFS(разходи!$L:$L,разходи!$E:$E,'ПП Февруари'!$C$35,разходи!$M:$M,'ПП Февруари'!Z2)</f>
        <v>0</v>
      </c>
      <c r="AA35" s="74">
        <f>SUMIFS(разходи!$L:$L,разходи!$E:$E,'ПП Февруари'!$C$35,разходи!$M:$M,'ПП Февруари'!AA2)</f>
        <v>0</v>
      </c>
      <c r="AB35" s="76">
        <f>SUMIFS(разходи!$L:$L,разходи!$E:$E,'ПП Февруари'!$C$35,разходи!$M:$M,'ПП Февруари'!AB2)</f>
        <v>0</v>
      </c>
      <c r="AC35" s="76">
        <f>SUMIFS(разходи!$L:$L,разходи!$E:$E,'ПП Февруари'!$C$35,разходи!$M:$M,'ПП Февруари'!AC2)</f>
        <v>0</v>
      </c>
      <c r="AD35" s="74">
        <f>SUMIFS(разходи!$L:$L,разходи!$E:$E,'ПП Февруари'!$C$35,разходи!$M:$M,'ПП Февруари'!AD2)</f>
        <v>0</v>
      </c>
      <c r="AE35" s="74">
        <f>SUMIFS(разходи!$L:$L,разходи!$E:$E,'ПП Февруари'!$C$35,разходи!$M:$M,'ПП Февруари'!AE2)</f>
        <v>0</v>
      </c>
      <c r="AF35" s="74">
        <f>SUMIFS(разходи!$L:$L,разходи!$E:$E,'ПП Февруари'!$C$35,разходи!$M:$M,'ПП Февруари'!AF2)</f>
        <v>0</v>
      </c>
      <c r="AG35" s="74">
        <f>SUMIFS(разходи!$L:$L,разходи!$E:$E,'ПП Февруари'!$C$35,разходи!$M:$M,'ПП Февруари'!AG2)</f>
        <v>0</v>
      </c>
      <c r="AH35" s="61">
        <f t="shared" ref="AH35:AH66" si="17">SUM(E35:AG35)</f>
        <v>0</v>
      </c>
      <c r="AI35" s="69">
        <f t="shared" ref="AI35:AI66" si="18">+D35-AH35</f>
        <v>0</v>
      </c>
    </row>
    <row r="36" spans="1:35" s="4" customFormat="1" ht="20.100000000000001" customHeight="1" x14ac:dyDescent="0.3">
      <c r="A36" s="9"/>
      <c r="B36" s="7">
        <v>3</v>
      </c>
      <c r="C36" s="10" t="s">
        <v>861</v>
      </c>
      <c r="D36" s="70"/>
      <c r="E36" s="70">
        <f t="shared" ref="E36:AG36" si="19">SUM(E37:E40)</f>
        <v>0</v>
      </c>
      <c r="F36" s="74">
        <f t="shared" si="19"/>
        <v>0</v>
      </c>
      <c r="G36" s="76">
        <f t="shared" si="19"/>
        <v>0</v>
      </c>
      <c r="H36" s="76">
        <f t="shared" si="19"/>
        <v>0</v>
      </c>
      <c r="I36" s="74">
        <f t="shared" si="19"/>
        <v>0</v>
      </c>
      <c r="J36" s="74">
        <f t="shared" si="19"/>
        <v>0</v>
      </c>
      <c r="K36" s="74">
        <f t="shared" si="19"/>
        <v>0</v>
      </c>
      <c r="L36" s="74">
        <f t="shared" si="19"/>
        <v>0</v>
      </c>
      <c r="M36" s="74">
        <f t="shared" si="19"/>
        <v>0</v>
      </c>
      <c r="N36" s="76">
        <f t="shared" si="19"/>
        <v>0</v>
      </c>
      <c r="O36" s="76">
        <f t="shared" si="19"/>
        <v>0</v>
      </c>
      <c r="P36" s="74">
        <f t="shared" si="19"/>
        <v>0</v>
      </c>
      <c r="Q36" s="74">
        <f t="shared" si="19"/>
        <v>0</v>
      </c>
      <c r="R36" s="74">
        <f t="shared" si="19"/>
        <v>0</v>
      </c>
      <c r="S36" s="74">
        <f t="shared" si="19"/>
        <v>0</v>
      </c>
      <c r="T36" s="74">
        <f t="shared" si="19"/>
        <v>0</v>
      </c>
      <c r="U36" s="76">
        <f t="shared" si="19"/>
        <v>0</v>
      </c>
      <c r="V36" s="76">
        <f t="shared" si="19"/>
        <v>0</v>
      </c>
      <c r="W36" s="74">
        <f t="shared" si="19"/>
        <v>0</v>
      </c>
      <c r="X36" s="74">
        <f t="shared" si="19"/>
        <v>0</v>
      </c>
      <c r="Y36" s="74">
        <f t="shared" si="19"/>
        <v>0</v>
      </c>
      <c r="Z36" s="74">
        <f t="shared" si="19"/>
        <v>0</v>
      </c>
      <c r="AA36" s="74">
        <f t="shared" si="19"/>
        <v>0</v>
      </c>
      <c r="AB36" s="76">
        <f t="shared" si="19"/>
        <v>0</v>
      </c>
      <c r="AC36" s="76">
        <f t="shared" si="19"/>
        <v>0</v>
      </c>
      <c r="AD36" s="74">
        <f t="shared" si="19"/>
        <v>0</v>
      </c>
      <c r="AE36" s="74">
        <f t="shared" si="19"/>
        <v>0</v>
      </c>
      <c r="AF36" s="74">
        <f t="shared" si="19"/>
        <v>0</v>
      </c>
      <c r="AG36" s="74">
        <f t="shared" si="19"/>
        <v>0</v>
      </c>
      <c r="AH36" s="61">
        <f t="shared" si="17"/>
        <v>0</v>
      </c>
      <c r="AI36" s="62">
        <f t="shared" si="18"/>
        <v>0</v>
      </c>
    </row>
    <row r="37" spans="1:35" s="21" customFormat="1" ht="20.100000000000001" customHeight="1" outlineLevel="1" x14ac:dyDescent="0.3">
      <c r="A37" s="27"/>
      <c r="B37" s="22"/>
      <c r="C37" s="8" t="s">
        <v>462</v>
      </c>
      <c r="D37" s="68"/>
      <c r="E37" s="59">
        <f>SUMIFS(разходи!$L:$L,разходи!$E:$E,'ПП Февруари'!$C$37,разходи!$M:$M,'ПП Февруари'!E2)</f>
        <v>0</v>
      </c>
      <c r="F37" s="74">
        <f>SUMIFS(разходи!$L:$L,разходи!$E:$E,'ПП Февруари'!$C$37,разходи!$M:$M,'ПП Февруари'!F2)</f>
        <v>0</v>
      </c>
      <c r="G37" s="76">
        <f>SUMIFS(разходи!$L:$L,разходи!$E:$E,'ПП Февруари'!$C$37,разходи!$M:$M,'ПП Февруари'!G2)</f>
        <v>0</v>
      </c>
      <c r="H37" s="76">
        <f>SUMIFS(разходи!$L:$L,разходи!$E:$E,'ПП Февруари'!$C$37,разходи!$M:$M,'ПП Февруари'!H2)</f>
        <v>0</v>
      </c>
      <c r="I37" s="74">
        <f>SUMIFS(разходи!$L:$L,разходи!$E:$E,'ПП Февруари'!$C$37,разходи!$M:$M,'ПП Февруари'!I2)</f>
        <v>0</v>
      </c>
      <c r="J37" s="74">
        <f>SUMIFS(разходи!$L:$L,разходи!$E:$E,'ПП Февруари'!$C$37,разходи!$M:$M,'ПП Февруари'!J2)</f>
        <v>0</v>
      </c>
      <c r="K37" s="74">
        <f>SUMIFS(разходи!$L:$L,разходи!$E:$E,'ПП Февруари'!$C$37,разходи!$M:$M,'ПП Февруари'!K2)</f>
        <v>0</v>
      </c>
      <c r="L37" s="74">
        <f>SUMIFS(разходи!$L:$L,разходи!$E:$E,'ПП Февруари'!$C$37,разходи!$M:$M,'ПП Февруари'!L2)</f>
        <v>0</v>
      </c>
      <c r="M37" s="74">
        <f>SUMIFS(разходи!$L:$L,разходи!$E:$E,'ПП Февруари'!$C$37,разходи!$M:$M,'ПП Февруари'!M2)</f>
        <v>0</v>
      </c>
      <c r="N37" s="76">
        <f>SUMIFS(разходи!$L:$L,разходи!$E:$E,'ПП Февруари'!$C$37,разходи!$M:$M,'ПП Февруари'!N2)</f>
        <v>0</v>
      </c>
      <c r="O37" s="76">
        <f>SUMIFS(разходи!$L:$L,разходи!$E:$E,'ПП Февруари'!$C$37,разходи!$M:$M,'ПП Февруари'!O2)</f>
        <v>0</v>
      </c>
      <c r="P37" s="74">
        <f>SUMIFS(разходи!$L:$L,разходи!$E:$E,'ПП Февруари'!$C$37,разходи!$M:$M,'ПП Февруари'!P2)</f>
        <v>0</v>
      </c>
      <c r="Q37" s="74">
        <f>SUMIFS(разходи!$L:$L,разходи!$E:$E,'ПП Февруари'!$C$37,разходи!$M:$M,'ПП Февруари'!Q2)</f>
        <v>0</v>
      </c>
      <c r="R37" s="74">
        <f>SUMIFS(разходи!$L:$L,разходи!$E:$E,'ПП Февруари'!$C$37,разходи!$M:$M,'ПП Февруари'!R2)</f>
        <v>0</v>
      </c>
      <c r="S37" s="74">
        <f>SUMIFS(разходи!$L:$L,разходи!$E:$E,'ПП Февруари'!$C$37,разходи!$M:$M,'ПП Февруари'!S2)</f>
        <v>0</v>
      </c>
      <c r="T37" s="74">
        <f>SUMIFS(разходи!$L:$L,разходи!$E:$E,'ПП Февруари'!$C$37,разходи!$M:$M,'ПП Февруари'!T2)</f>
        <v>0</v>
      </c>
      <c r="U37" s="76">
        <f>SUMIFS(разходи!$L:$L,разходи!$E:$E,'ПП Февруари'!$C$37,разходи!$M:$M,'ПП Февруари'!U2)</f>
        <v>0</v>
      </c>
      <c r="V37" s="76">
        <f>SUMIFS(разходи!$L:$L,разходи!$E:$E,'ПП Февруари'!$C$37,разходи!$M:$M,'ПП Февруари'!V2)</f>
        <v>0</v>
      </c>
      <c r="W37" s="74">
        <f>SUMIFS(разходи!$L:$L,разходи!$E:$E,'ПП Февруари'!$C$37,разходи!$M:$M,'ПП Февруари'!W2)</f>
        <v>0</v>
      </c>
      <c r="X37" s="74">
        <f>SUMIFS(разходи!$L:$L,разходи!$E:$E,'ПП Февруари'!$C$37,разходи!$M:$M,'ПП Февруари'!X2)</f>
        <v>0</v>
      </c>
      <c r="Y37" s="74">
        <f>SUMIFS(разходи!$L:$L,разходи!$E:$E,'ПП Февруари'!$C$37,разходи!$M:$M,'ПП Февруари'!Y2)</f>
        <v>0</v>
      </c>
      <c r="Z37" s="74">
        <f>SUMIFS(разходи!$L:$L,разходи!$E:$E,'ПП Февруари'!$C$37,разходи!$M:$M,'ПП Февруари'!Z2)</f>
        <v>0</v>
      </c>
      <c r="AA37" s="74">
        <f>SUMIFS(разходи!$L:$L,разходи!$E:$E,'ПП Февруари'!$C$37,разходи!$M:$M,'ПП Февруари'!AA2)</f>
        <v>0</v>
      </c>
      <c r="AB37" s="76">
        <f>SUMIFS(разходи!$L:$L,разходи!$E:$E,'ПП Февруари'!$C$37,разходи!$M:$M,'ПП Февруари'!AB2)</f>
        <v>0</v>
      </c>
      <c r="AC37" s="76">
        <f>SUMIFS(разходи!$L:$L,разходи!$E:$E,'ПП Февруари'!$C$37,разходи!$M:$M,'ПП Февруари'!AC2)</f>
        <v>0</v>
      </c>
      <c r="AD37" s="74">
        <f>SUMIFS(разходи!$L:$L,разходи!$E:$E,'ПП Февруари'!$C$37,разходи!$M:$M,'ПП Февруари'!AD2)</f>
        <v>0</v>
      </c>
      <c r="AE37" s="74">
        <f>SUMIFS(разходи!$L:$L,разходи!$E:$E,'ПП Февруари'!$C$37,разходи!$M:$M,'ПП Февруари'!AE2)</f>
        <v>0</v>
      </c>
      <c r="AF37" s="74">
        <f>SUMIFS(разходи!$L:$L,разходи!$E:$E,'ПП Февруари'!$C$37,разходи!$M:$M,'ПП Февруари'!AF2)</f>
        <v>0</v>
      </c>
      <c r="AG37" s="74">
        <f>SUMIFS(разходи!$L:$L,разходи!$E:$E,'ПП Февруари'!$C$37,разходи!$M:$M,'ПП Февруари'!AG2)</f>
        <v>0</v>
      </c>
      <c r="AH37" s="61">
        <f t="shared" si="17"/>
        <v>0</v>
      </c>
      <c r="AI37" s="69">
        <f t="shared" si="18"/>
        <v>0</v>
      </c>
    </row>
    <row r="38" spans="1:35" s="21" customFormat="1" ht="20.100000000000001" customHeight="1" outlineLevel="1" x14ac:dyDescent="0.3">
      <c r="A38" s="27"/>
      <c r="B38" s="22"/>
      <c r="C38" s="8" t="s">
        <v>463</v>
      </c>
      <c r="D38" s="68"/>
      <c r="E38" s="59">
        <f>SUMIFS(разходи!$L:$L,разходи!$E:$E,'ПП Февруари'!$C$38,разходи!$M:$M,'ПП Февруари'!E2)</f>
        <v>0</v>
      </c>
      <c r="F38" s="74">
        <f>SUMIFS(разходи!$L:$L,разходи!$E:$E,'ПП Февруари'!$C$38,разходи!$M:$M,'ПП Февруари'!F2)</f>
        <v>0</v>
      </c>
      <c r="G38" s="76">
        <f>SUMIFS(разходи!$L:$L,разходи!$E:$E,'ПП Февруари'!$C$38,разходи!$M:$M,'ПП Февруари'!G2)</f>
        <v>0</v>
      </c>
      <c r="H38" s="76">
        <f>SUMIFS(разходи!$L:$L,разходи!$E:$E,'ПП Февруари'!$C$38,разходи!$M:$M,'ПП Февруари'!H2)</f>
        <v>0</v>
      </c>
      <c r="I38" s="74">
        <f>SUMIFS(разходи!$L:$L,разходи!$E:$E,'ПП Февруари'!$C$38,разходи!$M:$M,'ПП Февруари'!I2)</f>
        <v>0</v>
      </c>
      <c r="J38" s="74">
        <f>SUMIFS(разходи!$L:$L,разходи!$E:$E,'ПП Февруари'!$C$38,разходи!$M:$M,'ПП Февруари'!J2)</f>
        <v>0</v>
      </c>
      <c r="K38" s="74">
        <f>SUMIFS(разходи!$L:$L,разходи!$E:$E,'ПП Февруари'!$C$38,разходи!$M:$M,'ПП Февруари'!K2)</f>
        <v>0</v>
      </c>
      <c r="L38" s="74">
        <f>SUMIFS(разходи!$L:$L,разходи!$E:$E,'ПП Февруари'!$C$38,разходи!$M:$M,'ПП Февруари'!L2)</f>
        <v>0</v>
      </c>
      <c r="M38" s="74">
        <f>SUMIFS(разходи!$L:$L,разходи!$E:$E,'ПП Февруари'!$C$38,разходи!$M:$M,'ПП Февруари'!M2)</f>
        <v>0</v>
      </c>
      <c r="N38" s="76">
        <f>SUMIFS(разходи!$L:$L,разходи!$E:$E,'ПП Февруари'!$C$38,разходи!$M:$M,'ПП Февруари'!N2)</f>
        <v>0</v>
      </c>
      <c r="O38" s="76">
        <f>SUMIFS(разходи!$L:$L,разходи!$E:$E,'ПП Февруари'!$C$38,разходи!$M:$M,'ПП Февруари'!O2)</f>
        <v>0</v>
      </c>
      <c r="P38" s="74">
        <f>SUMIFS(разходи!$L:$L,разходи!$E:$E,'ПП Февруари'!$C$38,разходи!$M:$M,'ПП Февруари'!P2)</f>
        <v>0</v>
      </c>
      <c r="Q38" s="74">
        <f>SUMIFS(разходи!$L:$L,разходи!$E:$E,'ПП Февруари'!$C$38,разходи!$M:$M,'ПП Февруари'!Q2)</f>
        <v>0</v>
      </c>
      <c r="R38" s="74">
        <f>SUMIFS(разходи!$L:$L,разходи!$E:$E,'ПП Февруари'!$C$38,разходи!$M:$M,'ПП Февруари'!R2)</f>
        <v>0</v>
      </c>
      <c r="S38" s="74">
        <f>SUMIFS(разходи!$L:$L,разходи!$E:$E,'ПП Февруари'!$C$38,разходи!$M:$M,'ПП Февруари'!S2)</f>
        <v>0</v>
      </c>
      <c r="T38" s="74">
        <f>SUMIFS(разходи!$L:$L,разходи!$E:$E,'ПП Февруари'!$C$38,разходи!$M:$M,'ПП Февруари'!T2)</f>
        <v>0</v>
      </c>
      <c r="U38" s="76">
        <f>SUMIFS(разходи!$L:$L,разходи!$E:$E,'ПП Февруари'!$C$38,разходи!$M:$M,'ПП Февруари'!U2)</f>
        <v>0</v>
      </c>
      <c r="V38" s="76">
        <f>SUMIFS(разходи!$L:$L,разходи!$E:$E,'ПП Февруари'!$C$38,разходи!$M:$M,'ПП Февруари'!V2)</f>
        <v>0</v>
      </c>
      <c r="W38" s="74">
        <f>SUMIFS(разходи!$L:$L,разходи!$E:$E,'ПП Февруари'!$C$38,разходи!$M:$M,'ПП Февруари'!W2)</f>
        <v>0</v>
      </c>
      <c r="X38" s="74">
        <f>SUMIFS(разходи!$L:$L,разходи!$E:$E,'ПП Февруари'!$C$38,разходи!$M:$M,'ПП Февруари'!X2)</f>
        <v>0</v>
      </c>
      <c r="Y38" s="74">
        <f>SUMIFS(разходи!$L:$L,разходи!$E:$E,'ПП Февруари'!$C$38,разходи!$M:$M,'ПП Февруари'!Y2)</f>
        <v>0</v>
      </c>
      <c r="Z38" s="74">
        <f>SUMIFS(разходи!$L:$L,разходи!$E:$E,'ПП Февруари'!$C$38,разходи!$M:$M,'ПП Февруари'!Z2)</f>
        <v>0</v>
      </c>
      <c r="AA38" s="74">
        <f>SUMIFS(разходи!$L:$L,разходи!$E:$E,'ПП Февруари'!$C$38,разходи!$M:$M,'ПП Февруари'!AA2)</f>
        <v>0</v>
      </c>
      <c r="AB38" s="76">
        <f>SUMIFS(разходи!$L:$L,разходи!$E:$E,'ПП Февруари'!$C$38,разходи!$M:$M,'ПП Февруари'!AB2)</f>
        <v>0</v>
      </c>
      <c r="AC38" s="76">
        <f>SUMIFS(разходи!$L:$L,разходи!$E:$E,'ПП Февруари'!$C$38,разходи!$M:$M,'ПП Февруари'!AC2)</f>
        <v>0</v>
      </c>
      <c r="AD38" s="74">
        <f>SUMIFS(разходи!$L:$L,разходи!$E:$E,'ПП Февруари'!$C$38,разходи!$M:$M,'ПП Февруари'!AD2)</f>
        <v>0</v>
      </c>
      <c r="AE38" s="74">
        <f>SUMIFS(разходи!$L:$L,разходи!$E:$E,'ПП Февруари'!$C$38,разходи!$M:$M,'ПП Февруари'!AE2)</f>
        <v>0</v>
      </c>
      <c r="AF38" s="74">
        <f>SUMIFS(разходи!$L:$L,разходи!$E:$E,'ПП Февруари'!$C$38,разходи!$M:$M,'ПП Февруари'!AF2)</f>
        <v>0</v>
      </c>
      <c r="AG38" s="74">
        <f>SUMIFS(разходи!$L:$L,разходи!$E:$E,'ПП Февруари'!$C$38,разходи!$M:$M,'ПП Февруари'!AG2)</f>
        <v>0</v>
      </c>
      <c r="AH38" s="61">
        <f t="shared" si="17"/>
        <v>0</v>
      </c>
      <c r="AI38" s="69">
        <f t="shared" si="18"/>
        <v>0</v>
      </c>
    </row>
    <row r="39" spans="1:35" s="21" customFormat="1" ht="20.100000000000001" customHeight="1" outlineLevel="1" x14ac:dyDescent="0.3">
      <c r="A39" s="27"/>
      <c r="B39" s="22"/>
      <c r="C39" s="8" t="s">
        <v>464</v>
      </c>
      <c r="D39" s="68"/>
      <c r="E39" s="59">
        <f>SUMIFS(разходи!$L:$L,разходи!$E:$E,'ПП Февруари'!$C$39,разходи!$M:$M,'ПП Февруари'!E2)</f>
        <v>0</v>
      </c>
      <c r="F39" s="74">
        <f>SUMIFS(разходи!$L:$L,разходи!$E:$E,'ПП Февруари'!$C$39,разходи!$M:$M,'ПП Февруари'!F2)</f>
        <v>0</v>
      </c>
      <c r="G39" s="76">
        <f>SUMIFS(разходи!$L:$L,разходи!$E:$E,'ПП Февруари'!$C$39,разходи!$M:$M,'ПП Февруари'!G2)</f>
        <v>0</v>
      </c>
      <c r="H39" s="76">
        <f>SUMIFS(разходи!$L:$L,разходи!$E:$E,'ПП Февруари'!$C$39,разходи!$M:$M,'ПП Февруари'!H2)</f>
        <v>0</v>
      </c>
      <c r="I39" s="74">
        <f>SUMIFS(разходи!$L:$L,разходи!$E:$E,'ПП Февруари'!$C$39,разходи!$M:$M,'ПП Февруари'!I2)</f>
        <v>0</v>
      </c>
      <c r="J39" s="74">
        <f>SUMIFS(разходи!$L:$L,разходи!$E:$E,'ПП Февруари'!$C$39,разходи!$M:$M,'ПП Февруари'!J2)</f>
        <v>0</v>
      </c>
      <c r="K39" s="74">
        <f>SUMIFS(разходи!$L:$L,разходи!$E:$E,'ПП Февруари'!$C$39,разходи!$M:$M,'ПП Февруари'!K2)</f>
        <v>0</v>
      </c>
      <c r="L39" s="74">
        <f>SUMIFS(разходи!$L:$L,разходи!$E:$E,'ПП Февруари'!$C$39,разходи!$M:$M,'ПП Февруари'!L2)</f>
        <v>0</v>
      </c>
      <c r="M39" s="74">
        <f>SUMIFS(разходи!$L:$L,разходи!$E:$E,'ПП Февруари'!$C$39,разходи!$M:$M,'ПП Февруари'!M2)</f>
        <v>0</v>
      </c>
      <c r="N39" s="76">
        <f>SUMIFS(разходи!$L:$L,разходи!$E:$E,'ПП Февруари'!$C$39,разходи!$M:$M,'ПП Февруари'!N2)</f>
        <v>0</v>
      </c>
      <c r="O39" s="76">
        <f>SUMIFS(разходи!$L:$L,разходи!$E:$E,'ПП Февруари'!$C$39,разходи!$M:$M,'ПП Февруари'!O2)</f>
        <v>0</v>
      </c>
      <c r="P39" s="74">
        <f>SUMIFS(разходи!$L:$L,разходи!$E:$E,'ПП Февруари'!$C$39,разходи!$M:$M,'ПП Февруари'!P2)</f>
        <v>0</v>
      </c>
      <c r="Q39" s="74">
        <f>SUMIFS(разходи!$L:$L,разходи!$E:$E,'ПП Февруари'!$C$39,разходи!$M:$M,'ПП Февруари'!Q2)</f>
        <v>0</v>
      </c>
      <c r="R39" s="74">
        <f>SUMIFS(разходи!$L:$L,разходи!$E:$E,'ПП Февруари'!$C$39,разходи!$M:$M,'ПП Февруари'!R2)</f>
        <v>0</v>
      </c>
      <c r="S39" s="74">
        <f>SUMIFS(разходи!$L:$L,разходи!$E:$E,'ПП Февруари'!$C$39,разходи!$M:$M,'ПП Февруари'!S2)</f>
        <v>0</v>
      </c>
      <c r="T39" s="74">
        <f>SUMIFS(разходи!$L:$L,разходи!$E:$E,'ПП Февруари'!$C$39,разходи!$M:$M,'ПП Февруари'!T2)</f>
        <v>0</v>
      </c>
      <c r="U39" s="76">
        <f>SUMIFS(разходи!$L:$L,разходи!$E:$E,'ПП Февруари'!$C$39,разходи!$M:$M,'ПП Февруари'!U2)</f>
        <v>0</v>
      </c>
      <c r="V39" s="76">
        <f>SUMIFS(разходи!$L:$L,разходи!$E:$E,'ПП Февруари'!$C$39,разходи!$M:$M,'ПП Февруари'!V2)</f>
        <v>0</v>
      </c>
      <c r="W39" s="74">
        <f>SUMIFS(разходи!$L:$L,разходи!$E:$E,'ПП Февруари'!$C$39,разходи!$M:$M,'ПП Февруари'!W2)</f>
        <v>0</v>
      </c>
      <c r="X39" s="74">
        <f>SUMIFS(разходи!$L:$L,разходи!$E:$E,'ПП Февруари'!$C$39,разходи!$M:$M,'ПП Февруари'!X2)</f>
        <v>0</v>
      </c>
      <c r="Y39" s="74">
        <f>SUMIFS(разходи!$L:$L,разходи!$E:$E,'ПП Февруари'!$C$39,разходи!$M:$M,'ПП Февруари'!Y2)</f>
        <v>0</v>
      </c>
      <c r="Z39" s="74">
        <f>SUMIFS(разходи!$L:$L,разходи!$E:$E,'ПП Февруари'!$C$39,разходи!$M:$M,'ПП Февруари'!Z2)</f>
        <v>0</v>
      </c>
      <c r="AA39" s="74">
        <f>SUMIFS(разходи!$L:$L,разходи!$E:$E,'ПП Февруари'!$C$39,разходи!$M:$M,'ПП Февруари'!AA2)</f>
        <v>0</v>
      </c>
      <c r="AB39" s="76">
        <f>SUMIFS(разходи!$L:$L,разходи!$E:$E,'ПП Февруари'!$C$39,разходи!$M:$M,'ПП Февруари'!AB2)</f>
        <v>0</v>
      </c>
      <c r="AC39" s="76">
        <f>SUMIFS(разходи!$L:$L,разходи!$E:$E,'ПП Февруари'!$C$39,разходи!$M:$M,'ПП Февруари'!AC2)</f>
        <v>0</v>
      </c>
      <c r="AD39" s="74">
        <f>SUMIFS(разходи!$L:$L,разходи!$E:$E,'ПП Февруари'!$C$39,разходи!$M:$M,'ПП Февруари'!AD2)</f>
        <v>0</v>
      </c>
      <c r="AE39" s="74">
        <f>SUMIFS(разходи!$L:$L,разходи!$E:$E,'ПП Февруари'!$C$39,разходи!$M:$M,'ПП Февруари'!AE2)</f>
        <v>0</v>
      </c>
      <c r="AF39" s="74">
        <f>SUMIFS(разходи!$L:$L,разходи!$E:$E,'ПП Февруари'!$C$39,разходи!$M:$M,'ПП Февруари'!AF2)</f>
        <v>0</v>
      </c>
      <c r="AG39" s="74">
        <f>SUMIFS(разходи!$L:$L,разходи!$E:$E,'ПП Февруари'!$C$39,разходи!$M:$M,'ПП Февруари'!AG2)</f>
        <v>0</v>
      </c>
      <c r="AH39" s="61">
        <f t="shared" si="17"/>
        <v>0</v>
      </c>
      <c r="AI39" s="69">
        <f t="shared" si="18"/>
        <v>0</v>
      </c>
    </row>
    <row r="40" spans="1:35" s="21" customFormat="1" ht="20.100000000000001" customHeight="1" outlineLevel="1" x14ac:dyDescent="0.3">
      <c r="A40" s="27"/>
      <c r="B40" s="22"/>
      <c r="C40" s="8" t="s">
        <v>465</v>
      </c>
      <c r="D40" s="68"/>
      <c r="E40" s="59">
        <f>SUMIFS(разходи!$L:$L,разходи!$E:$E,'ПП Февруари'!$C$40,разходи!$M:$M,'ПП Февруари'!E2)</f>
        <v>0</v>
      </c>
      <c r="F40" s="74">
        <f>SUMIFS(разходи!$L:$L,разходи!$E:$E,'ПП Февруари'!$C$40,разходи!$M:$M,'ПП Февруари'!F2)</f>
        <v>0</v>
      </c>
      <c r="G40" s="76">
        <f>SUMIFS(разходи!$L:$L,разходи!$E:$E,'ПП Февруари'!$C$40,разходи!$M:$M,'ПП Февруари'!G2)</f>
        <v>0</v>
      </c>
      <c r="H40" s="76">
        <f>SUMIFS(разходи!$L:$L,разходи!$E:$E,'ПП Февруари'!$C$40,разходи!$M:$M,'ПП Февруари'!H2)</f>
        <v>0</v>
      </c>
      <c r="I40" s="74">
        <f>SUMIFS(разходи!$L:$L,разходи!$E:$E,'ПП Февруари'!$C$40,разходи!$M:$M,'ПП Февруари'!I2)</f>
        <v>0</v>
      </c>
      <c r="J40" s="74">
        <f>SUMIFS(разходи!$L:$L,разходи!$E:$E,'ПП Февруари'!$C$40,разходи!$M:$M,'ПП Февруари'!J2)</f>
        <v>0</v>
      </c>
      <c r="K40" s="74">
        <f>SUMIFS(разходи!$L:$L,разходи!$E:$E,'ПП Февруари'!$C$40,разходи!$M:$M,'ПП Февруари'!K2)</f>
        <v>0</v>
      </c>
      <c r="L40" s="74">
        <f>SUMIFS(разходи!$L:$L,разходи!$E:$E,'ПП Февруари'!$C$40,разходи!$M:$M,'ПП Февруари'!L2)</f>
        <v>0</v>
      </c>
      <c r="M40" s="74">
        <f>SUMIFS(разходи!$L:$L,разходи!$E:$E,'ПП Февруари'!$C$40,разходи!$M:$M,'ПП Февруари'!M2)</f>
        <v>0</v>
      </c>
      <c r="N40" s="76">
        <f>SUMIFS(разходи!$L:$L,разходи!$E:$E,'ПП Февруари'!$C$40,разходи!$M:$M,'ПП Февруари'!N2)</f>
        <v>0</v>
      </c>
      <c r="O40" s="76">
        <f>SUMIFS(разходи!$L:$L,разходи!$E:$E,'ПП Февруари'!$C$40,разходи!$M:$M,'ПП Февруари'!O2)</f>
        <v>0</v>
      </c>
      <c r="P40" s="74">
        <f>SUMIFS(разходи!$L:$L,разходи!$E:$E,'ПП Февруари'!$C$40,разходи!$M:$M,'ПП Февруари'!P2)</f>
        <v>0</v>
      </c>
      <c r="Q40" s="74">
        <f>SUMIFS(разходи!$L:$L,разходи!$E:$E,'ПП Февруари'!$C$40,разходи!$M:$M,'ПП Февруари'!Q2)</f>
        <v>0</v>
      </c>
      <c r="R40" s="74">
        <f>SUMIFS(разходи!$L:$L,разходи!$E:$E,'ПП Февруари'!$C$40,разходи!$M:$M,'ПП Февруари'!R2)</f>
        <v>0</v>
      </c>
      <c r="S40" s="74">
        <f>SUMIFS(разходи!$L:$L,разходи!$E:$E,'ПП Февруари'!$C$40,разходи!$M:$M,'ПП Февруари'!S2)</f>
        <v>0</v>
      </c>
      <c r="T40" s="74">
        <f>SUMIFS(разходи!$L:$L,разходи!$E:$E,'ПП Февруари'!$C$40,разходи!$M:$M,'ПП Февруари'!T2)</f>
        <v>0</v>
      </c>
      <c r="U40" s="76">
        <f>SUMIFS(разходи!$L:$L,разходи!$E:$E,'ПП Февруари'!$C$40,разходи!$M:$M,'ПП Февруари'!U2)</f>
        <v>0</v>
      </c>
      <c r="V40" s="76">
        <f>SUMIFS(разходи!$L:$L,разходи!$E:$E,'ПП Февруари'!$C$40,разходи!$M:$M,'ПП Февруари'!V2)</f>
        <v>0</v>
      </c>
      <c r="W40" s="74">
        <f>SUMIFS(разходи!$L:$L,разходи!$E:$E,'ПП Февруари'!$C$40,разходи!$M:$M,'ПП Февруари'!W2)</f>
        <v>0</v>
      </c>
      <c r="X40" s="74">
        <f>SUMIFS(разходи!$L:$L,разходи!$E:$E,'ПП Февруари'!$C$40,разходи!$M:$M,'ПП Февруари'!X2)</f>
        <v>0</v>
      </c>
      <c r="Y40" s="74">
        <f>SUMIFS(разходи!$L:$L,разходи!$E:$E,'ПП Февруари'!$C$40,разходи!$M:$M,'ПП Февруари'!Y2)</f>
        <v>0</v>
      </c>
      <c r="Z40" s="74">
        <f>SUMIFS(разходи!$L:$L,разходи!$E:$E,'ПП Февруари'!$C$40,разходи!$M:$M,'ПП Февруари'!Z2)</f>
        <v>0</v>
      </c>
      <c r="AA40" s="74">
        <f>SUMIFS(разходи!$L:$L,разходи!$E:$E,'ПП Февруари'!$C$40,разходи!$M:$M,'ПП Февруари'!AA2)</f>
        <v>0</v>
      </c>
      <c r="AB40" s="76">
        <f>SUMIFS(разходи!$L:$L,разходи!$E:$E,'ПП Февруари'!$C$40,разходи!$M:$M,'ПП Февруари'!AB2)</f>
        <v>0</v>
      </c>
      <c r="AC40" s="76">
        <f>SUMIFS(разходи!$L:$L,разходи!$E:$E,'ПП Февруари'!$C$40,разходи!$M:$M,'ПП Февруари'!AC2)</f>
        <v>0</v>
      </c>
      <c r="AD40" s="74">
        <f>SUMIFS(разходи!$L:$L,разходи!$E:$E,'ПП Февруари'!$C$40,разходи!$M:$M,'ПП Февруари'!AD2)</f>
        <v>0</v>
      </c>
      <c r="AE40" s="74">
        <f>SUMIFS(разходи!$L:$L,разходи!$E:$E,'ПП Февруари'!$C$40,разходи!$M:$M,'ПП Февруари'!AE2)</f>
        <v>0</v>
      </c>
      <c r="AF40" s="74">
        <f>SUMIFS(разходи!$L:$L,разходи!$E:$E,'ПП Февруари'!$C$40,разходи!$M:$M,'ПП Февруари'!AF2)</f>
        <v>0</v>
      </c>
      <c r="AG40" s="74">
        <f>SUMIFS(разходи!$L:$L,разходи!$E:$E,'ПП Февруари'!$C$40,разходи!$M:$M,'ПП Февруари'!AG2)</f>
        <v>0</v>
      </c>
      <c r="AH40" s="61">
        <f t="shared" si="17"/>
        <v>0</v>
      </c>
      <c r="AI40" s="69">
        <f t="shared" si="18"/>
        <v>0</v>
      </c>
    </row>
    <row r="41" spans="1:35" s="4" customFormat="1" ht="20.100000000000001" customHeight="1" x14ac:dyDescent="0.3">
      <c r="A41" s="9"/>
      <c r="B41" s="7">
        <v>4</v>
      </c>
      <c r="C41" s="8" t="s">
        <v>54</v>
      </c>
      <c r="D41" s="68"/>
      <c r="E41" s="59">
        <f>SUMIFS(разходи!$L:$L,разходи!$E:$E,'ПП Февруари'!$C$41,разходи!$M:$M,'ПП Февруари'!E2)</f>
        <v>0</v>
      </c>
      <c r="F41" s="74">
        <f>SUMIFS(разходи!$L:$L,разходи!$E:$E,'ПП Февруари'!$C$41,разходи!$M:$M,'ПП Февруари'!F2)</f>
        <v>0</v>
      </c>
      <c r="G41" s="76">
        <f>SUMIFS(разходи!$L:$L,разходи!$E:$E,'ПП Февруари'!$C$41,разходи!$M:$M,'ПП Февруари'!G2)</f>
        <v>0</v>
      </c>
      <c r="H41" s="76">
        <f>SUMIFS(разходи!$L:$L,разходи!$E:$E,'ПП Февруари'!$C$41,разходи!$M:$M,'ПП Февруари'!H2)</f>
        <v>0</v>
      </c>
      <c r="I41" s="74">
        <f>SUMIFS(разходи!$L:$L,разходи!$E:$E,'ПП Февруари'!$C$41,разходи!$M:$M,'ПП Февруари'!I2)</f>
        <v>0</v>
      </c>
      <c r="J41" s="74">
        <f>SUMIFS(разходи!$L:$L,разходи!$E:$E,'ПП Февруари'!$C$41,разходи!$M:$M,'ПП Февруари'!J2)</f>
        <v>0</v>
      </c>
      <c r="K41" s="74">
        <f>SUMIFS(разходи!$L:$L,разходи!$E:$E,'ПП Февруари'!$C$41,разходи!$M:$M,'ПП Февруари'!K2)</f>
        <v>0</v>
      </c>
      <c r="L41" s="74">
        <f>SUMIFS(разходи!$L:$L,разходи!$E:$E,'ПП Февруари'!$C$41,разходи!$M:$M,'ПП Февруари'!L2)</f>
        <v>0</v>
      </c>
      <c r="M41" s="74">
        <f>SUMIFS(разходи!$L:$L,разходи!$E:$E,'ПП Февруари'!$C$41,разходи!$M:$M,'ПП Февруари'!M2)</f>
        <v>0</v>
      </c>
      <c r="N41" s="76">
        <f>SUMIFS(разходи!$L:$L,разходи!$E:$E,'ПП Февруари'!$C$41,разходи!$M:$M,'ПП Февруари'!N2)</f>
        <v>0</v>
      </c>
      <c r="O41" s="76">
        <f>SUMIFS(разходи!$L:$L,разходи!$E:$E,'ПП Февруари'!$C$41,разходи!$M:$M,'ПП Февруари'!O2)</f>
        <v>0</v>
      </c>
      <c r="P41" s="74">
        <f>SUMIFS(разходи!$L:$L,разходи!$E:$E,'ПП Февруари'!$C$41,разходи!$M:$M,'ПП Февруари'!P2)</f>
        <v>0</v>
      </c>
      <c r="Q41" s="74">
        <f>SUMIFS(разходи!$L:$L,разходи!$E:$E,'ПП Февруари'!$C$41,разходи!$M:$M,'ПП Февруари'!Q2)</f>
        <v>0</v>
      </c>
      <c r="R41" s="74">
        <f>SUMIFS(разходи!$L:$L,разходи!$E:$E,'ПП Февруари'!$C$41,разходи!$M:$M,'ПП Февруари'!R2)</f>
        <v>0</v>
      </c>
      <c r="S41" s="74">
        <f>SUMIFS(разходи!$L:$L,разходи!$E:$E,'ПП Февруари'!$C$41,разходи!$M:$M,'ПП Февруари'!S2)</f>
        <v>0</v>
      </c>
      <c r="T41" s="74">
        <f>SUMIFS(разходи!$L:$L,разходи!$E:$E,'ПП Февруари'!$C$41,разходи!$M:$M,'ПП Февруари'!T2)</f>
        <v>0</v>
      </c>
      <c r="U41" s="76">
        <f>SUMIFS(разходи!$L:$L,разходи!$E:$E,'ПП Февруари'!$C$41,разходи!$M:$M,'ПП Февруари'!U2)</f>
        <v>0</v>
      </c>
      <c r="V41" s="76">
        <f>SUMIFS(разходи!$L:$L,разходи!$E:$E,'ПП Февруари'!$C$41,разходи!$M:$M,'ПП Февруари'!V2)</f>
        <v>0</v>
      </c>
      <c r="W41" s="74">
        <f>SUMIFS(разходи!$L:$L,разходи!$E:$E,'ПП Февруари'!$C$41,разходи!$M:$M,'ПП Февруари'!W2)</f>
        <v>0</v>
      </c>
      <c r="X41" s="74">
        <f>SUMIFS(разходи!$L:$L,разходи!$E:$E,'ПП Февруари'!$C$41,разходи!$M:$M,'ПП Февруари'!X2)</f>
        <v>0</v>
      </c>
      <c r="Y41" s="74">
        <f>SUMIFS(разходи!$L:$L,разходи!$E:$E,'ПП Февруари'!$C$41,разходи!$M:$M,'ПП Февруари'!Y2)</f>
        <v>0</v>
      </c>
      <c r="Z41" s="74">
        <f>SUMIFS(разходи!$L:$L,разходи!$E:$E,'ПП Февруари'!$C$41,разходи!$M:$M,'ПП Февруари'!Z2)</f>
        <v>0</v>
      </c>
      <c r="AA41" s="74">
        <f>SUMIFS(разходи!$L:$L,разходи!$E:$E,'ПП Февруари'!$C$41,разходи!$M:$M,'ПП Февруари'!AA2)</f>
        <v>0</v>
      </c>
      <c r="AB41" s="76">
        <f>SUMIFS(разходи!$L:$L,разходи!$E:$E,'ПП Февруари'!$C$41,разходи!$M:$M,'ПП Февруари'!AB2)</f>
        <v>0</v>
      </c>
      <c r="AC41" s="76">
        <f>SUMIFS(разходи!$L:$L,разходи!$E:$E,'ПП Февруари'!$C$41,разходи!$M:$M,'ПП Февруари'!AC2)</f>
        <v>0</v>
      </c>
      <c r="AD41" s="74">
        <f>SUMIFS(разходи!$L:$L,разходи!$E:$E,'ПП Февруари'!$C$41,разходи!$M:$M,'ПП Февруари'!AD2)</f>
        <v>0</v>
      </c>
      <c r="AE41" s="74">
        <f>SUMIFS(разходи!$L:$L,разходи!$E:$E,'ПП Февруари'!$C$41,разходи!$M:$M,'ПП Февруари'!AE2)</f>
        <v>0</v>
      </c>
      <c r="AF41" s="74">
        <f>SUMIFS(разходи!$L:$L,разходи!$E:$E,'ПП Февруари'!$C$41,разходи!$M:$M,'ПП Февруари'!AF2)</f>
        <v>0</v>
      </c>
      <c r="AG41" s="74">
        <f>SUMIFS(разходи!$L:$L,разходи!$E:$E,'ПП Февруари'!$C$41,разходи!$M:$M,'ПП Февруари'!AG2)</f>
        <v>0</v>
      </c>
      <c r="AH41" s="61">
        <f t="shared" si="17"/>
        <v>0</v>
      </c>
      <c r="AI41" s="69">
        <f t="shared" si="18"/>
        <v>0</v>
      </c>
    </row>
    <row r="42" spans="1:35" s="4" customFormat="1" ht="20.100000000000001" customHeight="1" x14ac:dyDescent="0.3">
      <c r="A42" s="9"/>
      <c r="B42" s="7">
        <v>5</v>
      </c>
      <c r="C42" s="8" t="s">
        <v>862</v>
      </c>
      <c r="D42" s="70">
        <f>SUM(D43:D56)</f>
        <v>0</v>
      </c>
      <c r="E42" s="70">
        <f t="shared" ref="E42:AG42" si="20">+E43+E48+E53+E56+E62</f>
        <v>0</v>
      </c>
      <c r="F42" s="74">
        <f t="shared" si="20"/>
        <v>0</v>
      </c>
      <c r="G42" s="76">
        <f t="shared" si="20"/>
        <v>0</v>
      </c>
      <c r="H42" s="76">
        <f t="shared" si="20"/>
        <v>0</v>
      </c>
      <c r="I42" s="74">
        <f t="shared" si="20"/>
        <v>0</v>
      </c>
      <c r="J42" s="74">
        <f t="shared" si="20"/>
        <v>0</v>
      </c>
      <c r="K42" s="74">
        <f t="shared" si="20"/>
        <v>0</v>
      </c>
      <c r="L42" s="74">
        <f t="shared" si="20"/>
        <v>0</v>
      </c>
      <c r="M42" s="74">
        <f t="shared" si="20"/>
        <v>0</v>
      </c>
      <c r="N42" s="76">
        <f t="shared" si="20"/>
        <v>0</v>
      </c>
      <c r="O42" s="76">
        <f t="shared" si="20"/>
        <v>0</v>
      </c>
      <c r="P42" s="74">
        <f t="shared" si="20"/>
        <v>0</v>
      </c>
      <c r="Q42" s="74">
        <f t="shared" si="20"/>
        <v>0</v>
      </c>
      <c r="R42" s="74">
        <f t="shared" si="20"/>
        <v>0</v>
      </c>
      <c r="S42" s="74">
        <f t="shared" si="20"/>
        <v>0</v>
      </c>
      <c r="T42" s="74">
        <f t="shared" si="20"/>
        <v>0</v>
      </c>
      <c r="U42" s="76">
        <f t="shared" si="20"/>
        <v>0</v>
      </c>
      <c r="V42" s="76">
        <f t="shared" si="20"/>
        <v>0</v>
      </c>
      <c r="W42" s="74">
        <f t="shared" si="20"/>
        <v>0</v>
      </c>
      <c r="X42" s="74">
        <f t="shared" si="20"/>
        <v>0</v>
      </c>
      <c r="Y42" s="74">
        <f t="shared" si="20"/>
        <v>0</v>
      </c>
      <c r="Z42" s="74">
        <f t="shared" si="20"/>
        <v>0</v>
      </c>
      <c r="AA42" s="74">
        <f t="shared" si="20"/>
        <v>0</v>
      </c>
      <c r="AB42" s="76">
        <f t="shared" si="20"/>
        <v>0</v>
      </c>
      <c r="AC42" s="76">
        <f t="shared" si="20"/>
        <v>0</v>
      </c>
      <c r="AD42" s="74">
        <f t="shared" si="20"/>
        <v>0</v>
      </c>
      <c r="AE42" s="74">
        <f t="shared" si="20"/>
        <v>0</v>
      </c>
      <c r="AF42" s="74">
        <f t="shared" si="20"/>
        <v>0</v>
      </c>
      <c r="AG42" s="74">
        <f t="shared" si="20"/>
        <v>0</v>
      </c>
      <c r="AH42" s="61">
        <f t="shared" si="17"/>
        <v>0</v>
      </c>
      <c r="AI42" s="62">
        <f t="shared" si="18"/>
        <v>0</v>
      </c>
    </row>
    <row r="43" spans="1:35" s="21" customFormat="1" ht="20.100000000000001" customHeight="1" outlineLevel="1" x14ac:dyDescent="0.3">
      <c r="A43" s="27"/>
      <c r="B43" s="22"/>
      <c r="C43" s="8" t="s">
        <v>863</v>
      </c>
      <c r="D43" s="68"/>
      <c r="E43" s="59">
        <f t="shared" ref="E43:AG43" si="21">SUM(E44:E47)</f>
        <v>0</v>
      </c>
      <c r="F43" s="74">
        <f t="shared" si="21"/>
        <v>0</v>
      </c>
      <c r="G43" s="76">
        <f t="shared" si="21"/>
        <v>0</v>
      </c>
      <c r="H43" s="76">
        <f t="shared" si="21"/>
        <v>0</v>
      </c>
      <c r="I43" s="74">
        <f t="shared" si="21"/>
        <v>0</v>
      </c>
      <c r="J43" s="74">
        <f t="shared" si="21"/>
        <v>0</v>
      </c>
      <c r="K43" s="74">
        <f t="shared" si="21"/>
        <v>0</v>
      </c>
      <c r="L43" s="74">
        <f t="shared" si="21"/>
        <v>0</v>
      </c>
      <c r="M43" s="74">
        <f t="shared" si="21"/>
        <v>0</v>
      </c>
      <c r="N43" s="76">
        <f t="shared" si="21"/>
        <v>0</v>
      </c>
      <c r="O43" s="76">
        <f t="shared" si="21"/>
        <v>0</v>
      </c>
      <c r="P43" s="74">
        <f t="shared" si="21"/>
        <v>0</v>
      </c>
      <c r="Q43" s="74">
        <f t="shared" si="21"/>
        <v>0</v>
      </c>
      <c r="R43" s="74">
        <f t="shared" si="21"/>
        <v>0</v>
      </c>
      <c r="S43" s="74">
        <f t="shared" si="21"/>
        <v>0</v>
      </c>
      <c r="T43" s="74">
        <f t="shared" si="21"/>
        <v>0</v>
      </c>
      <c r="U43" s="76">
        <f t="shared" si="21"/>
        <v>0</v>
      </c>
      <c r="V43" s="76">
        <f t="shared" si="21"/>
        <v>0</v>
      </c>
      <c r="W43" s="74">
        <f t="shared" si="21"/>
        <v>0</v>
      </c>
      <c r="X43" s="74">
        <f t="shared" si="21"/>
        <v>0</v>
      </c>
      <c r="Y43" s="74">
        <f t="shared" si="21"/>
        <v>0</v>
      </c>
      <c r="Z43" s="74">
        <f t="shared" si="21"/>
        <v>0</v>
      </c>
      <c r="AA43" s="74">
        <f t="shared" si="21"/>
        <v>0</v>
      </c>
      <c r="AB43" s="76">
        <f t="shared" si="21"/>
        <v>0</v>
      </c>
      <c r="AC43" s="76">
        <f t="shared" si="21"/>
        <v>0</v>
      </c>
      <c r="AD43" s="74">
        <f t="shared" si="21"/>
        <v>0</v>
      </c>
      <c r="AE43" s="74">
        <f t="shared" si="21"/>
        <v>0</v>
      </c>
      <c r="AF43" s="74">
        <f t="shared" si="21"/>
        <v>0</v>
      </c>
      <c r="AG43" s="74">
        <f t="shared" si="21"/>
        <v>0</v>
      </c>
      <c r="AH43" s="61">
        <f t="shared" si="17"/>
        <v>0</v>
      </c>
      <c r="AI43" s="69">
        <f t="shared" si="18"/>
        <v>0</v>
      </c>
    </row>
    <row r="44" spans="1:35" s="21" customFormat="1" ht="20.100000000000001" customHeight="1" outlineLevel="2" x14ac:dyDescent="0.3">
      <c r="A44" s="27"/>
      <c r="B44" s="22"/>
      <c r="C44" s="49" t="s">
        <v>422</v>
      </c>
      <c r="D44" s="68"/>
      <c r="E44" s="59">
        <f>SUMIFS(разходи!$L:$L,разходи!$E:$E,'ПП Февруари'!$C$44,разходи!$M:$M,'ПП Февруари'!E2)</f>
        <v>0</v>
      </c>
      <c r="F44" s="74">
        <f>SUMIFS(разходи!$L:$L,разходи!$E:$E,'ПП Февруари'!$C$44,разходи!$M:$M,'ПП Февруари'!F2)</f>
        <v>0</v>
      </c>
      <c r="G44" s="76">
        <f>SUMIFS(разходи!$L:$L,разходи!$E:$E,'ПП Февруари'!$C$44,разходи!$M:$M,'ПП Февруари'!G2)</f>
        <v>0</v>
      </c>
      <c r="H44" s="76">
        <f>SUMIFS(разходи!$L:$L,разходи!$E:$E,'ПП Февруари'!$C$44,разходи!$M:$M,'ПП Февруари'!H2)</f>
        <v>0</v>
      </c>
      <c r="I44" s="74">
        <f>SUMIFS(разходи!$L:$L,разходи!$E:$E,'ПП Февруари'!$C$44,разходи!$M:$M,'ПП Февруари'!I2)</f>
        <v>0</v>
      </c>
      <c r="J44" s="74">
        <f>SUMIFS(разходи!$L:$L,разходи!$E:$E,'ПП Февруари'!$C$44,разходи!$M:$M,'ПП Февруари'!J2)</f>
        <v>0</v>
      </c>
      <c r="K44" s="74">
        <f>SUMIFS(разходи!$L:$L,разходи!$E:$E,'ПП Февруари'!$C$44,разходи!$M:$M,'ПП Февруари'!K2)</f>
        <v>0</v>
      </c>
      <c r="L44" s="74">
        <f>SUMIFS(разходи!$L:$L,разходи!$E:$E,'ПП Февруари'!$C$44,разходи!$M:$M,'ПП Февруари'!L2)</f>
        <v>0</v>
      </c>
      <c r="M44" s="74">
        <f>SUMIFS(разходи!$L:$L,разходи!$E:$E,'ПП Февруари'!$C$44,разходи!$M:$M,'ПП Февруари'!M2)</f>
        <v>0</v>
      </c>
      <c r="N44" s="76">
        <f>SUMIFS(разходи!$L:$L,разходи!$E:$E,'ПП Февруари'!$C$44,разходи!$M:$M,'ПП Февруари'!N2)</f>
        <v>0</v>
      </c>
      <c r="O44" s="76">
        <f>SUMIFS(разходи!$L:$L,разходи!$E:$E,'ПП Февруари'!$C$44,разходи!$M:$M,'ПП Февруари'!O2)</f>
        <v>0</v>
      </c>
      <c r="P44" s="74">
        <f>SUMIFS(разходи!$L:$L,разходи!$E:$E,'ПП Февруари'!$C$44,разходи!$M:$M,'ПП Февруари'!P2)</f>
        <v>0</v>
      </c>
      <c r="Q44" s="74">
        <f>SUMIFS(разходи!$L:$L,разходи!$E:$E,'ПП Февруари'!$C$44,разходи!$M:$M,'ПП Февруари'!Q2)</f>
        <v>0</v>
      </c>
      <c r="R44" s="74">
        <f>SUMIFS(разходи!$L:$L,разходи!$E:$E,'ПП Февруари'!$C$44,разходи!$M:$M,'ПП Февруари'!R2)</f>
        <v>0</v>
      </c>
      <c r="S44" s="74">
        <f>SUMIFS(разходи!$L:$L,разходи!$E:$E,'ПП Февруари'!$C$44,разходи!$M:$M,'ПП Февруари'!S2)</f>
        <v>0</v>
      </c>
      <c r="T44" s="74">
        <f>SUMIFS(разходи!$L:$L,разходи!$E:$E,'ПП Февруари'!$C$44,разходи!$M:$M,'ПП Февруари'!T2)</f>
        <v>0</v>
      </c>
      <c r="U44" s="76">
        <f>SUMIFS(разходи!$L:$L,разходи!$E:$E,'ПП Февруари'!$C$44,разходи!$M:$M,'ПП Февруари'!U2)</f>
        <v>0</v>
      </c>
      <c r="V44" s="76">
        <f>SUMIFS(разходи!$L:$L,разходи!$E:$E,'ПП Февруари'!$C$44,разходи!$M:$M,'ПП Февруари'!V2)</f>
        <v>0</v>
      </c>
      <c r="W44" s="74">
        <f>SUMIFS(разходи!$L:$L,разходи!$E:$E,'ПП Февруари'!$C$44,разходи!$M:$M,'ПП Февруари'!W2)</f>
        <v>0</v>
      </c>
      <c r="X44" s="74">
        <f>SUMIFS(разходи!$L:$L,разходи!$E:$E,'ПП Февруари'!$C$44,разходи!$M:$M,'ПП Февруари'!X2)</f>
        <v>0</v>
      </c>
      <c r="Y44" s="74">
        <f>SUMIFS(разходи!$L:$L,разходи!$E:$E,'ПП Февруари'!$C$44,разходи!$M:$M,'ПП Февруари'!Y2)</f>
        <v>0</v>
      </c>
      <c r="Z44" s="74">
        <f>SUMIFS(разходи!$L:$L,разходи!$E:$E,'ПП Февруари'!$C$44,разходи!$M:$M,'ПП Февруари'!Z2)</f>
        <v>0</v>
      </c>
      <c r="AA44" s="74">
        <f>SUMIFS(разходи!$L:$L,разходи!$E:$E,'ПП Февруари'!$C$44,разходи!$M:$M,'ПП Февруари'!AA2)</f>
        <v>0</v>
      </c>
      <c r="AB44" s="76">
        <f>SUMIFS(разходи!$L:$L,разходи!$E:$E,'ПП Февруари'!$C$44,разходи!$M:$M,'ПП Февруари'!AB2)</f>
        <v>0</v>
      </c>
      <c r="AC44" s="76">
        <f>SUMIFS(разходи!$L:$L,разходи!$E:$E,'ПП Февруари'!$C$44,разходи!$M:$M,'ПП Февруари'!AC2)</f>
        <v>0</v>
      </c>
      <c r="AD44" s="74">
        <f>SUMIFS(разходи!$L:$L,разходи!$E:$E,'ПП Февруари'!$C$44,разходи!$M:$M,'ПП Февруари'!AD2)</f>
        <v>0</v>
      </c>
      <c r="AE44" s="74">
        <f>SUMIFS(разходи!$L:$L,разходи!$E:$E,'ПП Февруари'!$C$44,разходи!$M:$M,'ПП Февруари'!AE2)</f>
        <v>0</v>
      </c>
      <c r="AF44" s="74">
        <f>SUMIFS(разходи!$L:$L,разходи!$E:$E,'ПП Февруари'!$C$44,разходи!$M:$M,'ПП Февруари'!AF2)</f>
        <v>0</v>
      </c>
      <c r="AG44" s="74">
        <f>SUMIFS(разходи!$L:$L,разходи!$E:$E,'ПП Февруари'!$C$44,разходи!$M:$M,'ПП Февруари'!AG2)</f>
        <v>0</v>
      </c>
      <c r="AH44" s="61">
        <f t="shared" si="17"/>
        <v>0</v>
      </c>
      <c r="AI44" s="69">
        <f t="shared" si="18"/>
        <v>0</v>
      </c>
    </row>
    <row r="45" spans="1:35" s="21" customFormat="1" ht="20.100000000000001" customHeight="1" outlineLevel="2" x14ac:dyDescent="0.3">
      <c r="A45" s="27"/>
      <c r="B45" s="22"/>
      <c r="C45" s="49" t="s">
        <v>622</v>
      </c>
      <c r="D45" s="68"/>
      <c r="E45" s="59">
        <f>SUMIFS(разходи!$L:$L,разходи!$E:$E,'ПП Февруари'!$C$45,разходи!$M:$M,'ПП Февруари'!E2)</f>
        <v>0</v>
      </c>
      <c r="F45" s="74">
        <f>SUMIFS(разходи!$L:$L,разходи!$E:$E,'ПП Февруари'!$C$45,разходи!$M:$M,'ПП Февруари'!F2)</f>
        <v>0</v>
      </c>
      <c r="G45" s="76">
        <f>SUMIFS(разходи!$L:$L,разходи!$E:$E,'ПП Февруари'!$C$45,разходи!$M:$M,'ПП Февруари'!G2)</f>
        <v>0</v>
      </c>
      <c r="H45" s="76">
        <f>SUMIFS(разходи!$L:$L,разходи!$E:$E,'ПП Февруари'!$C$45,разходи!$M:$M,'ПП Февруари'!H2)</f>
        <v>0</v>
      </c>
      <c r="I45" s="74">
        <f>SUMIFS(разходи!$L:$L,разходи!$E:$E,'ПП Февруари'!$C$45,разходи!$M:$M,'ПП Февруари'!I2)</f>
        <v>0</v>
      </c>
      <c r="J45" s="74">
        <f>SUMIFS(разходи!$L:$L,разходи!$E:$E,'ПП Февруари'!$C$45,разходи!$M:$M,'ПП Февруари'!J2)</f>
        <v>0</v>
      </c>
      <c r="K45" s="74">
        <f>SUMIFS(разходи!$L:$L,разходи!$E:$E,'ПП Февруари'!$C$45,разходи!$M:$M,'ПП Февруари'!K2)</f>
        <v>0</v>
      </c>
      <c r="L45" s="74">
        <f>SUMIFS(разходи!$L:$L,разходи!$E:$E,'ПП Февруари'!$C$45,разходи!$M:$M,'ПП Февруари'!L2)</f>
        <v>0</v>
      </c>
      <c r="M45" s="74">
        <f>SUMIFS(разходи!$L:$L,разходи!$E:$E,'ПП Февруари'!$C$45,разходи!$M:$M,'ПП Февруари'!M2)</f>
        <v>0</v>
      </c>
      <c r="N45" s="76">
        <f>SUMIFS(разходи!$L:$L,разходи!$E:$E,'ПП Февруари'!$C$45,разходи!$M:$M,'ПП Февруари'!N2)</f>
        <v>0</v>
      </c>
      <c r="O45" s="76">
        <f>SUMIFS(разходи!$L:$L,разходи!$E:$E,'ПП Февруари'!$C$45,разходи!$M:$M,'ПП Февруари'!O2)</f>
        <v>0</v>
      </c>
      <c r="P45" s="74">
        <f>SUMIFS(разходи!$L:$L,разходи!$E:$E,'ПП Февруари'!$C$45,разходи!$M:$M,'ПП Февруари'!P2)</f>
        <v>0</v>
      </c>
      <c r="Q45" s="74">
        <f>SUMIFS(разходи!$L:$L,разходи!$E:$E,'ПП Февруари'!$C$45,разходи!$M:$M,'ПП Февруари'!Q2)</f>
        <v>0</v>
      </c>
      <c r="R45" s="74">
        <f>SUMIFS(разходи!$L:$L,разходи!$E:$E,'ПП Февруари'!$C$45,разходи!$M:$M,'ПП Февруари'!R2)</f>
        <v>0</v>
      </c>
      <c r="S45" s="74">
        <f>SUMIFS(разходи!$L:$L,разходи!$E:$E,'ПП Февруари'!$C$45,разходи!$M:$M,'ПП Февруари'!S2)</f>
        <v>0</v>
      </c>
      <c r="T45" s="74">
        <f>SUMIFS(разходи!$L:$L,разходи!$E:$E,'ПП Февруари'!$C$45,разходи!$M:$M,'ПП Февруари'!T2)</f>
        <v>0</v>
      </c>
      <c r="U45" s="76">
        <f>SUMIFS(разходи!$L:$L,разходи!$E:$E,'ПП Февруари'!$C$45,разходи!$M:$M,'ПП Февруари'!U2)</f>
        <v>0</v>
      </c>
      <c r="V45" s="76">
        <f>SUMIFS(разходи!$L:$L,разходи!$E:$E,'ПП Февруари'!$C$45,разходи!$M:$M,'ПП Февруари'!V2)</f>
        <v>0</v>
      </c>
      <c r="W45" s="74">
        <f>SUMIFS(разходи!$L:$L,разходи!$E:$E,'ПП Февруари'!$C$45,разходи!$M:$M,'ПП Февруари'!W2)</f>
        <v>0</v>
      </c>
      <c r="X45" s="74">
        <f>SUMIFS(разходи!$L:$L,разходи!$E:$E,'ПП Февруари'!$C$45,разходи!$M:$M,'ПП Февруари'!X2)</f>
        <v>0</v>
      </c>
      <c r="Y45" s="74">
        <f>SUMIFS(разходи!$L:$L,разходи!$E:$E,'ПП Февруари'!$C$45,разходи!$M:$M,'ПП Февруари'!Y2)</f>
        <v>0</v>
      </c>
      <c r="Z45" s="74">
        <f>SUMIFS(разходи!$L:$L,разходи!$E:$E,'ПП Февруари'!$C$45,разходи!$M:$M,'ПП Февруари'!Z2)</f>
        <v>0</v>
      </c>
      <c r="AA45" s="74">
        <f>SUMIFS(разходи!$L:$L,разходи!$E:$E,'ПП Февруари'!$C$45,разходи!$M:$M,'ПП Февруари'!AA2)</f>
        <v>0</v>
      </c>
      <c r="AB45" s="76">
        <f>SUMIFS(разходи!$L:$L,разходи!$E:$E,'ПП Февруари'!$C$45,разходи!$M:$M,'ПП Февруари'!AB2)</f>
        <v>0</v>
      </c>
      <c r="AC45" s="76">
        <f>SUMIFS(разходи!$L:$L,разходи!$E:$E,'ПП Февруари'!$C$45,разходи!$M:$M,'ПП Февруари'!AC2)</f>
        <v>0</v>
      </c>
      <c r="AD45" s="74">
        <f>SUMIFS(разходи!$L:$L,разходи!$E:$E,'ПП Февруари'!$C$45,разходи!$M:$M,'ПП Февруари'!AD2)</f>
        <v>0</v>
      </c>
      <c r="AE45" s="74">
        <f>SUMIFS(разходи!$L:$L,разходи!$E:$E,'ПП Февруари'!$C$45,разходи!$M:$M,'ПП Февруари'!AE2)</f>
        <v>0</v>
      </c>
      <c r="AF45" s="74">
        <f>SUMIFS(разходи!$L:$L,разходи!$E:$E,'ПП Февруари'!$C$45,разходи!$M:$M,'ПП Февруари'!AF2)</f>
        <v>0</v>
      </c>
      <c r="AG45" s="74">
        <f>SUMIFS(разходи!$L:$L,разходи!$E:$E,'ПП Февруари'!$C$45,разходи!$M:$M,'ПП Февруари'!AG2)</f>
        <v>0</v>
      </c>
      <c r="AH45" s="61">
        <f t="shared" si="17"/>
        <v>0</v>
      </c>
      <c r="AI45" s="69">
        <f t="shared" si="18"/>
        <v>0</v>
      </c>
    </row>
    <row r="46" spans="1:35" s="21" customFormat="1" ht="20.100000000000001" customHeight="1" outlineLevel="2" x14ac:dyDescent="0.3">
      <c r="A46" s="27"/>
      <c r="B46" s="22"/>
      <c r="C46" s="49" t="s">
        <v>864</v>
      </c>
      <c r="D46" s="68"/>
      <c r="E46" s="59">
        <f>SUMIFS(разходи!$L:$L,разходи!$E:$E,'ПП Февруари'!$C$46,разходи!$M:$M,'ПП Февруари'!E2)</f>
        <v>0</v>
      </c>
      <c r="F46" s="74">
        <f>SUMIFS(разходи!$L:$L,разходи!$E:$E,'ПП Февруари'!$C$46,разходи!$M:$M,'ПП Февруари'!F2)</f>
        <v>0</v>
      </c>
      <c r="G46" s="76">
        <f>SUMIFS(разходи!$L:$L,разходи!$E:$E,'ПП Февруари'!$C$46,разходи!$M:$M,'ПП Февруари'!G2)</f>
        <v>0</v>
      </c>
      <c r="H46" s="76">
        <f>SUMIFS(разходи!$L:$L,разходи!$E:$E,'ПП Февруари'!$C$46,разходи!$M:$M,'ПП Февруари'!H2)</f>
        <v>0</v>
      </c>
      <c r="I46" s="74">
        <f>SUMIFS(разходи!$L:$L,разходи!$E:$E,'ПП Февруари'!$C$46,разходи!$M:$M,'ПП Февруари'!I2)</f>
        <v>0</v>
      </c>
      <c r="J46" s="74">
        <f>SUMIFS(разходи!$L:$L,разходи!$E:$E,'ПП Февруари'!$C$46,разходи!$M:$M,'ПП Февруари'!J2)</f>
        <v>0</v>
      </c>
      <c r="K46" s="74">
        <f>SUMIFS(разходи!$L:$L,разходи!$E:$E,'ПП Февруари'!$C$46,разходи!$M:$M,'ПП Февруари'!K2)</f>
        <v>0</v>
      </c>
      <c r="L46" s="74">
        <f>SUMIFS(разходи!$L:$L,разходи!$E:$E,'ПП Февруари'!$C$46,разходи!$M:$M,'ПП Февруари'!L2)</f>
        <v>0</v>
      </c>
      <c r="M46" s="74">
        <f>SUMIFS(разходи!$L:$L,разходи!$E:$E,'ПП Февруари'!$C$46,разходи!$M:$M,'ПП Февруари'!M2)</f>
        <v>0</v>
      </c>
      <c r="N46" s="76">
        <f>SUMIFS(разходи!$L:$L,разходи!$E:$E,'ПП Февруари'!$C$46,разходи!$M:$M,'ПП Февруари'!N2)</f>
        <v>0</v>
      </c>
      <c r="O46" s="76">
        <f>SUMIFS(разходи!$L:$L,разходи!$E:$E,'ПП Февруари'!$C$46,разходи!$M:$M,'ПП Февруари'!O2)</f>
        <v>0</v>
      </c>
      <c r="P46" s="74">
        <f>SUMIFS(разходи!$L:$L,разходи!$E:$E,'ПП Февруари'!$C$46,разходи!$M:$M,'ПП Февруари'!P2)</f>
        <v>0</v>
      </c>
      <c r="Q46" s="74">
        <f>SUMIFS(разходи!$L:$L,разходи!$E:$E,'ПП Февруари'!$C$46,разходи!$M:$M,'ПП Февруари'!Q2)</f>
        <v>0</v>
      </c>
      <c r="R46" s="74">
        <f>SUMIFS(разходи!$L:$L,разходи!$E:$E,'ПП Февруари'!$C$46,разходи!$M:$M,'ПП Февруари'!R2)</f>
        <v>0</v>
      </c>
      <c r="S46" s="74">
        <f>SUMIFS(разходи!$L:$L,разходи!$E:$E,'ПП Февруари'!$C$46,разходи!$M:$M,'ПП Февруари'!S2)</f>
        <v>0</v>
      </c>
      <c r="T46" s="74">
        <f>SUMIFS(разходи!$L:$L,разходи!$E:$E,'ПП Февруари'!$C$46,разходи!$M:$M,'ПП Февруари'!T2)</f>
        <v>0</v>
      </c>
      <c r="U46" s="76">
        <f>SUMIFS(разходи!$L:$L,разходи!$E:$E,'ПП Февруари'!$C$46,разходи!$M:$M,'ПП Февруари'!U2)</f>
        <v>0</v>
      </c>
      <c r="V46" s="76">
        <f>SUMIFS(разходи!$L:$L,разходи!$E:$E,'ПП Февруари'!$C$46,разходи!$M:$M,'ПП Февруари'!V2)</f>
        <v>0</v>
      </c>
      <c r="W46" s="74">
        <f>SUMIFS(разходи!$L:$L,разходи!$E:$E,'ПП Февруари'!$C$46,разходи!$M:$M,'ПП Февруари'!W2)</f>
        <v>0</v>
      </c>
      <c r="X46" s="74">
        <f>SUMIFS(разходи!$L:$L,разходи!$E:$E,'ПП Февруари'!$C$46,разходи!$M:$M,'ПП Февруари'!X2)</f>
        <v>0</v>
      </c>
      <c r="Y46" s="74">
        <f>SUMIFS(разходи!$L:$L,разходи!$E:$E,'ПП Февруари'!$C$46,разходи!$M:$M,'ПП Февруари'!Y2)</f>
        <v>0</v>
      </c>
      <c r="Z46" s="74">
        <f>SUMIFS(разходи!$L:$L,разходи!$E:$E,'ПП Февруари'!$C$46,разходи!$M:$M,'ПП Февруари'!Z2)</f>
        <v>0</v>
      </c>
      <c r="AA46" s="74">
        <f>SUMIFS(разходи!$L:$L,разходи!$E:$E,'ПП Февруари'!$C$46,разходи!$M:$M,'ПП Февруари'!AA2)</f>
        <v>0</v>
      </c>
      <c r="AB46" s="76">
        <f>SUMIFS(разходи!$L:$L,разходи!$E:$E,'ПП Февруари'!$C$46,разходи!$M:$M,'ПП Февруари'!AB2)</f>
        <v>0</v>
      </c>
      <c r="AC46" s="76">
        <f>SUMIFS(разходи!$L:$L,разходи!$E:$E,'ПП Февруари'!$C$46,разходи!$M:$M,'ПП Февруари'!AC2)</f>
        <v>0</v>
      </c>
      <c r="AD46" s="74">
        <f>SUMIFS(разходи!$L:$L,разходи!$E:$E,'ПП Февруари'!$C$46,разходи!$M:$M,'ПП Февруари'!AD2)</f>
        <v>0</v>
      </c>
      <c r="AE46" s="74">
        <f>SUMIFS(разходи!$L:$L,разходи!$E:$E,'ПП Февруари'!$C$46,разходи!$M:$M,'ПП Февруари'!AE2)</f>
        <v>0</v>
      </c>
      <c r="AF46" s="74">
        <f>SUMIFS(разходи!$L:$L,разходи!$E:$E,'ПП Февруари'!$C$46,разходи!$M:$M,'ПП Февруари'!AF2)</f>
        <v>0</v>
      </c>
      <c r="AG46" s="74">
        <f>SUMIFS(разходи!$L:$L,разходи!$E:$E,'ПП Февруари'!$C$46,разходи!$M:$M,'ПП Февруари'!AG2)</f>
        <v>0</v>
      </c>
      <c r="AH46" s="61">
        <f t="shared" si="17"/>
        <v>0</v>
      </c>
      <c r="AI46" s="69">
        <f t="shared" si="18"/>
        <v>0</v>
      </c>
    </row>
    <row r="47" spans="1:35" s="21" customFormat="1" ht="20.100000000000001" customHeight="1" outlineLevel="2" x14ac:dyDescent="0.3">
      <c r="A47" s="27"/>
      <c r="B47" s="22"/>
      <c r="C47" s="49" t="s">
        <v>865</v>
      </c>
      <c r="D47" s="72"/>
      <c r="E47" s="59">
        <f>SUMIFS(разходи!$L:$L,разходи!$E:$E,'ПП Февруари'!$C$47,разходи!$M:$M,'ПП Февруари'!E2)</f>
        <v>0</v>
      </c>
      <c r="F47" s="74">
        <f>SUMIFS(разходи!$L:$L,разходи!$E:$E,'ПП Февруари'!$C$47,разходи!$M:$M,'ПП Февруари'!F2)</f>
        <v>0</v>
      </c>
      <c r="G47" s="76">
        <f>SUMIFS(разходи!$L:$L,разходи!$E:$E,'ПП Февруари'!$C$47,разходи!$M:$M,'ПП Февруари'!G2)</f>
        <v>0</v>
      </c>
      <c r="H47" s="76">
        <f>SUMIFS(разходи!$L:$L,разходи!$E:$E,'ПП Февруари'!$C$47,разходи!$M:$M,'ПП Февруари'!H2)</f>
        <v>0</v>
      </c>
      <c r="I47" s="74">
        <f>SUMIFS(разходи!$L:$L,разходи!$E:$E,'ПП Февруари'!$C$47,разходи!$M:$M,'ПП Февруари'!I2)</f>
        <v>0</v>
      </c>
      <c r="J47" s="74">
        <f>SUMIFS(разходи!$L:$L,разходи!$E:$E,'ПП Февруари'!$C$47,разходи!$M:$M,'ПП Февруари'!J2)</f>
        <v>0</v>
      </c>
      <c r="K47" s="74">
        <f>SUMIFS(разходи!$L:$L,разходи!$E:$E,'ПП Февруари'!$C$47,разходи!$M:$M,'ПП Февруари'!K2)</f>
        <v>0</v>
      </c>
      <c r="L47" s="74">
        <f>SUMIFS(разходи!$L:$L,разходи!$E:$E,'ПП Февруари'!$C$47,разходи!$M:$M,'ПП Февруари'!L2)</f>
        <v>0</v>
      </c>
      <c r="M47" s="74">
        <f>SUMIFS(разходи!$L:$L,разходи!$E:$E,'ПП Февруари'!$C$47,разходи!$M:$M,'ПП Февруари'!M2)</f>
        <v>0</v>
      </c>
      <c r="N47" s="76">
        <f>SUMIFS(разходи!$L:$L,разходи!$E:$E,'ПП Февруари'!$C$47,разходи!$M:$M,'ПП Февруари'!N2)</f>
        <v>0</v>
      </c>
      <c r="O47" s="76">
        <f>SUMIFS(разходи!$L:$L,разходи!$E:$E,'ПП Февруари'!$C$47,разходи!$M:$M,'ПП Февруари'!O2)</f>
        <v>0</v>
      </c>
      <c r="P47" s="74">
        <f>SUMIFS(разходи!$L:$L,разходи!$E:$E,'ПП Февруари'!$C$47,разходи!$M:$M,'ПП Февруари'!P2)</f>
        <v>0</v>
      </c>
      <c r="Q47" s="74">
        <f>SUMIFS(разходи!$L:$L,разходи!$E:$E,'ПП Февруари'!$C$47,разходи!$M:$M,'ПП Февруари'!Q2)</f>
        <v>0</v>
      </c>
      <c r="R47" s="74">
        <f>SUMIFS(разходи!$L:$L,разходи!$E:$E,'ПП Февруари'!$C$47,разходи!$M:$M,'ПП Февруари'!R2)</f>
        <v>0</v>
      </c>
      <c r="S47" s="74">
        <f>SUMIFS(разходи!$L:$L,разходи!$E:$E,'ПП Февруари'!$C$47,разходи!$M:$M,'ПП Февруари'!S2)</f>
        <v>0</v>
      </c>
      <c r="T47" s="74">
        <f>SUMIFS(разходи!$L:$L,разходи!$E:$E,'ПП Февруари'!$C$47,разходи!$M:$M,'ПП Февруари'!T2)</f>
        <v>0</v>
      </c>
      <c r="U47" s="76">
        <f>SUMIFS(разходи!$L:$L,разходи!$E:$E,'ПП Февруари'!$C$47,разходи!$M:$M,'ПП Февруари'!U2)</f>
        <v>0</v>
      </c>
      <c r="V47" s="76">
        <f>SUMIFS(разходи!$L:$L,разходи!$E:$E,'ПП Февруари'!$C$47,разходи!$M:$M,'ПП Февруари'!V2)</f>
        <v>0</v>
      </c>
      <c r="W47" s="74">
        <f>SUMIFS(разходи!$L:$L,разходи!$E:$E,'ПП Февруари'!$C$47,разходи!$M:$M,'ПП Февруари'!W2)</f>
        <v>0</v>
      </c>
      <c r="X47" s="74">
        <f>SUMIFS(разходи!$L:$L,разходи!$E:$E,'ПП Февруари'!$C$47,разходи!$M:$M,'ПП Февруари'!X2)</f>
        <v>0</v>
      </c>
      <c r="Y47" s="74">
        <f>SUMIFS(разходи!$L:$L,разходи!$E:$E,'ПП Февруари'!$C$47,разходи!$M:$M,'ПП Февруари'!Y2)</f>
        <v>0</v>
      </c>
      <c r="Z47" s="74">
        <f>SUMIFS(разходи!$L:$L,разходи!$E:$E,'ПП Февруари'!$C$47,разходи!$M:$M,'ПП Февруари'!Z2)</f>
        <v>0</v>
      </c>
      <c r="AA47" s="74">
        <f>SUMIFS(разходи!$L:$L,разходи!$E:$E,'ПП Февруари'!$C$47,разходи!$M:$M,'ПП Февруари'!AA2)</f>
        <v>0</v>
      </c>
      <c r="AB47" s="76">
        <f>SUMIFS(разходи!$L:$L,разходи!$E:$E,'ПП Февруари'!$C$47,разходи!$M:$M,'ПП Февруари'!AB2)</f>
        <v>0</v>
      </c>
      <c r="AC47" s="76">
        <f>SUMIFS(разходи!$L:$L,разходи!$E:$E,'ПП Февруари'!$C$47,разходи!$M:$M,'ПП Февруари'!AC2)</f>
        <v>0</v>
      </c>
      <c r="AD47" s="74">
        <f>SUMIFS(разходи!$L:$L,разходи!$E:$E,'ПП Февруари'!$C$47,разходи!$M:$M,'ПП Февруари'!AD2)</f>
        <v>0</v>
      </c>
      <c r="AE47" s="74">
        <f>SUMIFS(разходи!$L:$L,разходи!$E:$E,'ПП Февруари'!$C$47,разходи!$M:$M,'ПП Февруари'!AE2)</f>
        <v>0</v>
      </c>
      <c r="AF47" s="74">
        <f>SUMIFS(разходи!$L:$L,разходи!$E:$E,'ПП Февруари'!$C$47,разходи!$M:$M,'ПП Февруари'!AF2)</f>
        <v>0</v>
      </c>
      <c r="AG47" s="74">
        <f>SUMIFS(разходи!$L:$L,разходи!$E:$E,'ПП Февруари'!$C$47,разходи!$M:$M,'ПП Февруари'!AG2)</f>
        <v>0</v>
      </c>
      <c r="AH47" s="61">
        <f t="shared" si="17"/>
        <v>0</v>
      </c>
      <c r="AI47" s="69">
        <f t="shared" si="18"/>
        <v>0</v>
      </c>
    </row>
    <row r="48" spans="1:35" s="21" customFormat="1" ht="20.100000000000001" customHeight="1" outlineLevel="1" x14ac:dyDescent="0.3">
      <c r="A48" s="27"/>
      <c r="B48" s="22"/>
      <c r="C48" s="8" t="s">
        <v>866</v>
      </c>
      <c r="D48" s="68"/>
      <c r="E48" s="59">
        <f t="shared" ref="E48:AG48" si="22">SUM(E49:E52)</f>
        <v>0</v>
      </c>
      <c r="F48" s="74">
        <f t="shared" si="22"/>
        <v>0</v>
      </c>
      <c r="G48" s="76">
        <f t="shared" si="22"/>
        <v>0</v>
      </c>
      <c r="H48" s="76">
        <f t="shared" si="22"/>
        <v>0</v>
      </c>
      <c r="I48" s="74">
        <f t="shared" si="22"/>
        <v>0</v>
      </c>
      <c r="J48" s="74">
        <f t="shared" si="22"/>
        <v>0</v>
      </c>
      <c r="K48" s="74">
        <f t="shared" si="22"/>
        <v>0</v>
      </c>
      <c r="L48" s="74">
        <f t="shared" si="22"/>
        <v>0</v>
      </c>
      <c r="M48" s="74">
        <f t="shared" si="22"/>
        <v>0</v>
      </c>
      <c r="N48" s="76">
        <f t="shared" si="22"/>
        <v>0</v>
      </c>
      <c r="O48" s="76">
        <f t="shared" si="22"/>
        <v>0</v>
      </c>
      <c r="P48" s="74">
        <f t="shared" si="22"/>
        <v>0</v>
      </c>
      <c r="Q48" s="74">
        <f t="shared" si="22"/>
        <v>0</v>
      </c>
      <c r="R48" s="74">
        <f t="shared" si="22"/>
        <v>0</v>
      </c>
      <c r="S48" s="74">
        <f t="shared" si="22"/>
        <v>0</v>
      </c>
      <c r="T48" s="74">
        <f t="shared" si="22"/>
        <v>0</v>
      </c>
      <c r="U48" s="76">
        <f t="shared" si="22"/>
        <v>0</v>
      </c>
      <c r="V48" s="76">
        <f t="shared" si="22"/>
        <v>0</v>
      </c>
      <c r="W48" s="74">
        <f t="shared" si="22"/>
        <v>0</v>
      </c>
      <c r="X48" s="74">
        <f t="shared" si="22"/>
        <v>0</v>
      </c>
      <c r="Y48" s="74">
        <f t="shared" si="22"/>
        <v>0</v>
      </c>
      <c r="Z48" s="74">
        <f t="shared" si="22"/>
        <v>0</v>
      </c>
      <c r="AA48" s="74">
        <f t="shared" si="22"/>
        <v>0</v>
      </c>
      <c r="AB48" s="76">
        <f t="shared" si="22"/>
        <v>0</v>
      </c>
      <c r="AC48" s="76">
        <f t="shared" si="22"/>
        <v>0</v>
      </c>
      <c r="AD48" s="74">
        <f t="shared" si="22"/>
        <v>0</v>
      </c>
      <c r="AE48" s="74">
        <f t="shared" si="22"/>
        <v>0</v>
      </c>
      <c r="AF48" s="74">
        <f t="shared" si="22"/>
        <v>0</v>
      </c>
      <c r="AG48" s="74">
        <f t="shared" si="22"/>
        <v>0</v>
      </c>
      <c r="AH48" s="61">
        <f t="shared" si="17"/>
        <v>0</v>
      </c>
      <c r="AI48" s="69">
        <f t="shared" si="18"/>
        <v>0</v>
      </c>
    </row>
    <row r="49" spans="1:35" s="21" customFormat="1" ht="20.100000000000001" customHeight="1" outlineLevel="2" x14ac:dyDescent="0.3">
      <c r="A49" s="27"/>
      <c r="B49" s="22"/>
      <c r="C49" s="49" t="s">
        <v>343</v>
      </c>
      <c r="D49" s="68"/>
      <c r="E49" s="59">
        <f>SUMIFS(разходи!$L:$L,разходи!$E:$E,'ПП Февруари'!$C$49,разходи!$M:$M,'ПП Февруари'!E2)</f>
        <v>0</v>
      </c>
      <c r="F49" s="74">
        <f>SUMIFS(разходи!$L:$L,разходи!$E:$E,'ПП Февруари'!$C$49,разходи!$M:$M,'ПП Февруари'!F2)</f>
        <v>0</v>
      </c>
      <c r="G49" s="76">
        <f>SUMIFS(разходи!$L:$L,разходи!$E:$E,'ПП Февруари'!$C$49,разходи!$M:$M,'ПП Февруари'!G2)</f>
        <v>0</v>
      </c>
      <c r="H49" s="76">
        <f>SUMIFS(разходи!$L:$L,разходи!$E:$E,'ПП Февруари'!$C$49,разходи!$M:$M,'ПП Февруари'!H2)</f>
        <v>0</v>
      </c>
      <c r="I49" s="74">
        <f>SUMIFS(разходи!$L:$L,разходи!$E:$E,'ПП Февруари'!$C$49,разходи!$M:$M,'ПП Февруари'!I2)</f>
        <v>0</v>
      </c>
      <c r="J49" s="74">
        <f>SUMIFS(разходи!$L:$L,разходи!$E:$E,'ПП Февруари'!$C$49,разходи!$M:$M,'ПП Февруари'!J2)</f>
        <v>0</v>
      </c>
      <c r="K49" s="74">
        <f>SUMIFS(разходи!$L:$L,разходи!$E:$E,'ПП Февруари'!$C$49,разходи!$M:$M,'ПП Февруари'!K2)</f>
        <v>0</v>
      </c>
      <c r="L49" s="74">
        <f>SUMIFS(разходи!$L:$L,разходи!$E:$E,'ПП Февруари'!$C$49,разходи!$M:$M,'ПП Февруари'!L2)</f>
        <v>0</v>
      </c>
      <c r="M49" s="74">
        <f>SUMIFS(разходи!$L:$L,разходи!$E:$E,'ПП Февруари'!$C$49,разходи!$M:$M,'ПП Февруари'!M2)</f>
        <v>0</v>
      </c>
      <c r="N49" s="76">
        <f>SUMIFS(разходи!$L:$L,разходи!$E:$E,'ПП Февруари'!$C$49,разходи!$M:$M,'ПП Февруари'!N2)</f>
        <v>0</v>
      </c>
      <c r="O49" s="76">
        <f>SUMIFS(разходи!$L:$L,разходи!$E:$E,'ПП Февруари'!$C$49,разходи!$M:$M,'ПП Февруари'!O2)</f>
        <v>0</v>
      </c>
      <c r="P49" s="74">
        <f>SUMIFS(разходи!$L:$L,разходи!$E:$E,'ПП Февруари'!$C$49,разходи!$M:$M,'ПП Февруари'!P2)</f>
        <v>0</v>
      </c>
      <c r="Q49" s="74">
        <f>SUMIFS(разходи!$L:$L,разходи!$E:$E,'ПП Февруари'!$C$49,разходи!$M:$M,'ПП Февруари'!Q2)</f>
        <v>0</v>
      </c>
      <c r="R49" s="74">
        <f>SUMIFS(разходи!$L:$L,разходи!$E:$E,'ПП Февруари'!$C$49,разходи!$M:$M,'ПП Февруари'!R2)</f>
        <v>0</v>
      </c>
      <c r="S49" s="74">
        <f>SUMIFS(разходи!$L:$L,разходи!$E:$E,'ПП Февруари'!$C$49,разходи!$M:$M,'ПП Февруари'!S2)</f>
        <v>0</v>
      </c>
      <c r="T49" s="74">
        <f>SUMIFS(разходи!$L:$L,разходи!$E:$E,'ПП Февруари'!$C$49,разходи!$M:$M,'ПП Февруари'!T2)</f>
        <v>0</v>
      </c>
      <c r="U49" s="76">
        <f>SUMIFS(разходи!$L:$L,разходи!$E:$E,'ПП Февруари'!$C$49,разходи!$M:$M,'ПП Февруари'!U2)</f>
        <v>0</v>
      </c>
      <c r="V49" s="76">
        <f>SUMIFS(разходи!$L:$L,разходи!$E:$E,'ПП Февруари'!$C$49,разходи!$M:$M,'ПП Февруари'!V2)</f>
        <v>0</v>
      </c>
      <c r="W49" s="74">
        <f>SUMIFS(разходи!$L:$L,разходи!$E:$E,'ПП Февруари'!$C$49,разходи!$M:$M,'ПП Февруари'!W2)</f>
        <v>0</v>
      </c>
      <c r="X49" s="74">
        <f>SUMIFS(разходи!$L:$L,разходи!$E:$E,'ПП Февруари'!$C$49,разходи!$M:$M,'ПП Февруари'!X2)</f>
        <v>0</v>
      </c>
      <c r="Y49" s="74">
        <f>SUMIFS(разходи!$L:$L,разходи!$E:$E,'ПП Февруари'!$C$49,разходи!$M:$M,'ПП Февруари'!Y2)</f>
        <v>0</v>
      </c>
      <c r="Z49" s="74">
        <f>SUMIFS(разходи!$L:$L,разходи!$E:$E,'ПП Февруари'!$C$49,разходи!$M:$M,'ПП Февруари'!Z2)</f>
        <v>0</v>
      </c>
      <c r="AA49" s="74">
        <f>SUMIFS(разходи!$L:$L,разходи!$E:$E,'ПП Февруари'!$C$49,разходи!$M:$M,'ПП Февруари'!AA2)</f>
        <v>0</v>
      </c>
      <c r="AB49" s="76">
        <f>SUMIFS(разходи!$L:$L,разходи!$E:$E,'ПП Февруари'!$C$49,разходи!$M:$M,'ПП Февруари'!AB2)</f>
        <v>0</v>
      </c>
      <c r="AC49" s="76">
        <f>SUMIFS(разходи!$L:$L,разходи!$E:$E,'ПП Февруари'!$C$49,разходи!$M:$M,'ПП Февруари'!AC2)</f>
        <v>0</v>
      </c>
      <c r="AD49" s="74">
        <f>SUMIFS(разходи!$L:$L,разходи!$E:$E,'ПП Февруари'!$C$49,разходи!$M:$M,'ПП Февруари'!AD2)</f>
        <v>0</v>
      </c>
      <c r="AE49" s="74">
        <f>SUMIFS(разходи!$L:$L,разходи!$E:$E,'ПП Февруари'!$C$49,разходи!$M:$M,'ПП Февруари'!AE2)</f>
        <v>0</v>
      </c>
      <c r="AF49" s="74">
        <f>SUMIFS(разходи!$L:$L,разходи!$E:$E,'ПП Февруари'!$C$49,разходи!$M:$M,'ПП Февруари'!AF2)</f>
        <v>0</v>
      </c>
      <c r="AG49" s="74">
        <f>SUMIFS(разходи!$L:$L,разходи!$E:$E,'ПП Февруари'!$C$49,разходи!$M:$M,'ПП Февруари'!AG2)</f>
        <v>0</v>
      </c>
      <c r="AH49" s="61">
        <f t="shared" si="17"/>
        <v>0</v>
      </c>
      <c r="AI49" s="69">
        <f t="shared" si="18"/>
        <v>0</v>
      </c>
    </row>
    <row r="50" spans="1:35" s="21" customFormat="1" ht="20.100000000000001" customHeight="1" outlineLevel="2" x14ac:dyDescent="0.3">
      <c r="A50" s="27"/>
      <c r="B50" s="22"/>
      <c r="C50" s="49" t="s">
        <v>609</v>
      </c>
      <c r="D50" s="68"/>
      <c r="E50" s="59">
        <f>SUMIFS(разходи!$L:$L,разходи!$E:$E,'ПП Февруари'!$C$50,разходи!$M:$M,'ПП Февруари'!E2)</f>
        <v>0</v>
      </c>
      <c r="F50" s="74">
        <f>SUMIFS(разходи!$L:$L,разходи!$E:$E,'ПП Февруари'!$C$50,разходи!$M:$M,'ПП Февруари'!F2)</f>
        <v>0</v>
      </c>
      <c r="G50" s="76">
        <f>SUMIFS(разходи!$L:$L,разходи!$E:$E,'ПП Февруари'!$C$50,разходи!$M:$M,'ПП Февруари'!G2)</f>
        <v>0</v>
      </c>
      <c r="H50" s="76">
        <f>SUMIFS(разходи!$L:$L,разходи!$E:$E,'ПП Февруари'!$C$50,разходи!$M:$M,'ПП Февруари'!H2)</f>
        <v>0</v>
      </c>
      <c r="I50" s="74">
        <f>SUMIFS(разходи!$L:$L,разходи!$E:$E,'ПП Февруари'!$C$50,разходи!$M:$M,'ПП Февруари'!I2)</f>
        <v>0</v>
      </c>
      <c r="J50" s="74">
        <f>SUMIFS(разходи!$L:$L,разходи!$E:$E,'ПП Февруари'!$C$50,разходи!$M:$M,'ПП Февруари'!J2)</f>
        <v>0</v>
      </c>
      <c r="K50" s="74">
        <f>SUMIFS(разходи!$L:$L,разходи!$E:$E,'ПП Февруари'!$C$50,разходи!$M:$M,'ПП Февруари'!K2)</f>
        <v>0</v>
      </c>
      <c r="L50" s="74">
        <f>SUMIFS(разходи!$L:$L,разходи!$E:$E,'ПП Февруари'!$C$50,разходи!$M:$M,'ПП Февруари'!L2)</f>
        <v>0</v>
      </c>
      <c r="M50" s="74">
        <f>SUMIFS(разходи!$L:$L,разходи!$E:$E,'ПП Февруари'!$C$50,разходи!$M:$M,'ПП Февруари'!M2)</f>
        <v>0</v>
      </c>
      <c r="N50" s="76">
        <f>SUMIFS(разходи!$L:$L,разходи!$E:$E,'ПП Февруари'!$C$50,разходи!$M:$M,'ПП Февруари'!N2)</f>
        <v>0</v>
      </c>
      <c r="O50" s="76">
        <f>SUMIFS(разходи!$L:$L,разходи!$E:$E,'ПП Февруари'!$C$50,разходи!$M:$M,'ПП Февруари'!O2)</f>
        <v>0</v>
      </c>
      <c r="P50" s="74">
        <f>SUMIFS(разходи!$L:$L,разходи!$E:$E,'ПП Февруари'!$C$50,разходи!$M:$M,'ПП Февруари'!P2)</f>
        <v>0</v>
      </c>
      <c r="Q50" s="74">
        <f>SUMIFS(разходи!$L:$L,разходи!$E:$E,'ПП Февруари'!$C$50,разходи!$M:$M,'ПП Февруари'!Q2)</f>
        <v>0</v>
      </c>
      <c r="R50" s="74">
        <f>SUMIFS(разходи!$L:$L,разходи!$E:$E,'ПП Февруари'!$C$50,разходи!$M:$M,'ПП Февруари'!R2)</f>
        <v>0</v>
      </c>
      <c r="S50" s="74">
        <f>SUMIFS(разходи!$L:$L,разходи!$E:$E,'ПП Февруари'!$C$50,разходи!$M:$M,'ПП Февруари'!S2)</f>
        <v>0</v>
      </c>
      <c r="T50" s="74">
        <f>SUMIFS(разходи!$L:$L,разходи!$E:$E,'ПП Февруари'!$C$50,разходи!$M:$M,'ПП Февруари'!T2)</f>
        <v>0</v>
      </c>
      <c r="U50" s="76">
        <f>SUMIFS(разходи!$L:$L,разходи!$E:$E,'ПП Февруари'!$C$50,разходи!$M:$M,'ПП Февруари'!U2)</f>
        <v>0</v>
      </c>
      <c r="V50" s="76">
        <f>SUMIFS(разходи!$L:$L,разходи!$E:$E,'ПП Февруари'!$C$50,разходи!$M:$M,'ПП Февруари'!V2)</f>
        <v>0</v>
      </c>
      <c r="W50" s="74">
        <f>SUMIFS(разходи!$L:$L,разходи!$E:$E,'ПП Февруари'!$C$50,разходи!$M:$M,'ПП Февруари'!W2)</f>
        <v>0</v>
      </c>
      <c r="X50" s="74">
        <f>SUMIFS(разходи!$L:$L,разходи!$E:$E,'ПП Февруари'!$C$50,разходи!$M:$M,'ПП Февруари'!X2)</f>
        <v>0</v>
      </c>
      <c r="Y50" s="74">
        <f>SUMIFS(разходи!$L:$L,разходи!$E:$E,'ПП Февруари'!$C$50,разходи!$M:$M,'ПП Февруари'!Y2)</f>
        <v>0</v>
      </c>
      <c r="Z50" s="74">
        <f>SUMIFS(разходи!$L:$L,разходи!$E:$E,'ПП Февруари'!$C$50,разходи!$M:$M,'ПП Февруари'!Z2)</f>
        <v>0</v>
      </c>
      <c r="AA50" s="74">
        <f>SUMIFS(разходи!$L:$L,разходи!$E:$E,'ПП Февруари'!$C$50,разходи!$M:$M,'ПП Февруари'!AA2)</f>
        <v>0</v>
      </c>
      <c r="AB50" s="76">
        <f>SUMIFS(разходи!$L:$L,разходи!$E:$E,'ПП Февруари'!$C$50,разходи!$M:$M,'ПП Февруари'!AB2)</f>
        <v>0</v>
      </c>
      <c r="AC50" s="76">
        <f>SUMIFS(разходи!$L:$L,разходи!$E:$E,'ПП Февруари'!$C$50,разходи!$M:$M,'ПП Февруари'!AC2)</f>
        <v>0</v>
      </c>
      <c r="AD50" s="74">
        <f>SUMIFS(разходи!$L:$L,разходи!$E:$E,'ПП Февруари'!$C$50,разходи!$M:$M,'ПП Февруари'!AD2)</f>
        <v>0</v>
      </c>
      <c r="AE50" s="74">
        <f>SUMIFS(разходи!$L:$L,разходи!$E:$E,'ПП Февруари'!$C$50,разходи!$M:$M,'ПП Февруари'!AE2)</f>
        <v>0</v>
      </c>
      <c r="AF50" s="74">
        <f>SUMIFS(разходи!$L:$L,разходи!$E:$E,'ПП Февруари'!$C$50,разходи!$M:$M,'ПП Февруари'!AF2)</f>
        <v>0</v>
      </c>
      <c r="AG50" s="74">
        <f>SUMIFS(разходи!$L:$L,разходи!$E:$E,'ПП Февруари'!$C$50,разходи!$M:$M,'ПП Февруари'!AG2)</f>
        <v>0</v>
      </c>
      <c r="AH50" s="61">
        <f t="shared" si="17"/>
        <v>0</v>
      </c>
      <c r="AI50" s="69">
        <f t="shared" si="18"/>
        <v>0</v>
      </c>
    </row>
    <row r="51" spans="1:35" s="21" customFormat="1" ht="20.100000000000001" customHeight="1" outlineLevel="2" x14ac:dyDescent="0.3">
      <c r="A51" s="27"/>
      <c r="B51" s="22"/>
      <c r="C51" s="49" t="s">
        <v>450</v>
      </c>
      <c r="D51" s="68"/>
      <c r="E51" s="59">
        <f>SUMIFS(разходи!$L:$L,разходи!$E:$E,'ПП Февруари'!$C$51,разходи!$M:$M,'ПП Февруари'!E2)</f>
        <v>0</v>
      </c>
      <c r="F51" s="74">
        <f>SUMIFS(разходи!$L:$L,разходи!$E:$E,'ПП Февруари'!$C$51,разходи!$M:$M,'ПП Февруари'!F2)</f>
        <v>0</v>
      </c>
      <c r="G51" s="76">
        <f>SUMIFS(разходи!$L:$L,разходи!$E:$E,'ПП Февруари'!$C$51,разходи!$M:$M,'ПП Февруари'!G2)</f>
        <v>0</v>
      </c>
      <c r="H51" s="76">
        <f>SUMIFS(разходи!$L:$L,разходи!$E:$E,'ПП Февруари'!$C$51,разходи!$M:$M,'ПП Февруари'!H2)</f>
        <v>0</v>
      </c>
      <c r="I51" s="74">
        <f>SUMIFS(разходи!$L:$L,разходи!$E:$E,'ПП Февруари'!$C$51,разходи!$M:$M,'ПП Февруари'!I2)</f>
        <v>0</v>
      </c>
      <c r="J51" s="74">
        <f>SUMIFS(разходи!$L:$L,разходи!$E:$E,'ПП Февруари'!$C$51,разходи!$M:$M,'ПП Февруари'!J2)</f>
        <v>0</v>
      </c>
      <c r="K51" s="74">
        <f>SUMIFS(разходи!$L:$L,разходи!$E:$E,'ПП Февруари'!$C$51,разходи!$M:$M,'ПП Февруари'!K2)</f>
        <v>0</v>
      </c>
      <c r="L51" s="74">
        <f>SUMIFS(разходи!$L:$L,разходи!$E:$E,'ПП Февруари'!$C$51,разходи!$M:$M,'ПП Февруари'!L2)</f>
        <v>0</v>
      </c>
      <c r="M51" s="74">
        <f>SUMIFS(разходи!$L:$L,разходи!$E:$E,'ПП Февруари'!$C$51,разходи!$M:$M,'ПП Февруари'!M2)</f>
        <v>0</v>
      </c>
      <c r="N51" s="76">
        <f>SUMIFS(разходи!$L:$L,разходи!$E:$E,'ПП Февруари'!$C$51,разходи!$M:$M,'ПП Февруари'!N2)</f>
        <v>0</v>
      </c>
      <c r="O51" s="76">
        <f>SUMIFS(разходи!$L:$L,разходи!$E:$E,'ПП Февруари'!$C$51,разходи!$M:$M,'ПП Февруари'!O2)</f>
        <v>0</v>
      </c>
      <c r="P51" s="74">
        <f>SUMIFS(разходи!$L:$L,разходи!$E:$E,'ПП Февруари'!$C$51,разходи!$M:$M,'ПП Февруари'!P2)</f>
        <v>0</v>
      </c>
      <c r="Q51" s="74">
        <f>SUMIFS(разходи!$L:$L,разходи!$E:$E,'ПП Февруари'!$C$51,разходи!$M:$M,'ПП Февруари'!Q2)</f>
        <v>0</v>
      </c>
      <c r="R51" s="74">
        <f>SUMIFS(разходи!$L:$L,разходи!$E:$E,'ПП Февруари'!$C$51,разходи!$M:$M,'ПП Февруари'!R2)</f>
        <v>0</v>
      </c>
      <c r="S51" s="74">
        <f>SUMIFS(разходи!$L:$L,разходи!$E:$E,'ПП Февруари'!$C$51,разходи!$M:$M,'ПП Февруари'!S2)</f>
        <v>0</v>
      </c>
      <c r="T51" s="74">
        <f>SUMIFS(разходи!$L:$L,разходи!$E:$E,'ПП Февруари'!$C$51,разходи!$M:$M,'ПП Февруари'!T2)</f>
        <v>0</v>
      </c>
      <c r="U51" s="76">
        <f>SUMIFS(разходи!$L:$L,разходи!$E:$E,'ПП Февруари'!$C$51,разходи!$M:$M,'ПП Февруари'!U2)</f>
        <v>0</v>
      </c>
      <c r="V51" s="76">
        <f>SUMIFS(разходи!$L:$L,разходи!$E:$E,'ПП Февруари'!$C$51,разходи!$M:$M,'ПП Февруари'!V2)</f>
        <v>0</v>
      </c>
      <c r="W51" s="74">
        <f>SUMIFS(разходи!$L:$L,разходи!$E:$E,'ПП Февруари'!$C$51,разходи!$M:$M,'ПП Февруари'!W2)</f>
        <v>0</v>
      </c>
      <c r="X51" s="74">
        <f>SUMIFS(разходи!$L:$L,разходи!$E:$E,'ПП Февруари'!$C$51,разходи!$M:$M,'ПП Февруари'!X2)</f>
        <v>0</v>
      </c>
      <c r="Y51" s="74">
        <f>SUMIFS(разходи!$L:$L,разходи!$E:$E,'ПП Февруари'!$C$51,разходи!$M:$M,'ПП Февруари'!Y2)</f>
        <v>0</v>
      </c>
      <c r="Z51" s="74">
        <f>SUMIFS(разходи!$L:$L,разходи!$E:$E,'ПП Февруари'!$C$51,разходи!$M:$M,'ПП Февруари'!Z2)</f>
        <v>0</v>
      </c>
      <c r="AA51" s="74">
        <f>SUMIFS(разходи!$L:$L,разходи!$E:$E,'ПП Февруари'!$C$51,разходи!$M:$M,'ПП Февруари'!AA2)</f>
        <v>0</v>
      </c>
      <c r="AB51" s="76">
        <f>SUMIFS(разходи!$L:$L,разходи!$E:$E,'ПП Февруари'!$C$51,разходи!$M:$M,'ПП Февруари'!AB2)</f>
        <v>0</v>
      </c>
      <c r="AC51" s="76">
        <f>SUMIFS(разходи!$L:$L,разходи!$E:$E,'ПП Февруари'!$C$51,разходи!$M:$M,'ПП Февруари'!AC2)</f>
        <v>0</v>
      </c>
      <c r="AD51" s="74">
        <f>SUMIFS(разходи!$L:$L,разходи!$E:$E,'ПП Февруари'!$C$51,разходи!$M:$M,'ПП Февруари'!AD2)</f>
        <v>0</v>
      </c>
      <c r="AE51" s="74">
        <f>SUMIFS(разходи!$L:$L,разходи!$E:$E,'ПП Февруари'!$C$51,разходи!$M:$M,'ПП Февруари'!AE2)</f>
        <v>0</v>
      </c>
      <c r="AF51" s="74">
        <f>SUMIFS(разходи!$L:$L,разходи!$E:$E,'ПП Февруари'!$C$51,разходи!$M:$M,'ПП Февруари'!AF2)</f>
        <v>0</v>
      </c>
      <c r="AG51" s="74">
        <f>SUMIFS(разходи!$L:$L,разходи!$E:$E,'ПП Февруари'!$C$51,разходи!$M:$M,'ПП Февруари'!AG2)</f>
        <v>0</v>
      </c>
      <c r="AH51" s="61">
        <f t="shared" si="17"/>
        <v>0</v>
      </c>
      <c r="AI51" s="69">
        <f t="shared" si="18"/>
        <v>0</v>
      </c>
    </row>
    <row r="52" spans="1:35" s="21" customFormat="1" ht="20.100000000000001" customHeight="1" outlineLevel="2" x14ac:dyDescent="0.3">
      <c r="A52" s="27"/>
      <c r="B52" s="22"/>
      <c r="C52" s="49" t="s">
        <v>867</v>
      </c>
      <c r="D52" s="68"/>
      <c r="E52" s="59">
        <f>SUMIFS(разходи!$L:$L,разходи!$E:$E,'ПП Февруари'!$C$52,разходи!$M:$M,'ПП Февруари'!E2)</f>
        <v>0</v>
      </c>
      <c r="F52" s="74">
        <f>SUMIFS(разходи!$L:$L,разходи!$E:$E,'ПП Февруари'!$C$52,разходи!$M:$M,'ПП Февруари'!F2)</f>
        <v>0</v>
      </c>
      <c r="G52" s="76">
        <f>SUMIFS(разходи!$L:$L,разходи!$E:$E,'ПП Февруари'!$C$52,разходи!$M:$M,'ПП Февруари'!G2)</f>
        <v>0</v>
      </c>
      <c r="H52" s="76">
        <f>SUMIFS(разходи!$L:$L,разходи!$E:$E,'ПП Февруари'!$C$52,разходи!$M:$M,'ПП Февруари'!H2)</f>
        <v>0</v>
      </c>
      <c r="I52" s="74">
        <f>SUMIFS(разходи!$L:$L,разходи!$E:$E,'ПП Февруари'!$C$52,разходи!$M:$M,'ПП Февруари'!I2)</f>
        <v>0</v>
      </c>
      <c r="J52" s="74">
        <f>SUMIFS(разходи!$L:$L,разходи!$E:$E,'ПП Февруари'!$C$52,разходи!$M:$M,'ПП Февруари'!J2)</f>
        <v>0</v>
      </c>
      <c r="K52" s="74">
        <f>SUMIFS(разходи!$L:$L,разходи!$E:$E,'ПП Февруари'!$C$52,разходи!$M:$M,'ПП Февруари'!K2)</f>
        <v>0</v>
      </c>
      <c r="L52" s="74">
        <f>SUMIFS(разходи!$L:$L,разходи!$E:$E,'ПП Февруари'!$C$52,разходи!$M:$M,'ПП Февруари'!L2)</f>
        <v>0</v>
      </c>
      <c r="M52" s="74">
        <f>SUMIFS(разходи!$L:$L,разходи!$E:$E,'ПП Февруари'!$C$52,разходи!$M:$M,'ПП Февруари'!M2)</f>
        <v>0</v>
      </c>
      <c r="N52" s="76">
        <f>SUMIFS(разходи!$L:$L,разходи!$E:$E,'ПП Февруари'!$C$52,разходи!$M:$M,'ПП Февруари'!N2)</f>
        <v>0</v>
      </c>
      <c r="O52" s="76">
        <f>SUMIFS(разходи!$L:$L,разходи!$E:$E,'ПП Февруари'!$C$52,разходи!$M:$M,'ПП Февруари'!O2)</f>
        <v>0</v>
      </c>
      <c r="P52" s="74">
        <f>SUMIFS(разходи!$L:$L,разходи!$E:$E,'ПП Февруари'!$C$52,разходи!$M:$M,'ПП Февруари'!P2)</f>
        <v>0</v>
      </c>
      <c r="Q52" s="74">
        <f>SUMIFS(разходи!$L:$L,разходи!$E:$E,'ПП Февруари'!$C$52,разходи!$M:$M,'ПП Февруари'!Q2)</f>
        <v>0</v>
      </c>
      <c r="R52" s="74">
        <f>SUMIFS(разходи!$L:$L,разходи!$E:$E,'ПП Февруари'!$C$52,разходи!$M:$M,'ПП Февруари'!R2)</f>
        <v>0</v>
      </c>
      <c r="S52" s="74">
        <f>SUMIFS(разходи!$L:$L,разходи!$E:$E,'ПП Февруари'!$C$52,разходи!$M:$M,'ПП Февруари'!S2)</f>
        <v>0</v>
      </c>
      <c r="T52" s="74">
        <f>SUMIFS(разходи!$L:$L,разходи!$E:$E,'ПП Февруари'!$C$52,разходи!$M:$M,'ПП Февруари'!T2)</f>
        <v>0</v>
      </c>
      <c r="U52" s="76">
        <f>SUMIFS(разходи!$L:$L,разходи!$E:$E,'ПП Февруари'!$C$52,разходи!$M:$M,'ПП Февруари'!U2)</f>
        <v>0</v>
      </c>
      <c r="V52" s="76">
        <f>SUMIFS(разходи!$L:$L,разходи!$E:$E,'ПП Февруари'!$C$52,разходи!$M:$M,'ПП Февруари'!V2)</f>
        <v>0</v>
      </c>
      <c r="W52" s="74">
        <f>SUMIFS(разходи!$L:$L,разходи!$E:$E,'ПП Февруари'!$C$52,разходи!$M:$M,'ПП Февруари'!W2)</f>
        <v>0</v>
      </c>
      <c r="X52" s="74">
        <f>SUMIFS(разходи!$L:$L,разходи!$E:$E,'ПП Февруари'!$C$52,разходи!$M:$M,'ПП Февруари'!X2)</f>
        <v>0</v>
      </c>
      <c r="Y52" s="74">
        <f>SUMIFS(разходи!$L:$L,разходи!$E:$E,'ПП Февруари'!$C$52,разходи!$M:$M,'ПП Февруари'!Y2)</f>
        <v>0</v>
      </c>
      <c r="Z52" s="74">
        <f>SUMIFS(разходи!$L:$L,разходи!$E:$E,'ПП Февруари'!$C$52,разходи!$M:$M,'ПП Февруари'!Z2)</f>
        <v>0</v>
      </c>
      <c r="AA52" s="74">
        <f>SUMIFS(разходи!$L:$L,разходи!$E:$E,'ПП Февруари'!$C$52,разходи!$M:$M,'ПП Февруари'!AA2)</f>
        <v>0</v>
      </c>
      <c r="AB52" s="76">
        <f>SUMIFS(разходи!$L:$L,разходи!$E:$E,'ПП Февруари'!$C$52,разходи!$M:$M,'ПП Февруари'!AB2)</f>
        <v>0</v>
      </c>
      <c r="AC52" s="76">
        <f>SUMIFS(разходи!$L:$L,разходи!$E:$E,'ПП Февруари'!$C$52,разходи!$M:$M,'ПП Февруари'!AC2)</f>
        <v>0</v>
      </c>
      <c r="AD52" s="74">
        <f>SUMIFS(разходи!$L:$L,разходи!$E:$E,'ПП Февруари'!$C$52,разходи!$M:$M,'ПП Февруари'!AD2)</f>
        <v>0</v>
      </c>
      <c r="AE52" s="74">
        <f>SUMIFS(разходи!$L:$L,разходи!$E:$E,'ПП Февруари'!$C$52,разходи!$M:$M,'ПП Февруари'!AE2)</f>
        <v>0</v>
      </c>
      <c r="AF52" s="74">
        <f>SUMIFS(разходи!$L:$L,разходи!$E:$E,'ПП Февруари'!$C$52,разходи!$M:$M,'ПП Февруари'!AF2)</f>
        <v>0</v>
      </c>
      <c r="AG52" s="74">
        <f>SUMIFS(разходи!$L:$L,разходи!$E:$E,'ПП Февруари'!$C$52,разходи!$M:$M,'ПП Февруари'!AG2)</f>
        <v>0</v>
      </c>
      <c r="AH52" s="61">
        <f t="shared" si="17"/>
        <v>0</v>
      </c>
      <c r="AI52" s="69">
        <f t="shared" si="18"/>
        <v>0</v>
      </c>
    </row>
    <row r="53" spans="1:35" s="21" customFormat="1" ht="20.100000000000001" customHeight="1" outlineLevel="1" x14ac:dyDescent="0.3">
      <c r="A53" s="27"/>
      <c r="B53" s="22"/>
      <c r="C53" s="8" t="s">
        <v>868</v>
      </c>
      <c r="D53" s="68"/>
      <c r="E53" s="59">
        <f>SUMIFS(разходи!$L:$L,разходи!$E:$E,'ПП Февруари'!$C$57,разходи!$M:$M,'ПП Февруари'!E2)</f>
        <v>0</v>
      </c>
      <c r="F53" s="74">
        <f>SUMIFS(разходи!$L:$L,разходи!$E:$E,'ПП Февруари'!$C$57,разходи!$M:$M,'ПП Февруари'!F2)</f>
        <v>0</v>
      </c>
      <c r="G53" s="76">
        <f>SUMIFS(разходи!$L:$L,разходи!$E:$E,'ПП Февруари'!$C$57,разходи!$M:$M,'ПП Февруари'!G2)</f>
        <v>0</v>
      </c>
      <c r="H53" s="76">
        <f>SUMIFS(разходи!$L:$L,разходи!$E:$E,'ПП Февруари'!$C$57,разходи!$M:$M,'ПП Февруари'!H2)</f>
        <v>0</v>
      </c>
      <c r="I53" s="74">
        <f>SUMIFS(разходи!$L:$L,разходи!$E:$E,'ПП Февруари'!$C$57,разходи!$M:$M,'ПП Февруари'!I2)</f>
        <v>0</v>
      </c>
      <c r="J53" s="74">
        <f>SUMIFS(разходи!$L:$L,разходи!$E:$E,'ПП Февруари'!$C$57,разходи!$M:$M,'ПП Февруари'!J2)</f>
        <v>0</v>
      </c>
      <c r="K53" s="74">
        <f>SUMIFS(разходи!$L:$L,разходи!$E:$E,'ПП Февруари'!$C$57,разходи!$M:$M,'ПП Февруари'!K2)</f>
        <v>0</v>
      </c>
      <c r="L53" s="74">
        <f>SUMIFS(разходи!$L:$L,разходи!$E:$E,'ПП Февруари'!$C$57,разходи!$M:$M,'ПП Февруари'!L2)</f>
        <v>0</v>
      </c>
      <c r="M53" s="74">
        <f>SUMIFS(разходи!$L:$L,разходи!$E:$E,'ПП Февруари'!$C$57,разходи!$M:$M,'ПП Февруари'!M2)</f>
        <v>0</v>
      </c>
      <c r="N53" s="76">
        <f>SUMIFS(разходи!$L:$L,разходи!$E:$E,'ПП Февруари'!$C$57,разходи!$M:$M,'ПП Февруари'!N2)</f>
        <v>0</v>
      </c>
      <c r="O53" s="76">
        <f>SUMIFS(разходи!$L:$L,разходи!$E:$E,'ПП Февруари'!$C$57,разходи!$M:$M,'ПП Февруари'!O2)</f>
        <v>0</v>
      </c>
      <c r="P53" s="74">
        <f>SUMIFS(разходи!$L:$L,разходи!$E:$E,'ПП Февруари'!$C$57,разходи!$M:$M,'ПП Февруари'!P2)</f>
        <v>0</v>
      </c>
      <c r="Q53" s="74">
        <f>SUMIFS(разходи!$L:$L,разходи!$E:$E,'ПП Февруари'!$C$57,разходи!$M:$M,'ПП Февруари'!Q2)</f>
        <v>0</v>
      </c>
      <c r="R53" s="74">
        <f>SUMIFS(разходи!$L:$L,разходи!$E:$E,'ПП Февруари'!$C$57,разходи!$M:$M,'ПП Февруари'!R2)</f>
        <v>0</v>
      </c>
      <c r="S53" s="74">
        <f>SUMIFS(разходи!$L:$L,разходи!$E:$E,'ПП Февруари'!$C$57,разходи!$M:$M,'ПП Февруари'!S2)</f>
        <v>0</v>
      </c>
      <c r="T53" s="74">
        <f>SUMIFS(разходи!$L:$L,разходи!$E:$E,'ПП Февруари'!$C$57,разходи!$M:$M,'ПП Февруари'!T2)</f>
        <v>0</v>
      </c>
      <c r="U53" s="76">
        <f>SUMIFS(разходи!$L:$L,разходи!$E:$E,'ПП Февруари'!$C$57,разходи!$M:$M,'ПП Февруари'!U2)</f>
        <v>0</v>
      </c>
      <c r="V53" s="76">
        <f>SUMIFS(разходи!$L:$L,разходи!$E:$E,'ПП Февруари'!$C$57,разходи!$M:$M,'ПП Февруари'!V2)</f>
        <v>0</v>
      </c>
      <c r="W53" s="74">
        <f>SUMIFS(разходи!$L:$L,разходи!$E:$E,'ПП Февруари'!$C$57,разходи!$M:$M,'ПП Февруари'!W2)</f>
        <v>0</v>
      </c>
      <c r="X53" s="74">
        <f>SUMIFS(разходи!$L:$L,разходи!$E:$E,'ПП Февруари'!$C$57,разходи!$M:$M,'ПП Февруари'!X2)</f>
        <v>0</v>
      </c>
      <c r="Y53" s="74">
        <f>SUMIFS(разходи!$L:$L,разходи!$E:$E,'ПП Февруари'!$C$57,разходи!$M:$M,'ПП Февруари'!Y2)</f>
        <v>0</v>
      </c>
      <c r="Z53" s="74">
        <f>SUMIFS(разходи!$L:$L,разходи!$E:$E,'ПП Февруари'!$C$57,разходи!$M:$M,'ПП Февруари'!Z2)</f>
        <v>0</v>
      </c>
      <c r="AA53" s="74">
        <f>SUMIFS(разходи!$L:$L,разходи!$E:$E,'ПП Февруари'!$C$57,разходи!$M:$M,'ПП Февруари'!AA2)</f>
        <v>0</v>
      </c>
      <c r="AB53" s="76">
        <f>SUMIFS(разходи!$L:$L,разходи!$E:$E,'ПП Февруари'!$C$57,разходи!$M:$M,'ПП Февруари'!AB2)</f>
        <v>0</v>
      </c>
      <c r="AC53" s="76">
        <f>SUMIFS(разходи!$L:$L,разходи!$E:$E,'ПП Февруари'!$C$57,разходи!$M:$M,'ПП Февруари'!AC2)</f>
        <v>0</v>
      </c>
      <c r="AD53" s="74">
        <f>SUMIFS(разходи!$L:$L,разходи!$E:$E,'ПП Февруари'!$C$57,разходи!$M:$M,'ПП Февруари'!AD2)</f>
        <v>0</v>
      </c>
      <c r="AE53" s="74">
        <f>SUMIFS(разходи!$L:$L,разходи!$E:$E,'ПП Февруари'!$C$57,разходи!$M:$M,'ПП Февруари'!AE2)</f>
        <v>0</v>
      </c>
      <c r="AF53" s="74">
        <f>SUMIFS(разходи!$L:$L,разходи!$E:$E,'ПП Февруари'!$C$57,разходи!$M:$M,'ПП Февруари'!AF2)</f>
        <v>0</v>
      </c>
      <c r="AG53" s="74">
        <f>SUMIFS(разходи!$L:$L,разходи!$E:$E,'ПП Февруари'!$C$57,разходи!$M:$M,'ПП Февруари'!AG2)</f>
        <v>0</v>
      </c>
      <c r="AH53" s="61">
        <f t="shared" si="17"/>
        <v>0</v>
      </c>
      <c r="AI53" s="69">
        <f t="shared" si="18"/>
        <v>0</v>
      </c>
    </row>
    <row r="54" spans="1:35" s="53" customFormat="1" ht="20.100000000000001" customHeight="1" outlineLevel="2" x14ac:dyDescent="0.3">
      <c r="A54" s="51"/>
      <c r="B54" s="52"/>
      <c r="C54" s="49" t="s">
        <v>869</v>
      </c>
      <c r="D54" s="68"/>
      <c r="E54" s="59">
        <f>SUMIFS(разходи!$L:$L,разходи!$E:$E,'ПП Февруари'!$C$54,разходи!$M:$M,'ПП Февруари'!E2)</f>
        <v>0</v>
      </c>
      <c r="F54" s="74">
        <f>SUMIFS(разходи!$L:$L,разходи!$E:$E,'ПП Февруари'!$C$54,разходи!$M:$M,'ПП Февруари'!F2)</f>
        <v>0</v>
      </c>
      <c r="G54" s="76">
        <f>SUMIFS(разходи!$L:$L,разходи!$E:$E,'ПП Февруари'!$C$54,разходи!$M:$M,'ПП Февруари'!G2)</f>
        <v>0</v>
      </c>
      <c r="H54" s="76">
        <f>SUMIFS(разходи!$L:$L,разходи!$E:$E,'ПП Февруари'!$C$54,разходи!$M:$M,'ПП Февруари'!H2)</f>
        <v>0</v>
      </c>
      <c r="I54" s="74">
        <f>SUMIFS(разходи!$L:$L,разходи!$E:$E,'ПП Февруари'!$C$54,разходи!$M:$M,'ПП Февруари'!I2)</f>
        <v>0</v>
      </c>
      <c r="J54" s="74">
        <f>SUMIFS(разходи!$L:$L,разходи!$E:$E,'ПП Февруари'!$C$54,разходи!$M:$M,'ПП Февруари'!J2)</f>
        <v>0</v>
      </c>
      <c r="K54" s="74">
        <f>SUMIFS(разходи!$L:$L,разходи!$E:$E,'ПП Февруари'!$C$54,разходи!$M:$M,'ПП Февруари'!K2)</f>
        <v>0</v>
      </c>
      <c r="L54" s="74">
        <f>SUMIFS(разходи!$L:$L,разходи!$E:$E,'ПП Февруари'!$C$54,разходи!$M:$M,'ПП Февруари'!L2)</f>
        <v>0</v>
      </c>
      <c r="M54" s="74">
        <f>SUMIFS(разходи!$L:$L,разходи!$E:$E,'ПП Февруари'!$C$54,разходи!$M:$M,'ПП Февруари'!M2)</f>
        <v>0</v>
      </c>
      <c r="N54" s="76">
        <f>SUMIFS(разходи!$L:$L,разходи!$E:$E,'ПП Февруари'!$C$54,разходи!$M:$M,'ПП Февруари'!N2)</f>
        <v>0</v>
      </c>
      <c r="O54" s="76">
        <f>SUMIFS(разходи!$L:$L,разходи!$E:$E,'ПП Февруари'!$C$54,разходи!$M:$M,'ПП Февруари'!O2)</f>
        <v>0</v>
      </c>
      <c r="P54" s="74">
        <f>SUMIFS(разходи!$L:$L,разходи!$E:$E,'ПП Февруари'!$C$54,разходи!$M:$M,'ПП Февруари'!P2)</f>
        <v>0</v>
      </c>
      <c r="Q54" s="74">
        <f>SUMIFS(разходи!$L:$L,разходи!$E:$E,'ПП Февруари'!$C$54,разходи!$M:$M,'ПП Февруари'!Q2)</f>
        <v>0</v>
      </c>
      <c r="R54" s="74">
        <f>SUMIFS(разходи!$L:$L,разходи!$E:$E,'ПП Февруари'!$C$54,разходи!$M:$M,'ПП Февруари'!R2)</f>
        <v>0</v>
      </c>
      <c r="S54" s="74">
        <f>SUMIFS(разходи!$L:$L,разходи!$E:$E,'ПП Февруари'!$C$54,разходи!$M:$M,'ПП Февруари'!S2)</f>
        <v>0</v>
      </c>
      <c r="T54" s="74">
        <f>SUMIFS(разходи!$L:$L,разходи!$E:$E,'ПП Февруари'!$C$54,разходи!$M:$M,'ПП Февруари'!T2)</f>
        <v>0</v>
      </c>
      <c r="U54" s="76">
        <f>SUMIFS(разходи!$L:$L,разходи!$E:$E,'ПП Февруари'!$C$54,разходи!$M:$M,'ПП Февруари'!U2)</f>
        <v>0</v>
      </c>
      <c r="V54" s="76">
        <f>SUMIFS(разходи!$L:$L,разходи!$E:$E,'ПП Февруари'!$C$54,разходи!$M:$M,'ПП Февруари'!V2)</f>
        <v>0</v>
      </c>
      <c r="W54" s="74">
        <f>SUMIFS(разходи!$L:$L,разходи!$E:$E,'ПП Февруари'!$C$54,разходи!$M:$M,'ПП Февруари'!W2)</f>
        <v>0</v>
      </c>
      <c r="X54" s="74">
        <f>SUMIFS(разходи!$L:$L,разходи!$E:$E,'ПП Февруари'!$C$54,разходи!$M:$M,'ПП Февруари'!X2)</f>
        <v>0</v>
      </c>
      <c r="Y54" s="74">
        <f>SUMIFS(разходи!$L:$L,разходи!$E:$E,'ПП Февруари'!$C$54,разходи!$M:$M,'ПП Февруари'!Y2)</f>
        <v>0</v>
      </c>
      <c r="Z54" s="74">
        <f>SUMIFS(разходи!$L:$L,разходи!$E:$E,'ПП Февруари'!$C$54,разходи!$M:$M,'ПП Февруари'!Z2)</f>
        <v>0</v>
      </c>
      <c r="AA54" s="74">
        <f>SUMIFS(разходи!$L:$L,разходи!$E:$E,'ПП Февруари'!$C$54,разходи!$M:$M,'ПП Февруари'!AA2)</f>
        <v>0</v>
      </c>
      <c r="AB54" s="76">
        <f>SUMIFS(разходи!$L:$L,разходи!$E:$E,'ПП Февруари'!$C$54,разходи!$M:$M,'ПП Февруари'!AB2)</f>
        <v>0</v>
      </c>
      <c r="AC54" s="76">
        <f>SUMIFS(разходи!$L:$L,разходи!$E:$E,'ПП Февруари'!$C$54,разходи!$M:$M,'ПП Февруари'!AC2)</f>
        <v>0</v>
      </c>
      <c r="AD54" s="74">
        <f>SUMIFS(разходи!$L:$L,разходи!$E:$E,'ПП Февруари'!$C$54,разходи!$M:$M,'ПП Февруари'!AD2)</f>
        <v>0</v>
      </c>
      <c r="AE54" s="74">
        <f>SUMIFS(разходи!$L:$L,разходи!$E:$E,'ПП Февруари'!$C$54,разходи!$M:$M,'ПП Февруари'!AE2)</f>
        <v>0</v>
      </c>
      <c r="AF54" s="74">
        <f>SUMIFS(разходи!$L:$L,разходи!$E:$E,'ПП Февруари'!$C$54,разходи!$M:$M,'ПП Февруари'!AF2)</f>
        <v>0</v>
      </c>
      <c r="AG54" s="74">
        <f>SUMIFS(разходи!$L:$L,разходи!$E:$E,'ПП Февруари'!$C$54,разходи!$M:$M,'ПП Февруари'!AG2)</f>
        <v>0</v>
      </c>
      <c r="AH54" s="61">
        <f t="shared" si="17"/>
        <v>0</v>
      </c>
      <c r="AI54" s="69">
        <f t="shared" si="18"/>
        <v>0</v>
      </c>
    </row>
    <row r="55" spans="1:35" s="53" customFormat="1" ht="20.100000000000001" customHeight="1" outlineLevel="2" x14ac:dyDescent="0.3">
      <c r="A55" s="51"/>
      <c r="B55" s="52"/>
      <c r="C55" s="49" t="s">
        <v>415</v>
      </c>
      <c r="D55" s="68"/>
      <c r="E55" s="59">
        <f>SUMIFS(разходи!$L:$L,разходи!$E:$E,'ПП Февруари'!$C$55,разходи!$M:$M,'ПП Февруари'!E2)</f>
        <v>0</v>
      </c>
      <c r="F55" s="74">
        <f>SUMIFS(разходи!$L:$L,разходи!$E:$E,'ПП Февруари'!$C$55,разходи!$M:$M,'ПП Февруари'!F2)</f>
        <v>0</v>
      </c>
      <c r="G55" s="76">
        <f>SUMIFS(разходи!$L:$L,разходи!$E:$E,'ПП Февруари'!$C$55,разходи!$M:$M,'ПП Февруари'!G2)</f>
        <v>0</v>
      </c>
      <c r="H55" s="76">
        <f>SUMIFS(разходи!$L:$L,разходи!$E:$E,'ПП Февруари'!$C$55,разходи!$M:$M,'ПП Февруари'!H2)</f>
        <v>0</v>
      </c>
      <c r="I55" s="74">
        <f>SUMIFS(разходи!$L:$L,разходи!$E:$E,'ПП Февруари'!$C$55,разходи!$M:$M,'ПП Февруари'!I2)</f>
        <v>0</v>
      </c>
      <c r="J55" s="74">
        <f>SUMIFS(разходи!$L:$L,разходи!$E:$E,'ПП Февруари'!$C$55,разходи!$M:$M,'ПП Февруари'!J2)</f>
        <v>0</v>
      </c>
      <c r="K55" s="74">
        <f>SUMIFS(разходи!$L:$L,разходи!$E:$E,'ПП Февруари'!$C$55,разходи!$M:$M,'ПП Февруари'!K2)</f>
        <v>0</v>
      </c>
      <c r="L55" s="74">
        <f>SUMIFS(разходи!$L:$L,разходи!$E:$E,'ПП Февруари'!$C$55,разходи!$M:$M,'ПП Февруари'!L2)</f>
        <v>0</v>
      </c>
      <c r="M55" s="74">
        <f>SUMIFS(разходи!$L:$L,разходи!$E:$E,'ПП Февруари'!$C$55,разходи!$M:$M,'ПП Февруари'!M2)</f>
        <v>0</v>
      </c>
      <c r="N55" s="76">
        <f>SUMIFS(разходи!$L:$L,разходи!$E:$E,'ПП Февруари'!$C$55,разходи!$M:$M,'ПП Февруари'!N2)</f>
        <v>0</v>
      </c>
      <c r="O55" s="76">
        <f>SUMIFS(разходи!$L:$L,разходи!$E:$E,'ПП Февруари'!$C$55,разходи!$M:$M,'ПП Февруари'!O2)</f>
        <v>0</v>
      </c>
      <c r="P55" s="74">
        <f>SUMIFS(разходи!$L:$L,разходи!$E:$E,'ПП Февруари'!$C$55,разходи!$M:$M,'ПП Февруари'!P2)</f>
        <v>0</v>
      </c>
      <c r="Q55" s="74">
        <f>SUMIFS(разходи!$L:$L,разходи!$E:$E,'ПП Февруари'!$C$55,разходи!$M:$M,'ПП Февруари'!Q2)</f>
        <v>0</v>
      </c>
      <c r="R55" s="74">
        <f>SUMIFS(разходи!$L:$L,разходи!$E:$E,'ПП Февруари'!$C$55,разходи!$M:$M,'ПП Февруари'!R2)</f>
        <v>0</v>
      </c>
      <c r="S55" s="74">
        <f>SUMIFS(разходи!$L:$L,разходи!$E:$E,'ПП Февруари'!$C$55,разходи!$M:$M,'ПП Февруари'!S2)</f>
        <v>0</v>
      </c>
      <c r="T55" s="74">
        <f>SUMIFS(разходи!$L:$L,разходи!$E:$E,'ПП Февруари'!$C$55,разходи!$M:$M,'ПП Февруари'!T2)</f>
        <v>0</v>
      </c>
      <c r="U55" s="76">
        <f>SUMIFS(разходи!$L:$L,разходи!$E:$E,'ПП Февруари'!$C$55,разходи!$M:$M,'ПП Февруари'!U2)</f>
        <v>0</v>
      </c>
      <c r="V55" s="76">
        <f>SUMIFS(разходи!$L:$L,разходи!$E:$E,'ПП Февруари'!$C$55,разходи!$M:$M,'ПП Февруари'!V2)</f>
        <v>0</v>
      </c>
      <c r="W55" s="74">
        <f>SUMIFS(разходи!$L:$L,разходи!$E:$E,'ПП Февруари'!$C$55,разходи!$M:$M,'ПП Февруари'!W2)</f>
        <v>0</v>
      </c>
      <c r="X55" s="74">
        <f>SUMIFS(разходи!$L:$L,разходи!$E:$E,'ПП Февруари'!$C$55,разходи!$M:$M,'ПП Февруари'!X2)</f>
        <v>0</v>
      </c>
      <c r="Y55" s="74">
        <f>SUMIFS(разходи!$L:$L,разходи!$E:$E,'ПП Февруари'!$C$55,разходи!$M:$M,'ПП Февруари'!Y2)</f>
        <v>0</v>
      </c>
      <c r="Z55" s="74">
        <f>SUMIFS(разходи!$L:$L,разходи!$E:$E,'ПП Февруари'!$C$55,разходи!$M:$M,'ПП Февруари'!Z2)</f>
        <v>0</v>
      </c>
      <c r="AA55" s="74">
        <f>SUMIFS(разходи!$L:$L,разходи!$E:$E,'ПП Февруари'!$C$55,разходи!$M:$M,'ПП Февруари'!AA2)</f>
        <v>0</v>
      </c>
      <c r="AB55" s="76">
        <f>SUMIFS(разходи!$L:$L,разходи!$E:$E,'ПП Февруари'!$C$55,разходи!$M:$M,'ПП Февруари'!AB2)</f>
        <v>0</v>
      </c>
      <c r="AC55" s="76">
        <f>SUMIFS(разходи!$L:$L,разходи!$E:$E,'ПП Февруари'!$C$55,разходи!$M:$M,'ПП Февруари'!AC2)</f>
        <v>0</v>
      </c>
      <c r="AD55" s="74">
        <f>SUMIFS(разходи!$L:$L,разходи!$E:$E,'ПП Февруари'!$C$55,разходи!$M:$M,'ПП Февруари'!AD2)</f>
        <v>0</v>
      </c>
      <c r="AE55" s="74">
        <f>SUMIFS(разходи!$L:$L,разходи!$E:$E,'ПП Февруари'!$C$55,разходи!$M:$M,'ПП Февруари'!AE2)</f>
        <v>0</v>
      </c>
      <c r="AF55" s="74">
        <f>SUMIFS(разходи!$L:$L,разходи!$E:$E,'ПП Февруари'!$C$55,разходи!$M:$M,'ПП Февруари'!AF2)</f>
        <v>0</v>
      </c>
      <c r="AG55" s="74">
        <f>SUMIFS(разходи!$L:$L,разходи!$E:$E,'ПП Февруари'!$C$55,разходи!$M:$M,'ПП Февруари'!AG2)</f>
        <v>0</v>
      </c>
      <c r="AH55" s="61">
        <f t="shared" si="17"/>
        <v>0</v>
      </c>
      <c r="AI55" s="69">
        <f t="shared" si="18"/>
        <v>0</v>
      </c>
    </row>
    <row r="56" spans="1:35" s="39" customFormat="1" ht="20.100000000000001" customHeight="1" outlineLevel="1" x14ac:dyDescent="0.3">
      <c r="A56" s="37"/>
      <c r="B56" s="38"/>
      <c r="C56" s="48" t="s">
        <v>870</v>
      </c>
      <c r="D56" s="68"/>
      <c r="E56" s="70">
        <f t="shared" ref="E56:AG56" si="23">SUM(E57:E61)</f>
        <v>0</v>
      </c>
      <c r="F56" s="74">
        <f t="shared" si="23"/>
        <v>0</v>
      </c>
      <c r="G56" s="76">
        <f t="shared" si="23"/>
        <v>0</v>
      </c>
      <c r="H56" s="76">
        <f t="shared" si="23"/>
        <v>0</v>
      </c>
      <c r="I56" s="74">
        <f t="shared" si="23"/>
        <v>0</v>
      </c>
      <c r="J56" s="74">
        <f t="shared" si="23"/>
        <v>0</v>
      </c>
      <c r="K56" s="74">
        <f t="shared" si="23"/>
        <v>0</v>
      </c>
      <c r="L56" s="74">
        <f t="shared" si="23"/>
        <v>0</v>
      </c>
      <c r="M56" s="74">
        <f t="shared" si="23"/>
        <v>0</v>
      </c>
      <c r="N56" s="76">
        <f t="shared" si="23"/>
        <v>0</v>
      </c>
      <c r="O56" s="76">
        <f t="shared" si="23"/>
        <v>0</v>
      </c>
      <c r="P56" s="74">
        <f t="shared" si="23"/>
        <v>0</v>
      </c>
      <c r="Q56" s="74">
        <f t="shared" si="23"/>
        <v>0</v>
      </c>
      <c r="R56" s="74">
        <f t="shared" si="23"/>
        <v>0</v>
      </c>
      <c r="S56" s="74">
        <f t="shared" si="23"/>
        <v>0</v>
      </c>
      <c r="T56" s="74">
        <f t="shared" si="23"/>
        <v>0</v>
      </c>
      <c r="U56" s="76">
        <f t="shared" si="23"/>
        <v>0</v>
      </c>
      <c r="V56" s="76">
        <f t="shared" si="23"/>
        <v>0</v>
      </c>
      <c r="W56" s="74">
        <f t="shared" si="23"/>
        <v>0</v>
      </c>
      <c r="X56" s="74">
        <f t="shared" si="23"/>
        <v>0</v>
      </c>
      <c r="Y56" s="74">
        <f t="shared" si="23"/>
        <v>0</v>
      </c>
      <c r="Z56" s="74">
        <f t="shared" si="23"/>
        <v>0</v>
      </c>
      <c r="AA56" s="74">
        <f t="shared" si="23"/>
        <v>0</v>
      </c>
      <c r="AB56" s="76">
        <f t="shared" si="23"/>
        <v>0</v>
      </c>
      <c r="AC56" s="76">
        <f t="shared" si="23"/>
        <v>0</v>
      </c>
      <c r="AD56" s="74">
        <f t="shared" si="23"/>
        <v>0</v>
      </c>
      <c r="AE56" s="74">
        <f t="shared" si="23"/>
        <v>0</v>
      </c>
      <c r="AF56" s="74">
        <f t="shared" si="23"/>
        <v>0</v>
      </c>
      <c r="AG56" s="74">
        <f t="shared" si="23"/>
        <v>0</v>
      </c>
      <c r="AH56" s="61">
        <f t="shared" si="17"/>
        <v>0</v>
      </c>
      <c r="AI56" s="69">
        <f t="shared" si="18"/>
        <v>0</v>
      </c>
    </row>
    <row r="57" spans="1:35" s="39" customFormat="1" ht="20.100000000000001" customHeight="1" outlineLevel="2" x14ac:dyDescent="0.3">
      <c r="A57" s="37"/>
      <c r="B57" s="38"/>
      <c r="C57" s="49" t="s">
        <v>871</v>
      </c>
      <c r="D57" s="68"/>
      <c r="E57" s="70">
        <f>SUMIFS(разходи!$L:$L,разходи!$E:$E,'ПП Февруари'!$C$57,разходи!$M:$M,'ПП Февруари'!E2)</f>
        <v>0</v>
      </c>
      <c r="F57" s="74">
        <f>SUMIFS(разходи!$L:$L,разходи!$E:$E,'ПП Февруари'!$C$57,разходи!$M:$M,'ПП Февруари'!F2)</f>
        <v>0</v>
      </c>
      <c r="G57" s="76">
        <f>SUMIFS(разходи!$L:$L,разходи!$E:$E,'ПП Февруари'!$C$57,разходи!$M:$M,'ПП Февруари'!G2)</f>
        <v>0</v>
      </c>
      <c r="H57" s="76">
        <f>SUMIFS(разходи!$L:$L,разходи!$E:$E,'ПП Февруари'!$C$57,разходи!$M:$M,'ПП Февруари'!H2)</f>
        <v>0</v>
      </c>
      <c r="I57" s="74">
        <f>SUMIFS(разходи!$L:$L,разходи!$E:$E,'ПП Февруари'!$C$57,разходи!$M:$M,'ПП Февруари'!I2)</f>
        <v>0</v>
      </c>
      <c r="J57" s="74">
        <f>SUMIFS(разходи!$L:$L,разходи!$E:$E,'ПП Февруари'!$C$57,разходи!$M:$M,'ПП Февруари'!J2)</f>
        <v>0</v>
      </c>
      <c r="K57" s="74">
        <f>SUMIFS(разходи!$L:$L,разходи!$E:$E,'ПП Февруари'!$C$57,разходи!$M:$M,'ПП Февруари'!K2)</f>
        <v>0</v>
      </c>
      <c r="L57" s="74">
        <f>SUMIFS(разходи!$L:$L,разходи!$E:$E,'ПП Февруари'!$C$57,разходи!$M:$M,'ПП Февруари'!L2)</f>
        <v>0</v>
      </c>
      <c r="M57" s="74">
        <f>SUMIFS(разходи!$L:$L,разходи!$E:$E,'ПП Февруари'!$C$57,разходи!$M:$M,'ПП Февруари'!M2)</f>
        <v>0</v>
      </c>
      <c r="N57" s="76">
        <f>SUMIFS(разходи!$L:$L,разходи!$E:$E,'ПП Февруари'!$C$57,разходи!$M:$M,'ПП Февруари'!N2)</f>
        <v>0</v>
      </c>
      <c r="O57" s="76">
        <f>SUMIFS(разходи!$L:$L,разходи!$E:$E,'ПП Февруари'!$C$57,разходи!$M:$M,'ПП Февруари'!O2)</f>
        <v>0</v>
      </c>
      <c r="P57" s="74">
        <f>SUMIFS(разходи!$L:$L,разходи!$E:$E,'ПП Февруари'!$C$57,разходи!$M:$M,'ПП Февруари'!P2)</f>
        <v>0</v>
      </c>
      <c r="Q57" s="74">
        <f>SUMIFS(разходи!$L:$L,разходи!$E:$E,'ПП Февруари'!$C$57,разходи!$M:$M,'ПП Февруари'!Q2)</f>
        <v>0</v>
      </c>
      <c r="R57" s="74">
        <f>SUMIFS(разходи!$L:$L,разходи!$E:$E,'ПП Февруари'!$C$57,разходи!$M:$M,'ПП Февруари'!R2)</f>
        <v>0</v>
      </c>
      <c r="S57" s="74">
        <f>SUMIFS(разходи!$L:$L,разходи!$E:$E,'ПП Февруари'!$C$57,разходи!$M:$M,'ПП Февруари'!S2)</f>
        <v>0</v>
      </c>
      <c r="T57" s="74">
        <f>SUMIFS(разходи!$L:$L,разходи!$E:$E,'ПП Февруари'!$C$57,разходи!$M:$M,'ПП Февруари'!T2)</f>
        <v>0</v>
      </c>
      <c r="U57" s="76">
        <f>SUMIFS(разходи!$L:$L,разходи!$E:$E,'ПП Февруари'!$C$57,разходи!$M:$M,'ПП Февруари'!U2)</f>
        <v>0</v>
      </c>
      <c r="V57" s="76">
        <f>SUMIFS(разходи!$L:$L,разходи!$E:$E,'ПП Февруари'!$C$57,разходи!$M:$M,'ПП Февруари'!V2)</f>
        <v>0</v>
      </c>
      <c r="W57" s="74">
        <f>SUMIFS(разходи!$L:$L,разходи!$E:$E,'ПП Февруари'!$C$57,разходи!$M:$M,'ПП Февруари'!W2)</f>
        <v>0</v>
      </c>
      <c r="X57" s="74">
        <f>SUMIFS(разходи!$L:$L,разходи!$E:$E,'ПП Февруари'!$C$57,разходи!$M:$M,'ПП Февруари'!X2)</f>
        <v>0</v>
      </c>
      <c r="Y57" s="74">
        <f>SUMIFS(разходи!$L:$L,разходи!$E:$E,'ПП Февруари'!$C$57,разходи!$M:$M,'ПП Февруари'!Y2)</f>
        <v>0</v>
      </c>
      <c r="Z57" s="74">
        <f>SUMIFS(разходи!$L:$L,разходи!$E:$E,'ПП Февруари'!$C$57,разходи!$M:$M,'ПП Февруари'!Z2)</f>
        <v>0</v>
      </c>
      <c r="AA57" s="74">
        <f>SUMIFS(разходи!$L:$L,разходи!$E:$E,'ПП Февруари'!$C$57,разходи!$M:$M,'ПП Февруари'!AA2)</f>
        <v>0</v>
      </c>
      <c r="AB57" s="76">
        <f>SUMIFS(разходи!$L:$L,разходи!$E:$E,'ПП Февруари'!$C$57,разходи!$M:$M,'ПП Февруари'!AB2)</f>
        <v>0</v>
      </c>
      <c r="AC57" s="76">
        <f>SUMIFS(разходи!$L:$L,разходи!$E:$E,'ПП Февруари'!$C$57,разходи!$M:$M,'ПП Февруари'!AC2)</f>
        <v>0</v>
      </c>
      <c r="AD57" s="74">
        <f>SUMIFS(разходи!$L:$L,разходи!$E:$E,'ПП Февруари'!$C$57,разходи!$M:$M,'ПП Февруари'!AD2)</f>
        <v>0</v>
      </c>
      <c r="AE57" s="74">
        <f>SUMIFS(разходи!$L:$L,разходи!$E:$E,'ПП Февруари'!$C$57,разходи!$M:$M,'ПП Февруари'!AE2)</f>
        <v>0</v>
      </c>
      <c r="AF57" s="74">
        <f>SUMIFS(разходи!$L:$L,разходи!$E:$E,'ПП Февруари'!$C$57,разходи!$M:$M,'ПП Февруари'!AF2)</f>
        <v>0</v>
      </c>
      <c r="AG57" s="74">
        <f>SUMIFS(разходи!$L:$L,разходи!$E:$E,'ПП Февруари'!$C$57,разходи!$M:$M,'ПП Февруари'!AG2)</f>
        <v>0</v>
      </c>
      <c r="AH57" s="61">
        <f t="shared" si="17"/>
        <v>0</v>
      </c>
      <c r="AI57" s="69">
        <f t="shared" si="18"/>
        <v>0</v>
      </c>
    </row>
    <row r="58" spans="1:35" s="39" customFormat="1" ht="20.100000000000001" customHeight="1" outlineLevel="2" x14ac:dyDescent="0.3">
      <c r="A58" s="37"/>
      <c r="B58" s="38"/>
      <c r="C58" s="49" t="s">
        <v>872</v>
      </c>
      <c r="D58" s="68"/>
      <c r="E58" s="70">
        <f>SUMIFS(разходи!$L:$L,разходи!$E:$E,'ПП Февруари'!$C$58,разходи!$M:$M,'ПП Февруари'!E2)</f>
        <v>0</v>
      </c>
      <c r="F58" s="74">
        <f>SUMIFS(разходи!$L:$L,разходи!$E:$E,'ПП Февруари'!$C$58,разходи!$M:$M,'ПП Февруари'!F2)</f>
        <v>0</v>
      </c>
      <c r="G58" s="76">
        <f>SUMIFS(разходи!$L:$L,разходи!$E:$E,'ПП Февруари'!$C$58,разходи!$M:$M,'ПП Февруари'!G2)</f>
        <v>0</v>
      </c>
      <c r="H58" s="76">
        <f>SUMIFS(разходи!$L:$L,разходи!$E:$E,'ПП Февруари'!$C$58,разходи!$M:$M,'ПП Февруари'!H2)</f>
        <v>0</v>
      </c>
      <c r="I58" s="74">
        <f>SUMIFS(разходи!$L:$L,разходи!$E:$E,'ПП Февруари'!$C$58,разходи!$M:$M,'ПП Февруари'!I2)</f>
        <v>0</v>
      </c>
      <c r="J58" s="74">
        <f>SUMIFS(разходи!$L:$L,разходи!$E:$E,'ПП Февруари'!$C$58,разходи!$M:$M,'ПП Февруари'!J2)</f>
        <v>0</v>
      </c>
      <c r="K58" s="74">
        <f>SUMIFS(разходи!$L:$L,разходи!$E:$E,'ПП Февруари'!$C$58,разходи!$M:$M,'ПП Февруари'!K2)</f>
        <v>0</v>
      </c>
      <c r="L58" s="74">
        <f>SUMIFS(разходи!$L:$L,разходи!$E:$E,'ПП Февруари'!$C$58,разходи!$M:$M,'ПП Февруари'!L2)</f>
        <v>0</v>
      </c>
      <c r="M58" s="74">
        <f>SUMIFS(разходи!$L:$L,разходи!$E:$E,'ПП Февруари'!$C$58,разходи!$M:$M,'ПП Февруари'!M2)</f>
        <v>0</v>
      </c>
      <c r="N58" s="76">
        <f>SUMIFS(разходи!$L:$L,разходи!$E:$E,'ПП Февруари'!$C$58,разходи!$M:$M,'ПП Февруари'!N2)</f>
        <v>0</v>
      </c>
      <c r="O58" s="76">
        <f>SUMIFS(разходи!$L:$L,разходи!$E:$E,'ПП Февруари'!$C$58,разходи!$M:$M,'ПП Февруари'!O2)</f>
        <v>0</v>
      </c>
      <c r="P58" s="74">
        <f>SUMIFS(разходи!$L:$L,разходи!$E:$E,'ПП Февруари'!$C$58,разходи!$M:$M,'ПП Февруари'!P2)</f>
        <v>0</v>
      </c>
      <c r="Q58" s="74">
        <f>SUMIFS(разходи!$L:$L,разходи!$E:$E,'ПП Февруари'!$C$58,разходи!$M:$M,'ПП Февруари'!Q2)</f>
        <v>0</v>
      </c>
      <c r="R58" s="74">
        <f>SUMIFS(разходи!$L:$L,разходи!$E:$E,'ПП Февруари'!$C$58,разходи!$M:$M,'ПП Февруари'!R2)</f>
        <v>0</v>
      </c>
      <c r="S58" s="74">
        <f>SUMIFS(разходи!$L:$L,разходи!$E:$E,'ПП Февруари'!$C$58,разходи!$M:$M,'ПП Февруари'!S2)</f>
        <v>0</v>
      </c>
      <c r="T58" s="74">
        <f>SUMIFS(разходи!$L:$L,разходи!$E:$E,'ПП Февруари'!$C$58,разходи!$M:$M,'ПП Февруари'!T2)</f>
        <v>0</v>
      </c>
      <c r="U58" s="76">
        <f>SUMIFS(разходи!$L:$L,разходи!$E:$E,'ПП Февруари'!$C$58,разходи!$M:$M,'ПП Февруари'!U2)</f>
        <v>0</v>
      </c>
      <c r="V58" s="76">
        <f>SUMIFS(разходи!$L:$L,разходи!$E:$E,'ПП Февруари'!$C$58,разходи!$M:$M,'ПП Февруари'!V2)</f>
        <v>0</v>
      </c>
      <c r="W58" s="74">
        <f>SUMIFS(разходи!$L:$L,разходи!$E:$E,'ПП Февруари'!$C$58,разходи!$M:$M,'ПП Февруари'!W2)</f>
        <v>0</v>
      </c>
      <c r="X58" s="74">
        <f>SUMIFS(разходи!$L:$L,разходи!$E:$E,'ПП Февруари'!$C$58,разходи!$M:$M,'ПП Февруари'!X2)</f>
        <v>0</v>
      </c>
      <c r="Y58" s="74">
        <f>SUMIFS(разходи!$L:$L,разходи!$E:$E,'ПП Февруари'!$C$58,разходи!$M:$M,'ПП Февруари'!Y2)</f>
        <v>0</v>
      </c>
      <c r="Z58" s="74">
        <f>SUMIFS(разходи!$L:$L,разходи!$E:$E,'ПП Февруари'!$C$58,разходи!$M:$M,'ПП Февруари'!Z2)</f>
        <v>0</v>
      </c>
      <c r="AA58" s="74">
        <f>SUMIFS(разходи!$L:$L,разходи!$E:$E,'ПП Февруари'!$C$58,разходи!$M:$M,'ПП Февруари'!AA2)</f>
        <v>0</v>
      </c>
      <c r="AB58" s="76">
        <f>SUMIFS(разходи!$L:$L,разходи!$E:$E,'ПП Февруари'!$C$58,разходи!$M:$M,'ПП Февруари'!AB2)</f>
        <v>0</v>
      </c>
      <c r="AC58" s="76">
        <f>SUMIFS(разходи!$L:$L,разходи!$E:$E,'ПП Февруари'!$C$58,разходи!$M:$M,'ПП Февруари'!AC2)</f>
        <v>0</v>
      </c>
      <c r="AD58" s="74">
        <f>SUMIFS(разходи!$L:$L,разходи!$E:$E,'ПП Февруари'!$C$58,разходи!$M:$M,'ПП Февруари'!AD2)</f>
        <v>0</v>
      </c>
      <c r="AE58" s="74">
        <f>SUMIFS(разходи!$L:$L,разходи!$E:$E,'ПП Февруари'!$C$58,разходи!$M:$M,'ПП Февруари'!AE2)</f>
        <v>0</v>
      </c>
      <c r="AF58" s="74">
        <f>SUMIFS(разходи!$L:$L,разходи!$E:$E,'ПП Февруари'!$C$58,разходи!$M:$M,'ПП Февруари'!AF2)</f>
        <v>0</v>
      </c>
      <c r="AG58" s="74">
        <f>SUMIFS(разходи!$L:$L,разходи!$E:$E,'ПП Февруари'!$C$58,разходи!$M:$M,'ПП Февруари'!AG2)</f>
        <v>0</v>
      </c>
      <c r="AH58" s="61">
        <f t="shared" si="17"/>
        <v>0</v>
      </c>
      <c r="AI58" s="69">
        <f t="shared" si="18"/>
        <v>0</v>
      </c>
    </row>
    <row r="59" spans="1:35" s="39" customFormat="1" ht="20.100000000000001" customHeight="1" outlineLevel="2" x14ac:dyDescent="0.3">
      <c r="A59" s="37"/>
      <c r="B59" s="38"/>
      <c r="C59" s="49" t="s">
        <v>786</v>
      </c>
      <c r="D59" s="68"/>
      <c r="E59" s="70">
        <f>SUMIFS(разходи!$L:$L,разходи!$E:$E,'ПП Февруари'!$C$59,разходи!$M:$M,'ПП Февруари'!E2)</f>
        <v>0</v>
      </c>
      <c r="F59" s="74">
        <f>SUMIFS(разходи!$L:$L,разходи!$E:$E,'ПП Февруари'!$C$59,разходи!$M:$M,'ПП Февруари'!F2)</f>
        <v>0</v>
      </c>
      <c r="G59" s="76">
        <f>SUMIFS(разходи!$L:$L,разходи!$E:$E,'ПП Февруари'!$C$59,разходи!$M:$M,'ПП Февруари'!G2)</f>
        <v>0</v>
      </c>
      <c r="H59" s="76">
        <f>SUMIFS(разходи!$L:$L,разходи!$E:$E,'ПП Февруари'!$C$59,разходи!$M:$M,'ПП Февруари'!H2)</f>
        <v>0</v>
      </c>
      <c r="I59" s="74">
        <f>SUMIFS(разходи!$L:$L,разходи!$E:$E,'ПП Февруари'!$C$59,разходи!$M:$M,'ПП Февруари'!I2)</f>
        <v>0</v>
      </c>
      <c r="J59" s="74">
        <f>SUMIFS(разходи!$L:$L,разходи!$E:$E,'ПП Февруари'!$C$59,разходи!$M:$M,'ПП Февруари'!J2)</f>
        <v>0</v>
      </c>
      <c r="K59" s="74">
        <f>SUMIFS(разходи!$L:$L,разходи!$E:$E,'ПП Февруари'!$C$59,разходи!$M:$M,'ПП Февруари'!K2)</f>
        <v>0</v>
      </c>
      <c r="L59" s="74">
        <f>SUMIFS(разходи!$L:$L,разходи!$E:$E,'ПП Февруари'!$C$59,разходи!$M:$M,'ПП Февруари'!L2)</f>
        <v>0</v>
      </c>
      <c r="M59" s="74">
        <f>SUMIFS(разходи!$L:$L,разходи!$E:$E,'ПП Февруари'!$C$59,разходи!$M:$M,'ПП Февруари'!M2)</f>
        <v>0</v>
      </c>
      <c r="N59" s="76">
        <f>SUMIFS(разходи!$L:$L,разходи!$E:$E,'ПП Февруари'!$C$59,разходи!$M:$M,'ПП Февруари'!N2)</f>
        <v>0</v>
      </c>
      <c r="O59" s="76">
        <f>SUMIFS(разходи!$L:$L,разходи!$E:$E,'ПП Февруари'!$C$59,разходи!$M:$M,'ПП Февруари'!O2)</f>
        <v>0</v>
      </c>
      <c r="P59" s="74">
        <f>SUMIFS(разходи!$L:$L,разходи!$E:$E,'ПП Февруари'!$C$59,разходи!$M:$M,'ПП Февруари'!P2)</f>
        <v>0</v>
      </c>
      <c r="Q59" s="74">
        <f>SUMIFS(разходи!$L:$L,разходи!$E:$E,'ПП Февруари'!$C$59,разходи!$M:$M,'ПП Февруари'!Q2)</f>
        <v>0</v>
      </c>
      <c r="R59" s="74">
        <f>SUMIFS(разходи!$L:$L,разходи!$E:$E,'ПП Февруари'!$C$59,разходи!$M:$M,'ПП Февруари'!R2)</f>
        <v>0</v>
      </c>
      <c r="S59" s="74">
        <f>SUMIFS(разходи!$L:$L,разходи!$E:$E,'ПП Февруари'!$C$59,разходи!$M:$M,'ПП Февруари'!S2)</f>
        <v>0</v>
      </c>
      <c r="T59" s="74">
        <f>SUMIFS(разходи!$L:$L,разходи!$E:$E,'ПП Февруари'!$C$59,разходи!$M:$M,'ПП Февруари'!T2)</f>
        <v>0</v>
      </c>
      <c r="U59" s="76">
        <f>SUMIFS(разходи!$L:$L,разходи!$E:$E,'ПП Февруари'!$C$59,разходи!$M:$M,'ПП Февруари'!U2)</f>
        <v>0</v>
      </c>
      <c r="V59" s="76">
        <f>SUMIFS(разходи!$L:$L,разходи!$E:$E,'ПП Февруари'!$C$59,разходи!$M:$M,'ПП Февруари'!V2)</f>
        <v>0</v>
      </c>
      <c r="W59" s="74">
        <f>SUMIFS(разходи!$L:$L,разходи!$E:$E,'ПП Февруари'!$C$59,разходи!$M:$M,'ПП Февруари'!W2)</f>
        <v>0</v>
      </c>
      <c r="X59" s="74">
        <f>SUMIFS(разходи!$L:$L,разходи!$E:$E,'ПП Февруари'!$C$59,разходи!$M:$M,'ПП Февруари'!X2)</f>
        <v>0</v>
      </c>
      <c r="Y59" s="74">
        <f>SUMIFS(разходи!$L:$L,разходи!$E:$E,'ПП Февруари'!$C$59,разходи!$M:$M,'ПП Февруари'!Y2)</f>
        <v>0</v>
      </c>
      <c r="Z59" s="74">
        <f>SUMIFS(разходи!$L:$L,разходи!$E:$E,'ПП Февруари'!$C$59,разходи!$M:$M,'ПП Февруари'!Z2)</f>
        <v>0</v>
      </c>
      <c r="AA59" s="74">
        <f>SUMIFS(разходи!$L:$L,разходи!$E:$E,'ПП Февруари'!$C$59,разходи!$M:$M,'ПП Февруари'!AA2)</f>
        <v>0</v>
      </c>
      <c r="AB59" s="76">
        <f>SUMIFS(разходи!$L:$L,разходи!$E:$E,'ПП Февруари'!$C$59,разходи!$M:$M,'ПП Февруари'!AB2)</f>
        <v>0</v>
      </c>
      <c r="AC59" s="76">
        <f>SUMIFS(разходи!$L:$L,разходи!$E:$E,'ПП Февруари'!$C$59,разходи!$M:$M,'ПП Февруари'!AC2)</f>
        <v>0</v>
      </c>
      <c r="AD59" s="74">
        <f>SUMIFS(разходи!$L:$L,разходи!$E:$E,'ПП Февруари'!$C$59,разходи!$M:$M,'ПП Февруари'!AD2)</f>
        <v>0</v>
      </c>
      <c r="AE59" s="74">
        <f>SUMIFS(разходи!$L:$L,разходи!$E:$E,'ПП Февруари'!$C$59,разходи!$M:$M,'ПП Февруари'!AE2)</f>
        <v>0</v>
      </c>
      <c r="AF59" s="74">
        <f>SUMIFS(разходи!$L:$L,разходи!$E:$E,'ПП Февруари'!$C$59,разходи!$M:$M,'ПП Февруари'!AF2)</f>
        <v>0</v>
      </c>
      <c r="AG59" s="74">
        <f>SUMIFS(разходи!$L:$L,разходи!$E:$E,'ПП Февруари'!$C$59,разходи!$M:$M,'ПП Февруари'!AG2)</f>
        <v>0</v>
      </c>
      <c r="AH59" s="61">
        <f t="shared" si="17"/>
        <v>0</v>
      </c>
      <c r="AI59" s="69">
        <f t="shared" si="18"/>
        <v>0</v>
      </c>
    </row>
    <row r="60" spans="1:35" s="39" customFormat="1" ht="20.100000000000001" customHeight="1" outlineLevel="2" x14ac:dyDescent="0.3">
      <c r="A60" s="37"/>
      <c r="B60" s="38"/>
      <c r="C60" s="49" t="s">
        <v>873</v>
      </c>
      <c r="D60" s="68"/>
      <c r="E60" s="70">
        <f>SUMIFS(разходи!$L:$L,разходи!$E:$E,'ПП Февруари'!$C$60,разходи!$M:$M,'ПП Февруари'!E2)</f>
        <v>0</v>
      </c>
      <c r="F60" s="74">
        <f>SUMIFS(разходи!$L:$L,разходи!$E:$E,'ПП Февруари'!$C$60,разходи!$M:$M,'ПП Февруари'!F2)</f>
        <v>0</v>
      </c>
      <c r="G60" s="76">
        <f>SUMIFS(разходи!$L:$L,разходи!$E:$E,'ПП Февруари'!$C$60,разходи!$M:$M,'ПП Февруари'!G2)</f>
        <v>0</v>
      </c>
      <c r="H60" s="76">
        <f>SUMIFS(разходи!$L:$L,разходи!$E:$E,'ПП Февруари'!$C$60,разходи!$M:$M,'ПП Февруари'!H2)</f>
        <v>0</v>
      </c>
      <c r="I60" s="74">
        <f>SUMIFS(разходи!$L:$L,разходи!$E:$E,'ПП Февруари'!$C$60,разходи!$M:$M,'ПП Февруари'!I2)</f>
        <v>0</v>
      </c>
      <c r="J60" s="74">
        <f>SUMIFS(разходи!$L:$L,разходи!$E:$E,'ПП Февруари'!$C$60,разходи!$M:$M,'ПП Февруари'!J2)</f>
        <v>0</v>
      </c>
      <c r="K60" s="74">
        <f>SUMIFS(разходи!$L:$L,разходи!$E:$E,'ПП Февруари'!$C$60,разходи!$M:$M,'ПП Февруари'!K2)</f>
        <v>0</v>
      </c>
      <c r="L60" s="74">
        <f>SUMIFS(разходи!$L:$L,разходи!$E:$E,'ПП Февруари'!$C$60,разходи!$M:$M,'ПП Февруари'!L2)</f>
        <v>0</v>
      </c>
      <c r="M60" s="74">
        <f>SUMIFS(разходи!$L:$L,разходи!$E:$E,'ПП Февруари'!$C$60,разходи!$M:$M,'ПП Февруари'!M2)</f>
        <v>0</v>
      </c>
      <c r="N60" s="76">
        <f>SUMIFS(разходи!$L:$L,разходи!$E:$E,'ПП Февруари'!$C$60,разходи!$M:$M,'ПП Февруари'!N2)</f>
        <v>0</v>
      </c>
      <c r="O60" s="76">
        <f>SUMIFS(разходи!$L:$L,разходи!$E:$E,'ПП Февруари'!$C$60,разходи!$M:$M,'ПП Февруари'!O2)</f>
        <v>0</v>
      </c>
      <c r="P60" s="74">
        <f>SUMIFS(разходи!$L:$L,разходи!$E:$E,'ПП Февруари'!$C$60,разходи!$M:$M,'ПП Февруари'!P2)</f>
        <v>0</v>
      </c>
      <c r="Q60" s="74">
        <f>SUMIFS(разходи!$L:$L,разходи!$E:$E,'ПП Февруари'!$C$60,разходи!$M:$M,'ПП Февруари'!Q2)</f>
        <v>0</v>
      </c>
      <c r="R60" s="74">
        <f>SUMIFS(разходи!$L:$L,разходи!$E:$E,'ПП Февруари'!$C$60,разходи!$M:$M,'ПП Февруари'!R2)</f>
        <v>0</v>
      </c>
      <c r="S60" s="74">
        <f>SUMIFS(разходи!$L:$L,разходи!$E:$E,'ПП Февруари'!$C$60,разходи!$M:$M,'ПП Февруари'!S2)</f>
        <v>0</v>
      </c>
      <c r="T60" s="74">
        <f>SUMIFS(разходи!$L:$L,разходи!$E:$E,'ПП Февруари'!$C$60,разходи!$M:$M,'ПП Февруари'!T2)</f>
        <v>0</v>
      </c>
      <c r="U60" s="76">
        <f>SUMIFS(разходи!$L:$L,разходи!$E:$E,'ПП Февруари'!$C$60,разходи!$M:$M,'ПП Февруари'!U2)</f>
        <v>0</v>
      </c>
      <c r="V60" s="76">
        <f>SUMIFS(разходи!$L:$L,разходи!$E:$E,'ПП Февруари'!$C$60,разходи!$M:$M,'ПП Февруари'!V2)</f>
        <v>0</v>
      </c>
      <c r="W60" s="74">
        <f>SUMIFS(разходи!$L:$L,разходи!$E:$E,'ПП Февруари'!$C$60,разходи!$M:$M,'ПП Февруари'!W2)</f>
        <v>0</v>
      </c>
      <c r="X60" s="74">
        <f>SUMIFS(разходи!$L:$L,разходи!$E:$E,'ПП Февруари'!$C$60,разходи!$M:$M,'ПП Февруари'!X2)</f>
        <v>0</v>
      </c>
      <c r="Y60" s="74">
        <f>SUMIFS(разходи!$L:$L,разходи!$E:$E,'ПП Февруари'!$C$60,разходи!$M:$M,'ПП Февруари'!Y2)</f>
        <v>0</v>
      </c>
      <c r="Z60" s="74">
        <f>SUMIFS(разходи!$L:$L,разходи!$E:$E,'ПП Февруари'!$C$60,разходи!$M:$M,'ПП Февруари'!Z2)</f>
        <v>0</v>
      </c>
      <c r="AA60" s="74">
        <f>SUMIFS(разходи!$L:$L,разходи!$E:$E,'ПП Февруари'!$C$60,разходи!$M:$M,'ПП Февруари'!AA2)</f>
        <v>0</v>
      </c>
      <c r="AB60" s="76">
        <f>SUMIFS(разходи!$L:$L,разходи!$E:$E,'ПП Февруари'!$C$60,разходи!$M:$M,'ПП Февруари'!AB2)</f>
        <v>0</v>
      </c>
      <c r="AC60" s="76">
        <f>SUMIFS(разходи!$L:$L,разходи!$E:$E,'ПП Февруари'!$C$60,разходи!$M:$M,'ПП Февруари'!AC2)</f>
        <v>0</v>
      </c>
      <c r="AD60" s="74">
        <f>SUMIFS(разходи!$L:$L,разходи!$E:$E,'ПП Февруари'!$C$60,разходи!$M:$M,'ПП Февруари'!AD2)</f>
        <v>0</v>
      </c>
      <c r="AE60" s="74">
        <f>SUMIFS(разходи!$L:$L,разходи!$E:$E,'ПП Февруари'!$C$60,разходи!$M:$M,'ПП Февруари'!AE2)</f>
        <v>0</v>
      </c>
      <c r="AF60" s="74">
        <f>SUMIFS(разходи!$L:$L,разходи!$E:$E,'ПП Февруари'!$C$60,разходи!$M:$M,'ПП Февруари'!AF2)</f>
        <v>0</v>
      </c>
      <c r="AG60" s="74">
        <f>SUMIFS(разходи!$L:$L,разходи!$E:$E,'ПП Февруари'!$C$60,разходи!$M:$M,'ПП Февруари'!AG2)</f>
        <v>0</v>
      </c>
      <c r="AH60" s="61">
        <f t="shared" si="17"/>
        <v>0</v>
      </c>
      <c r="AI60" s="69">
        <f t="shared" si="18"/>
        <v>0</v>
      </c>
    </row>
    <row r="61" spans="1:35" s="39" customFormat="1" ht="20.100000000000001" customHeight="1" outlineLevel="2" x14ac:dyDescent="0.3">
      <c r="A61" s="37"/>
      <c r="B61" s="38"/>
      <c r="C61" s="49" t="s">
        <v>874</v>
      </c>
      <c r="D61" s="68"/>
      <c r="E61" s="70">
        <f>SUMIFS(разходи!$L:$L,разходи!$E:$E,'ПП Февруари'!$C$61,разходи!$M:$M,'ПП Февруари'!E2)</f>
        <v>0</v>
      </c>
      <c r="F61" s="74">
        <f>SUMIFS(разходи!$L:$L,разходи!$E:$E,'ПП Февруари'!$C$61,разходи!$M:$M,'ПП Февруари'!F2)</f>
        <v>0</v>
      </c>
      <c r="G61" s="76">
        <f>SUMIFS(разходи!$L:$L,разходи!$E:$E,'ПП Февруари'!$C$61,разходи!$M:$M,'ПП Февруари'!G2)</f>
        <v>0</v>
      </c>
      <c r="H61" s="76">
        <f>SUMIFS(разходи!$L:$L,разходи!$E:$E,'ПП Февруари'!$C$61,разходи!$M:$M,'ПП Февруари'!H2)</f>
        <v>0</v>
      </c>
      <c r="I61" s="74">
        <f>SUMIFS(разходи!$L:$L,разходи!$E:$E,'ПП Февруари'!$C$61,разходи!$M:$M,'ПП Февруари'!I2)</f>
        <v>0</v>
      </c>
      <c r="J61" s="74">
        <f>SUMIFS(разходи!$L:$L,разходи!$E:$E,'ПП Февруари'!$C$61,разходи!$M:$M,'ПП Февруари'!J2)</f>
        <v>0</v>
      </c>
      <c r="K61" s="74">
        <f>SUMIFS(разходи!$L:$L,разходи!$E:$E,'ПП Февруари'!$C$61,разходи!$M:$M,'ПП Февруари'!K2)</f>
        <v>0</v>
      </c>
      <c r="L61" s="74">
        <f>SUMIFS(разходи!$L:$L,разходи!$E:$E,'ПП Февруари'!$C$61,разходи!$M:$M,'ПП Февруари'!L2)</f>
        <v>0</v>
      </c>
      <c r="M61" s="74">
        <f>SUMIFS(разходи!$L:$L,разходи!$E:$E,'ПП Февруари'!$C$61,разходи!$M:$M,'ПП Февруари'!M2)</f>
        <v>0</v>
      </c>
      <c r="N61" s="76">
        <f>SUMIFS(разходи!$L:$L,разходи!$E:$E,'ПП Февруари'!$C$61,разходи!$M:$M,'ПП Февруари'!N2)</f>
        <v>0</v>
      </c>
      <c r="O61" s="76">
        <f>SUMIFS(разходи!$L:$L,разходи!$E:$E,'ПП Февруари'!$C$61,разходи!$M:$M,'ПП Февруари'!O2)</f>
        <v>0</v>
      </c>
      <c r="P61" s="74">
        <f>SUMIFS(разходи!$L:$L,разходи!$E:$E,'ПП Февруари'!$C$61,разходи!$M:$M,'ПП Февруари'!P2)</f>
        <v>0</v>
      </c>
      <c r="Q61" s="74">
        <f>SUMIFS(разходи!$L:$L,разходи!$E:$E,'ПП Февруари'!$C$61,разходи!$M:$M,'ПП Февруари'!Q2)</f>
        <v>0</v>
      </c>
      <c r="R61" s="74">
        <f>SUMIFS(разходи!$L:$L,разходи!$E:$E,'ПП Февруари'!$C$61,разходи!$M:$M,'ПП Февруари'!R2)</f>
        <v>0</v>
      </c>
      <c r="S61" s="74">
        <f>SUMIFS(разходи!$L:$L,разходи!$E:$E,'ПП Февруари'!$C$61,разходи!$M:$M,'ПП Февруари'!S2)</f>
        <v>0</v>
      </c>
      <c r="T61" s="74">
        <f>SUMIFS(разходи!$L:$L,разходи!$E:$E,'ПП Февруари'!$C$61,разходи!$M:$M,'ПП Февруари'!T2)</f>
        <v>0</v>
      </c>
      <c r="U61" s="76">
        <f>SUMIFS(разходи!$L:$L,разходи!$E:$E,'ПП Февруари'!$C$61,разходи!$M:$M,'ПП Февруари'!U2)</f>
        <v>0</v>
      </c>
      <c r="V61" s="76">
        <f>SUMIFS(разходи!$L:$L,разходи!$E:$E,'ПП Февруари'!$C$61,разходи!$M:$M,'ПП Февруари'!V2)</f>
        <v>0</v>
      </c>
      <c r="W61" s="74">
        <f>SUMIFS(разходи!$L:$L,разходи!$E:$E,'ПП Февруари'!$C$61,разходи!$M:$M,'ПП Февруари'!W2)</f>
        <v>0</v>
      </c>
      <c r="X61" s="74">
        <f>SUMIFS(разходи!$L:$L,разходи!$E:$E,'ПП Февруари'!$C$61,разходи!$M:$M,'ПП Февруари'!X2)</f>
        <v>0</v>
      </c>
      <c r="Y61" s="74">
        <f>SUMIFS(разходи!$L:$L,разходи!$E:$E,'ПП Февруари'!$C$61,разходи!$M:$M,'ПП Февруари'!Y2)</f>
        <v>0</v>
      </c>
      <c r="Z61" s="74">
        <f>SUMIFS(разходи!$L:$L,разходи!$E:$E,'ПП Февруари'!$C$61,разходи!$M:$M,'ПП Февруари'!Z2)</f>
        <v>0</v>
      </c>
      <c r="AA61" s="74">
        <f>SUMIFS(разходи!$L:$L,разходи!$E:$E,'ПП Февруари'!$C$61,разходи!$M:$M,'ПП Февруари'!AA2)</f>
        <v>0</v>
      </c>
      <c r="AB61" s="76">
        <f>SUMIFS(разходи!$L:$L,разходи!$E:$E,'ПП Февруари'!$C$61,разходи!$M:$M,'ПП Февруари'!AB2)</f>
        <v>0</v>
      </c>
      <c r="AC61" s="76">
        <f>SUMIFS(разходи!$L:$L,разходи!$E:$E,'ПП Февруари'!$C$61,разходи!$M:$M,'ПП Февруари'!AC2)</f>
        <v>0</v>
      </c>
      <c r="AD61" s="74">
        <f>SUMIFS(разходи!$L:$L,разходи!$E:$E,'ПП Февруари'!$C$61,разходи!$M:$M,'ПП Февруари'!AD2)</f>
        <v>0</v>
      </c>
      <c r="AE61" s="74">
        <f>SUMIFS(разходи!$L:$L,разходи!$E:$E,'ПП Февруари'!$C$61,разходи!$M:$M,'ПП Февруари'!AE2)</f>
        <v>0</v>
      </c>
      <c r="AF61" s="74">
        <f>SUMIFS(разходи!$L:$L,разходи!$E:$E,'ПП Февруари'!$C$61,разходи!$M:$M,'ПП Февруари'!AF2)</f>
        <v>0</v>
      </c>
      <c r="AG61" s="74">
        <f>SUMIFS(разходи!$L:$L,разходи!$E:$E,'ПП Февруари'!$C$61,разходи!$M:$M,'ПП Февруари'!AG2)</f>
        <v>0</v>
      </c>
      <c r="AH61" s="61">
        <f t="shared" si="17"/>
        <v>0</v>
      </c>
      <c r="AI61" s="69">
        <f t="shared" si="18"/>
        <v>0</v>
      </c>
    </row>
    <row r="62" spans="1:35" s="39" customFormat="1" ht="20.100000000000001" customHeight="1" outlineLevel="1" x14ac:dyDescent="0.3">
      <c r="A62" s="37"/>
      <c r="B62" s="38"/>
      <c r="C62" s="32" t="s">
        <v>875</v>
      </c>
      <c r="D62" s="68"/>
      <c r="E62" s="70">
        <f t="shared" ref="E62:AG62" si="24">SUM(E63:E65)</f>
        <v>0</v>
      </c>
      <c r="F62" s="74">
        <f t="shared" si="24"/>
        <v>0</v>
      </c>
      <c r="G62" s="76">
        <f t="shared" si="24"/>
        <v>0</v>
      </c>
      <c r="H62" s="76">
        <f t="shared" si="24"/>
        <v>0</v>
      </c>
      <c r="I62" s="74">
        <f t="shared" si="24"/>
        <v>0</v>
      </c>
      <c r="J62" s="74">
        <f t="shared" si="24"/>
        <v>0</v>
      </c>
      <c r="K62" s="74">
        <f t="shared" si="24"/>
        <v>0</v>
      </c>
      <c r="L62" s="74">
        <f t="shared" si="24"/>
        <v>0</v>
      </c>
      <c r="M62" s="74">
        <f t="shared" si="24"/>
        <v>0</v>
      </c>
      <c r="N62" s="76">
        <f t="shared" si="24"/>
        <v>0</v>
      </c>
      <c r="O62" s="76">
        <f t="shared" si="24"/>
        <v>0</v>
      </c>
      <c r="P62" s="74">
        <f t="shared" si="24"/>
        <v>0</v>
      </c>
      <c r="Q62" s="74">
        <f t="shared" si="24"/>
        <v>0</v>
      </c>
      <c r="R62" s="74">
        <f t="shared" si="24"/>
        <v>0</v>
      </c>
      <c r="S62" s="74">
        <f t="shared" si="24"/>
        <v>0</v>
      </c>
      <c r="T62" s="74">
        <f t="shared" si="24"/>
        <v>0</v>
      </c>
      <c r="U62" s="76">
        <f t="shared" si="24"/>
        <v>0</v>
      </c>
      <c r="V62" s="76">
        <f t="shared" si="24"/>
        <v>0</v>
      </c>
      <c r="W62" s="74">
        <f t="shared" si="24"/>
        <v>0</v>
      </c>
      <c r="X62" s="74">
        <f t="shared" si="24"/>
        <v>0</v>
      </c>
      <c r="Y62" s="74">
        <f t="shared" si="24"/>
        <v>0</v>
      </c>
      <c r="Z62" s="74">
        <f t="shared" si="24"/>
        <v>0</v>
      </c>
      <c r="AA62" s="74">
        <f t="shared" si="24"/>
        <v>0</v>
      </c>
      <c r="AB62" s="76">
        <f t="shared" si="24"/>
        <v>0</v>
      </c>
      <c r="AC62" s="76">
        <f t="shared" si="24"/>
        <v>0</v>
      </c>
      <c r="AD62" s="74">
        <f t="shared" si="24"/>
        <v>0</v>
      </c>
      <c r="AE62" s="74">
        <f t="shared" si="24"/>
        <v>0</v>
      </c>
      <c r="AF62" s="74">
        <f t="shared" si="24"/>
        <v>0</v>
      </c>
      <c r="AG62" s="74">
        <f t="shared" si="24"/>
        <v>0</v>
      </c>
      <c r="AH62" s="61">
        <f t="shared" si="17"/>
        <v>0</v>
      </c>
      <c r="AI62" s="69">
        <f t="shared" si="18"/>
        <v>0</v>
      </c>
    </row>
    <row r="63" spans="1:35" s="39" customFormat="1" ht="20.100000000000001" customHeight="1" outlineLevel="2" x14ac:dyDescent="0.3">
      <c r="A63" s="37"/>
      <c r="B63" s="38"/>
      <c r="C63" s="50" t="s">
        <v>876</v>
      </c>
      <c r="D63" s="68"/>
      <c r="E63" s="70">
        <f>SUMIFS(разходи!$L:$L,разходи!$E:$E,'ПП Февруари'!$C$63,разходи!$M:$M,'ПП Февруари'!E2)</f>
        <v>0</v>
      </c>
      <c r="F63" s="74">
        <f>SUMIFS(разходи!$L:$L,разходи!$E:$E,'ПП Февруари'!$C$63,разходи!$M:$M,'ПП Февруари'!F2)</f>
        <v>0</v>
      </c>
      <c r="G63" s="76">
        <f>SUMIFS(разходи!$L:$L,разходи!$E:$E,'ПП Февруари'!$C$63,разходи!$M:$M,'ПП Февруари'!G2)</f>
        <v>0</v>
      </c>
      <c r="H63" s="76">
        <f>SUMIFS(разходи!$L:$L,разходи!$E:$E,'ПП Февруари'!$C$63,разходи!$M:$M,'ПП Февруари'!H2)</f>
        <v>0</v>
      </c>
      <c r="I63" s="74">
        <f>SUMIFS(разходи!$L:$L,разходи!$E:$E,'ПП Февруари'!$C$63,разходи!$M:$M,'ПП Февруари'!I2)</f>
        <v>0</v>
      </c>
      <c r="J63" s="74">
        <f>SUMIFS(разходи!$L:$L,разходи!$E:$E,'ПП Февруари'!$C$63,разходи!$M:$M,'ПП Февруари'!J2)</f>
        <v>0</v>
      </c>
      <c r="K63" s="74">
        <f>SUMIFS(разходи!$L:$L,разходи!$E:$E,'ПП Февруари'!$C$63,разходи!$M:$M,'ПП Февруари'!K2)</f>
        <v>0</v>
      </c>
      <c r="L63" s="74">
        <f>SUMIFS(разходи!$L:$L,разходи!$E:$E,'ПП Февруари'!$C$63,разходи!$M:$M,'ПП Февруари'!L2)</f>
        <v>0</v>
      </c>
      <c r="M63" s="74">
        <f>SUMIFS(разходи!$L:$L,разходи!$E:$E,'ПП Февруари'!$C$63,разходи!$M:$M,'ПП Февруари'!M2)</f>
        <v>0</v>
      </c>
      <c r="N63" s="76">
        <f>SUMIFS(разходи!$L:$L,разходи!$E:$E,'ПП Февруари'!$C$63,разходи!$M:$M,'ПП Февруари'!N2)</f>
        <v>0</v>
      </c>
      <c r="O63" s="76">
        <f>SUMIFS(разходи!$L:$L,разходи!$E:$E,'ПП Февруари'!$C$63,разходи!$M:$M,'ПП Февруари'!O2)</f>
        <v>0</v>
      </c>
      <c r="P63" s="74">
        <f>SUMIFS(разходи!$L:$L,разходи!$E:$E,'ПП Февруари'!$C$63,разходи!$M:$M,'ПП Февруари'!P2)</f>
        <v>0</v>
      </c>
      <c r="Q63" s="74">
        <f>SUMIFS(разходи!$L:$L,разходи!$E:$E,'ПП Февруари'!$C$63,разходи!$M:$M,'ПП Февруари'!Q2)</f>
        <v>0</v>
      </c>
      <c r="R63" s="74">
        <f>SUMIFS(разходи!$L:$L,разходи!$E:$E,'ПП Февруари'!$C$63,разходи!$M:$M,'ПП Февруари'!R2)</f>
        <v>0</v>
      </c>
      <c r="S63" s="74">
        <f>SUMIFS(разходи!$L:$L,разходи!$E:$E,'ПП Февруари'!$C$63,разходи!$M:$M,'ПП Февруари'!S2)</f>
        <v>0</v>
      </c>
      <c r="T63" s="74">
        <f>SUMIFS(разходи!$L:$L,разходи!$E:$E,'ПП Февруари'!$C$63,разходи!$M:$M,'ПП Февруари'!T2)</f>
        <v>0</v>
      </c>
      <c r="U63" s="76">
        <f>SUMIFS(разходи!$L:$L,разходи!$E:$E,'ПП Февруари'!$C$63,разходи!$M:$M,'ПП Февруари'!U2)</f>
        <v>0</v>
      </c>
      <c r="V63" s="76">
        <f>SUMIFS(разходи!$L:$L,разходи!$E:$E,'ПП Февруари'!$C$63,разходи!$M:$M,'ПП Февруари'!V2)</f>
        <v>0</v>
      </c>
      <c r="W63" s="74">
        <f>SUMIFS(разходи!$L:$L,разходи!$E:$E,'ПП Февруари'!$C$63,разходи!$M:$M,'ПП Февруари'!W2)</f>
        <v>0</v>
      </c>
      <c r="X63" s="74">
        <f>SUMIFS(разходи!$L:$L,разходи!$E:$E,'ПП Февруари'!$C$63,разходи!$M:$M,'ПП Февруари'!X2)</f>
        <v>0</v>
      </c>
      <c r="Y63" s="74">
        <f>SUMIFS(разходи!$L:$L,разходи!$E:$E,'ПП Февруари'!$C$63,разходи!$M:$M,'ПП Февруари'!Y2)</f>
        <v>0</v>
      </c>
      <c r="Z63" s="74">
        <f>SUMIFS(разходи!$L:$L,разходи!$E:$E,'ПП Февруари'!$C$63,разходи!$M:$M,'ПП Февруари'!Z2)</f>
        <v>0</v>
      </c>
      <c r="AA63" s="74">
        <f>SUMIFS(разходи!$L:$L,разходи!$E:$E,'ПП Февруари'!$C$63,разходи!$M:$M,'ПП Февруари'!AA2)</f>
        <v>0</v>
      </c>
      <c r="AB63" s="76">
        <f>SUMIFS(разходи!$L:$L,разходи!$E:$E,'ПП Февруари'!$C$63,разходи!$M:$M,'ПП Февруари'!AB2)</f>
        <v>0</v>
      </c>
      <c r="AC63" s="76">
        <f>SUMIFS(разходи!$L:$L,разходи!$E:$E,'ПП Февруари'!$C$63,разходи!$M:$M,'ПП Февруари'!AC2)</f>
        <v>0</v>
      </c>
      <c r="AD63" s="74">
        <f>SUMIFS(разходи!$L:$L,разходи!$E:$E,'ПП Февруари'!$C$63,разходи!$M:$M,'ПП Февруари'!AD2)</f>
        <v>0</v>
      </c>
      <c r="AE63" s="74">
        <f>SUMIFS(разходи!$L:$L,разходи!$E:$E,'ПП Февруари'!$C$63,разходи!$M:$M,'ПП Февруари'!AE2)</f>
        <v>0</v>
      </c>
      <c r="AF63" s="74">
        <f>SUMIFS(разходи!$L:$L,разходи!$E:$E,'ПП Февруари'!$C$63,разходи!$M:$M,'ПП Февруари'!AF2)</f>
        <v>0</v>
      </c>
      <c r="AG63" s="74">
        <f>SUMIFS(разходи!$L:$L,разходи!$E:$E,'ПП Февруари'!$C$63,разходи!$M:$M,'ПП Февруари'!AG2)</f>
        <v>0</v>
      </c>
      <c r="AH63" s="61">
        <f t="shared" si="17"/>
        <v>0</v>
      </c>
      <c r="AI63" s="69">
        <f t="shared" si="18"/>
        <v>0</v>
      </c>
    </row>
    <row r="64" spans="1:35" s="39" customFormat="1" ht="20.100000000000001" customHeight="1" outlineLevel="2" x14ac:dyDescent="0.3">
      <c r="A64" s="37"/>
      <c r="B64" s="38"/>
      <c r="C64" s="50" t="s">
        <v>623</v>
      </c>
      <c r="D64" s="68"/>
      <c r="E64" s="70">
        <f>SUMIFS(разходи!$L:$L,разходи!$E:$E,'ПП Февруари'!$C$64,разходи!$M:$M,'ПП Февруари'!E2)</f>
        <v>0</v>
      </c>
      <c r="F64" s="74">
        <f>SUMIFS(разходи!$L:$L,разходи!$E:$E,'ПП Февруари'!$C$64,разходи!$M:$M,'ПП Февруари'!F2)</f>
        <v>0</v>
      </c>
      <c r="G64" s="76">
        <f>SUMIFS(разходи!$L:$L,разходи!$E:$E,'ПП Февруари'!$C$64,разходи!$M:$M,'ПП Февруари'!G2)</f>
        <v>0</v>
      </c>
      <c r="H64" s="76">
        <f>SUMIFS(разходи!$L:$L,разходи!$E:$E,'ПП Февруари'!$C$64,разходи!$M:$M,'ПП Февруари'!H2)</f>
        <v>0</v>
      </c>
      <c r="I64" s="74">
        <f>SUMIFS(разходи!$L:$L,разходи!$E:$E,'ПП Февруари'!$C$64,разходи!$M:$M,'ПП Февруари'!I2)</f>
        <v>0</v>
      </c>
      <c r="J64" s="74">
        <f>SUMIFS(разходи!$L:$L,разходи!$E:$E,'ПП Февруари'!$C$64,разходи!$M:$M,'ПП Февруари'!J2)</f>
        <v>0</v>
      </c>
      <c r="K64" s="74">
        <f>SUMIFS(разходи!$L:$L,разходи!$E:$E,'ПП Февруари'!$C$64,разходи!$M:$M,'ПП Февруари'!K2)</f>
        <v>0</v>
      </c>
      <c r="L64" s="74">
        <f>SUMIFS(разходи!$L:$L,разходи!$E:$E,'ПП Февруари'!$C$64,разходи!$M:$M,'ПП Февруари'!L2)</f>
        <v>0</v>
      </c>
      <c r="M64" s="74">
        <f>SUMIFS(разходи!$L:$L,разходи!$E:$E,'ПП Февруари'!$C$64,разходи!$M:$M,'ПП Февруари'!M2)</f>
        <v>0</v>
      </c>
      <c r="N64" s="76">
        <f>SUMIFS(разходи!$L:$L,разходи!$E:$E,'ПП Февруари'!$C$64,разходи!$M:$M,'ПП Февруари'!N2)</f>
        <v>0</v>
      </c>
      <c r="O64" s="76">
        <f>SUMIFS(разходи!$L:$L,разходи!$E:$E,'ПП Февруари'!$C$64,разходи!$M:$M,'ПП Февруари'!O2)</f>
        <v>0</v>
      </c>
      <c r="P64" s="74">
        <f>SUMIFS(разходи!$L:$L,разходи!$E:$E,'ПП Февруари'!$C$64,разходи!$M:$M,'ПП Февруари'!P2)</f>
        <v>0</v>
      </c>
      <c r="Q64" s="74">
        <f>SUMIFS(разходи!$L:$L,разходи!$E:$E,'ПП Февруари'!$C$64,разходи!$M:$M,'ПП Февруари'!Q2)</f>
        <v>0</v>
      </c>
      <c r="R64" s="74">
        <f>SUMIFS(разходи!$L:$L,разходи!$E:$E,'ПП Февруари'!$C$64,разходи!$M:$M,'ПП Февруари'!R2)</f>
        <v>0</v>
      </c>
      <c r="S64" s="74">
        <f>SUMIFS(разходи!$L:$L,разходи!$E:$E,'ПП Февруари'!$C$64,разходи!$M:$M,'ПП Февруари'!S2)</f>
        <v>0</v>
      </c>
      <c r="T64" s="74">
        <f>SUMIFS(разходи!$L:$L,разходи!$E:$E,'ПП Февруари'!$C$64,разходи!$M:$M,'ПП Февруари'!T2)</f>
        <v>0</v>
      </c>
      <c r="U64" s="76">
        <f>SUMIFS(разходи!$L:$L,разходи!$E:$E,'ПП Февруари'!$C$64,разходи!$M:$M,'ПП Февруари'!U2)</f>
        <v>0</v>
      </c>
      <c r="V64" s="76">
        <f>SUMIFS(разходи!$L:$L,разходи!$E:$E,'ПП Февруари'!$C$64,разходи!$M:$M,'ПП Февруари'!V2)</f>
        <v>0</v>
      </c>
      <c r="W64" s="74">
        <f>SUMIFS(разходи!$L:$L,разходи!$E:$E,'ПП Февруари'!$C$64,разходи!$M:$M,'ПП Февруари'!W2)</f>
        <v>0</v>
      </c>
      <c r="X64" s="74">
        <f>SUMIFS(разходи!$L:$L,разходи!$E:$E,'ПП Февруари'!$C$64,разходи!$M:$M,'ПП Февруари'!X2)</f>
        <v>0</v>
      </c>
      <c r="Y64" s="74">
        <f>SUMIFS(разходи!$L:$L,разходи!$E:$E,'ПП Февруари'!$C$64,разходи!$M:$M,'ПП Февруари'!Y2)</f>
        <v>0</v>
      </c>
      <c r="Z64" s="74">
        <f>SUMIFS(разходи!$L:$L,разходи!$E:$E,'ПП Февруари'!$C$64,разходи!$M:$M,'ПП Февруари'!Z2)</f>
        <v>0</v>
      </c>
      <c r="AA64" s="74">
        <f>SUMIFS(разходи!$L:$L,разходи!$E:$E,'ПП Февруари'!$C$64,разходи!$M:$M,'ПП Февруари'!AA2)</f>
        <v>0</v>
      </c>
      <c r="AB64" s="76">
        <f>SUMIFS(разходи!$L:$L,разходи!$E:$E,'ПП Февруари'!$C$64,разходи!$M:$M,'ПП Февруари'!AB2)</f>
        <v>0</v>
      </c>
      <c r="AC64" s="76">
        <f>SUMIFS(разходи!$L:$L,разходи!$E:$E,'ПП Февруари'!$C$64,разходи!$M:$M,'ПП Февруари'!AC2)</f>
        <v>0</v>
      </c>
      <c r="AD64" s="74">
        <f>SUMIFS(разходи!$L:$L,разходи!$E:$E,'ПП Февруари'!$C$64,разходи!$M:$M,'ПП Февруари'!AD2)</f>
        <v>0</v>
      </c>
      <c r="AE64" s="74">
        <f>SUMIFS(разходи!$L:$L,разходи!$E:$E,'ПП Февруари'!$C$64,разходи!$M:$M,'ПП Февруари'!AE2)</f>
        <v>0</v>
      </c>
      <c r="AF64" s="74">
        <f>SUMIFS(разходи!$L:$L,разходи!$E:$E,'ПП Февруари'!$C$64,разходи!$M:$M,'ПП Февруари'!AF2)</f>
        <v>0</v>
      </c>
      <c r="AG64" s="74">
        <f>SUMIFS(разходи!$L:$L,разходи!$E:$E,'ПП Февруари'!$C$64,разходи!$M:$M,'ПП Февруари'!AG2)</f>
        <v>0</v>
      </c>
      <c r="AH64" s="61">
        <f t="shared" si="17"/>
        <v>0</v>
      </c>
      <c r="AI64" s="69">
        <f t="shared" si="18"/>
        <v>0</v>
      </c>
    </row>
    <row r="65" spans="1:35" s="39" customFormat="1" ht="20.100000000000001" customHeight="1" outlineLevel="2" x14ac:dyDescent="0.3">
      <c r="A65" s="37"/>
      <c r="B65" s="38"/>
      <c r="C65" s="50" t="s">
        <v>877</v>
      </c>
      <c r="D65" s="68"/>
      <c r="E65" s="70">
        <f>SUMIFS(разходи!$L:$L,разходи!$E:$E,'ПП Февруари'!$C$65,разходи!$M:$M,'ПП Февруари'!E2)</f>
        <v>0</v>
      </c>
      <c r="F65" s="74">
        <f>SUMIFS(разходи!$L:$L,разходи!$E:$E,'ПП Февруари'!$C$65,разходи!$M:$M,'ПП Февруари'!F2)</f>
        <v>0</v>
      </c>
      <c r="G65" s="76">
        <f>SUMIFS(разходи!$L:$L,разходи!$E:$E,'ПП Февруари'!$C$65,разходи!$M:$M,'ПП Февруари'!G2)</f>
        <v>0</v>
      </c>
      <c r="H65" s="76">
        <f>SUMIFS(разходи!$L:$L,разходи!$E:$E,'ПП Февруари'!$C$65,разходи!$M:$M,'ПП Февруари'!H2)</f>
        <v>0</v>
      </c>
      <c r="I65" s="74">
        <f>SUMIFS(разходи!$L:$L,разходи!$E:$E,'ПП Февруари'!$C$65,разходи!$M:$M,'ПП Февруари'!I2)</f>
        <v>0</v>
      </c>
      <c r="J65" s="74">
        <f>SUMIFS(разходи!$L:$L,разходи!$E:$E,'ПП Февруари'!$C$65,разходи!$M:$M,'ПП Февруари'!J2)</f>
        <v>0</v>
      </c>
      <c r="K65" s="74">
        <f>SUMIFS(разходи!$L:$L,разходи!$E:$E,'ПП Февруари'!$C$65,разходи!$M:$M,'ПП Февруари'!K2)</f>
        <v>0</v>
      </c>
      <c r="L65" s="74">
        <f>SUMIFS(разходи!$L:$L,разходи!$E:$E,'ПП Февруари'!$C$65,разходи!$M:$M,'ПП Февруари'!L2)</f>
        <v>0</v>
      </c>
      <c r="M65" s="74">
        <f>SUMIFS(разходи!$L:$L,разходи!$E:$E,'ПП Февруари'!$C$65,разходи!$M:$M,'ПП Февруари'!M2)</f>
        <v>0</v>
      </c>
      <c r="N65" s="76">
        <f>SUMIFS(разходи!$L:$L,разходи!$E:$E,'ПП Февруари'!$C$65,разходи!$M:$M,'ПП Февруари'!N2)</f>
        <v>0</v>
      </c>
      <c r="O65" s="76">
        <f>SUMIFS(разходи!$L:$L,разходи!$E:$E,'ПП Февруари'!$C$65,разходи!$M:$M,'ПП Февруари'!O2)</f>
        <v>0</v>
      </c>
      <c r="P65" s="74">
        <f>SUMIFS(разходи!$L:$L,разходи!$E:$E,'ПП Февруари'!$C$65,разходи!$M:$M,'ПП Февруари'!P2)</f>
        <v>0</v>
      </c>
      <c r="Q65" s="74">
        <f>SUMIFS(разходи!$L:$L,разходи!$E:$E,'ПП Февруари'!$C$65,разходи!$M:$M,'ПП Февруари'!Q2)</f>
        <v>0</v>
      </c>
      <c r="R65" s="74">
        <f>SUMIFS(разходи!$L:$L,разходи!$E:$E,'ПП Февруари'!$C$65,разходи!$M:$M,'ПП Февруари'!R2)</f>
        <v>0</v>
      </c>
      <c r="S65" s="74">
        <f>SUMIFS(разходи!$L:$L,разходи!$E:$E,'ПП Февруари'!$C$65,разходи!$M:$M,'ПП Февруари'!S2)</f>
        <v>0</v>
      </c>
      <c r="T65" s="74">
        <f>SUMIFS(разходи!$L:$L,разходи!$E:$E,'ПП Февруари'!$C$65,разходи!$M:$M,'ПП Февруари'!T2)</f>
        <v>0</v>
      </c>
      <c r="U65" s="76">
        <f>SUMIFS(разходи!$L:$L,разходи!$E:$E,'ПП Февруари'!$C$65,разходи!$M:$M,'ПП Февруари'!U2)</f>
        <v>0</v>
      </c>
      <c r="V65" s="76">
        <f>SUMIFS(разходи!$L:$L,разходи!$E:$E,'ПП Февруари'!$C$65,разходи!$M:$M,'ПП Февруари'!V2)</f>
        <v>0</v>
      </c>
      <c r="W65" s="74">
        <f>SUMIFS(разходи!$L:$L,разходи!$E:$E,'ПП Февруари'!$C$65,разходи!$M:$M,'ПП Февруари'!W2)</f>
        <v>0</v>
      </c>
      <c r="X65" s="74">
        <f>SUMIFS(разходи!$L:$L,разходи!$E:$E,'ПП Февруари'!$C$65,разходи!$M:$M,'ПП Февруари'!X2)</f>
        <v>0</v>
      </c>
      <c r="Y65" s="74">
        <f>SUMIFS(разходи!$L:$L,разходи!$E:$E,'ПП Февруари'!$C$65,разходи!$M:$M,'ПП Февруари'!Y2)</f>
        <v>0</v>
      </c>
      <c r="Z65" s="74">
        <f>SUMIFS(разходи!$L:$L,разходи!$E:$E,'ПП Февруари'!$C$65,разходи!$M:$M,'ПП Февруари'!Z2)</f>
        <v>0</v>
      </c>
      <c r="AA65" s="74">
        <f>SUMIFS(разходи!$L:$L,разходи!$E:$E,'ПП Февруари'!$C$65,разходи!$M:$M,'ПП Февруари'!AA2)</f>
        <v>0</v>
      </c>
      <c r="AB65" s="76">
        <f>SUMIFS(разходи!$L:$L,разходи!$E:$E,'ПП Февруари'!$C$65,разходи!$M:$M,'ПП Февруари'!AB2)</f>
        <v>0</v>
      </c>
      <c r="AC65" s="76">
        <f>SUMIFS(разходи!$L:$L,разходи!$E:$E,'ПП Февруари'!$C$65,разходи!$M:$M,'ПП Февруари'!AC2)</f>
        <v>0</v>
      </c>
      <c r="AD65" s="74">
        <f>SUMIFS(разходи!$L:$L,разходи!$E:$E,'ПП Февруари'!$C$65,разходи!$M:$M,'ПП Февруари'!AD2)</f>
        <v>0</v>
      </c>
      <c r="AE65" s="74">
        <f>SUMIFS(разходи!$L:$L,разходи!$E:$E,'ПП Февруари'!$C$65,разходи!$M:$M,'ПП Февруари'!AE2)</f>
        <v>0</v>
      </c>
      <c r="AF65" s="74">
        <f>SUMIFS(разходи!$L:$L,разходи!$E:$E,'ПП Февруари'!$C$65,разходи!$M:$M,'ПП Февруари'!AF2)</f>
        <v>0</v>
      </c>
      <c r="AG65" s="74">
        <f>SUMIFS(разходи!$L:$L,разходи!$E:$E,'ПП Февруари'!$C$65,разходи!$M:$M,'ПП Февруари'!AG2)</f>
        <v>0</v>
      </c>
      <c r="AH65" s="61">
        <f t="shared" si="17"/>
        <v>0</v>
      </c>
      <c r="AI65" s="69">
        <f t="shared" si="18"/>
        <v>0</v>
      </c>
    </row>
    <row r="66" spans="1:35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G66" si="25">D3-D23</f>
        <v>0</v>
      </c>
      <c r="E66" s="54">
        <f t="shared" si="25"/>
        <v>4341618.57</v>
      </c>
      <c r="F66" s="54">
        <f t="shared" si="25"/>
        <v>0</v>
      </c>
      <c r="G66" s="54">
        <f t="shared" si="25"/>
        <v>0</v>
      </c>
      <c r="H66" s="54">
        <f t="shared" si="25"/>
        <v>0</v>
      </c>
      <c r="I66" s="54">
        <f t="shared" si="25"/>
        <v>591436.72</v>
      </c>
      <c r="J66" s="54">
        <f t="shared" si="25"/>
        <v>1268288.6299999999</v>
      </c>
      <c r="K66" s="54">
        <f t="shared" si="25"/>
        <v>25080.219999999998</v>
      </c>
      <c r="L66" s="54">
        <f t="shared" si="25"/>
        <v>0</v>
      </c>
      <c r="M66" s="54">
        <f t="shared" si="25"/>
        <v>0</v>
      </c>
      <c r="N66" s="54">
        <f t="shared" si="25"/>
        <v>-92107.36</v>
      </c>
      <c r="O66" s="54">
        <f t="shared" si="25"/>
        <v>0</v>
      </c>
      <c r="P66" s="54">
        <f t="shared" si="25"/>
        <v>0</v>
      </c>
      <c r="Q66" s="54">
        <f t="shared" si="25"/>
        <v>93780</v>
      </c>
      <c r="R66" s="54">
        <f t="shared" si="25"/>
        <v>92192.84</v>
      </c>
      <c r="S66" s="54">
        <f t="shared" si="25"/>
        <v>126418.25</v>
      </c>
      <c r="T66" s="54">
        <f t="shared" si="25"/>
        <v>89713.22</v>
      </c>
      <c r="U66" s="54">
        <f t="shared" si="25"/>
        <v>0</v>
      </c>
      <c r="V66" s="54">
        <f t="shared" si="25"/>
        <v>0</v>
      </c>
      <c r="W66" s="54">
        <f t="shared" si="25"/>
        <v>97373.98</v>
      </c>
      <c r="X66" s="54">
        <f t="shared" si="25"/>
        <v>2143.46</v>
      </c>
      <c r="Y66" s="54">
        <f t="shared" si="25"/>
        <v>41853.759999999995</v>
      </c>
      <c r="Z66" s="54">
        <f t="shared" si="25"/>
        <v>-7036.15</v>
      </c>
      <c r="AA66" s="54">
        <f t="shared" si="25"/>
        <v>6527913.7800000012</v>
      </c>
      <c r="AB66" s="54">
        <f t="shared" si="25"/>
        <v>129020.81999999999</v>
      </c>
      <c r="AC66" s="54">
        <f t="shared" si="25"/>
        <v>0</v>
      </c>
      <c r="AD66" s="54">
        <f t="shared" si="25"/>
        <v>40643.629999999997</v>
      </c>
      <c r="AE66" s="54">
        <f t="shared" si="25"/>
        <v>1197599.52</v>
      </c>
      <c r="AF66" s="54">
        <f t="shared" si="25"/>
        <v>879851.27</v>
      </c>
      <c r="AG66" s="54">
        <f t="shared" si="25"/>
        <v>0</v>
      </c>
      <c r="AH66" s="54">
        <f t="shared" si="17"/>
        <v>15445785.16</v>
      </c>
      <c r="AI66" s="54">
        <f t="shared" si="18"/>
        <v>-15445785.16</v>
      </c>
    </row>
    <row r="67" spans="1:35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2196-1F64-432C-8693-E17DCB6D2110}">
  <sheetPr codeName="Sheet3">
    <tabColor theme="7" tint="0.79998168889431442"/>
  </sheetPr>
  <dimension ref="A1:AK67"/>
  <sheetViews>
    <sheetView zoomScale="70" zoomScaleNormal="70" workbookViewId="0">
      <pane xSplit="3" ySplit="2" topLeftCell="X13" activePane="bottomRight" state="frozen"/>
      <selection pane="topRight" activeCell="D34" sqref="D34"/>
      <selection pane="bottomLeft" activeCell="D34" sqref="D34"/>
      <selection pane="bottomRight" activeCell="C17" sqref="C17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38.425781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842</v>
      </c>
      <c r="D2" s="17" t="s">
        <v>843</v>
      </c>
      <c r="E2" s="18">
        <v>45352</v>
      </c>
      <c r="F2" s="31">
        <f>+E2+1</f>
        <v>45353</v>
      </c>
      <c r="G2" s="31">
        <f t="shared" ref="G2:AI2" si="0">+F2+1</f>
        <v>45354</v>
      </c>
      <c r="H2" s="31">
        <f t="shared" si="0"/>
        <v>45355</v>
      </c>
      <c r="I2" s="18">
        <f t="shared" si="0"/>
        <v>45356</v>
      </c>
      <c r="J2" s="18">
        <f t="shared" si="0"/>
        <v>45357</v>
      </c>
      <c r="K2" s="18">
        <f t="shared" si="0"/>
        <v>45358</v>
      </c>
      <c r="L2" s="18">
        <f t="shared" si="0"/>
        <v>45359</v>
      </c>
      <c r="M2" s="31">
        <f t="shared" si="0"/>
        <v>45360</v>
      </c>
      <c r="N2" s="31">
        <f t="shared" si="0"/>
        <v>45361</v>
      </c>
      <c r="O2" s="18">
        <f>+N2+1</f>
        <v>45362</v>
      </c>
      <c r="P2" s="18">
        <f t="shared" si="0"/>
        <v>45363</v>
      </c>
      <c r="Q2" s="41">
        <f t="shared" si="0"/>
        <v>45364</v>
      </c>
      <c r="R2" s="41">
        <f t="shared" si="0"/>
        <v>45365</v>
      </c>
      <c r="S2" s="18">
        <f t="shared" si="0"/>
        <v>45366</v>
      </c>
      <c r="T2" s="31">
        <f t="shared" si="0"/>
        <v>45367</v>
      </c>
      <c r="U2" s="31">
        <f t="shared" si="0"/>
        <v>45368</v>
      </c>
      <c r="V2" s="18">
        <f t="shared" si="0"/>
        <v>45369</v>
      </c>
      <c r="W2" s="18">
        <f t="shared" si="0"/>
        <v>45370</v>
      </c>
      <c r="X2" s="18">
        <f t="shared" si="0"/>
        <v>45371</v>
      </c>
      <c r="Y2" s="18">
        <f t="shared" si="0"/>
        <v>45372</v>
      </c>
      <c r="Z2" s="18">
        <f t="shared" si="0"/>
        <v>45373</v>
      </c>
      <c r="AA2" s="31">
        <f t="shared" si="0"/>
        <v>45374</v>
      </c>
      <c r="AB2" s="31">
        <f t="shared" si="0"/>
        <v>45375</v>
      </c>
      <c r="AC2" s="18">
        <f t="shared" si="0"/>
        <v>45376</v>
      </c>
      <c r="AD2" s="18">
        <f t="shared" si="0"/>
        <v>45377</v>
      </c>
      <c r="AE2" s="18">
        <f t="shared" si="0"/>
        <v>45378</v>
      </c>
      <c r="AF2" s="18">
        <f t="shared" si="0"/>
        <v>45379</v>
      </c>
      <c r="AG2" s="18">
        <f t="shared" si="0"/>
        <v>45380</v>
      </c>
      <c r="AH2" s="31">
        <f t="shared" si="0"/>
        <v>45381</v>
      </c>
      <c r="AI2" s="31">
        <f t="shared" si="0"/>
        <v>45382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E3" si="1">SUM(D4,D11)</f>
        <v>18866151.877080001</v>
      </c>
      <c r="E3" s="54">
        <f t="shared" si="1"/>
        <v>-66737.010000000024</v>
      </c>
      <c r="F3" s="54">
        <f t="shared" ref="F3:AI3" si="2">SUM(F4,F11)</f>
        <v>0</v>
      </c>
      <c r="G3" s="54">
        <f t="shared" si="2"/>
        <v>0</v>
      </c>
      <c r="H3" s="54">
        <f t="shared" si="2"/>
        <v>2187490.048</v>
      </c>
      <c r="I3" s="54">
        <f t="shared" si="2"/>
        <v>2739926.8680000002</v>
      </c>
      <c r="J3" s="54">
        <f t="shared" si="2"/>
        <v>0</v>
      </c>
      <c r="K3" s="54">
        <f t="shared" si="2"/>
        <v>214497.804</v>
      </c>
      <c r="L3" s="54">
        <f t="shared" si="2"/>
        <v>0</v>
      </c>
      <c r="M3" s="54">
        <f t="shared" si="2"/>
        <v>0</v>
      </c>
      <c r="N3" s="54">
        <f t="shared" si="2"/>
        <v>0</v>
      </c>
      <c r="O3" s="54">
        <f t="shared" si="2"/>
        <v>-4530.7700000000004</v>
      </c>
      <c r="P3" s="54">
        <f t="shared" si="2"/>
        <v>327.27999999999997</v>
      </c>
      <c r="Q3" s="54">
        <f t="shared" si="2"/>
        <v>0</v>
      </c>
      <c r="R3" s="54">
        <f t="shared" si="2"/>
        <v>0</v>
      </c>
      <c r="S3" s="54">
        <f t="shared" si="2"/>
        <v>48.3</v>
      </c>
      <c r="T3" s="54">
        <f t="shared" si="2"/>
        <v>0</v>
      </c>
      <c r="U3" s="54">
        <f t="shared" si="2"/>
        <v>0</v>
      </c>
      <c r="V3" s="54">
        <f t="shared" si="2"/>
        <v>59733.15</v>
      </c>
      <c r="W3" s="54">
        <f t="shared" si="2"/>
        <v>17831.43</v>
      </c>
      <c r="X3" s="54">
        <f t="shared" si="2"/>
        <v>74127.906000000003</v>
      </c>
      <c r="Y3" s="54">
        <f t="shared" si="2"/>
        <v>68114.795999999988</v>
      </c>
      <c r="Z3" s="54">
        <f t="shared" si="2"/>
        <v>79966.303999999989</v>
      </c>
      <c r="AA3" s="54">
        <f t="shared" si="2"/>
        <v>0</v>
      </c>
      <c r="AB3" s="54">
        <f t="shared" si="2"/>
        <v>0</v>
      </c>
      <c r="AC3" s="54">
        <f t="shared" si="2"/>
        <v>0</v>
      </c>
      <c r="AD3" s="54">
        <f t="shared" si="2"/>
        <v>0</v>
      </c>
      <c r="AE3" s="54">
        <f t="shared" si="2"/>
        <v>2093770.34</v>
      </c>
      <c r="AF3" s="54">
        <f t="shared" si="2"/>
        <v>2173830.21</v>
      </c>
      <c r="AG3" s="54">
        <f t="shared" si="2"/>
        <v>0</v>
      </c>
      <c r="AH3" s="54">
        <f t="shared" si="2"/>
        <v>0</v>
      </c>
      <c r="AI3" s="54">
        <f t="shared" si="2"/>
        <v>0</v>
      </c>
      <c r="AJ3" s="54">
        <f t="shared" ref="AJ3:AJ34" si="3">SUM(E3:AI3)</f>
        <v>9638396.6559999995</v>
      </c>
      <c r="AK3" s="54">
        <f t="shared" ref="AK3:AK34" si="4">+D3-AJ3</f>
        <v>9227755.2210800014</v>
      </c>
    </row>
    <row r="4" spans="1:37" s="4" customFormat="1" ht="20.100000000000001" customHeight="1" x14ac:dyDescent="0.3">
      <c r="B4" s="5" t="s">
        <v>848</v>
      </c>
      <c r="C4" s="6" t="s">
        <v>849</v>
      </c>
      <c r="D4" s="55">
        <f t="shared" ref="D4" si="5">SUM(D5,D9,D10)</f>
        <v>18736625.749080002</v>
      </c>
      <c r="E4" s="55">
        <f>SUM(E5,E9,E10)</f>
        <v>-67059.040000000023</v>
      </c>
      <c r="F4" s="56">
        <f>SUM(F5,F9,F10)</f>
        <v>0</v>
      </c>
      <c r="G4" s="56">
        <f>SUM(G5,G9,G10)</f>
        <v>0</v>
      </c>
      <c r="H4" s="56">
        <f>+H5+H9+H10</f>
        <v>1991782.0359999998</v>
      </c>
      <c r="I4" s="55">
        <f t="shared" ref="I4:AI4" si="6">SUM(I5,I9,I10)</f>
        <v>2511004.2560000001</v>
      </c>
      <c r="J4" s="55">
        <f t="shared" si="6"/>
        <v>0</v>
      </c>
      <c r="K4" s="55">
        <f t="shared" si="6"/>
        <v>214497.804</v>
      </c>
      <c r="L4" s="55">
        <f t="shared" si="6"/>
        <v>0</v>
      </c>
      <c r="M4" s="56">
        <f t="shared" si="6"/>
        <v>0</v>
      </c>
      <c r="N4" s="56">
        <f t="shared" si="6"/>
        <v>0</v>
      </c>
      <c r="O4" s="55">
        <f t="shared" si="6"/>
        <v>-4530.7700000000004</v>
      </c>
      <c r="P4" s="55">
        <f t="shared" si="6"/>
        <v>0</v>
      </c>
      <c r="Q4" s="55">
        <f t="shared" si="6"/>
        <v>0</v>
      </c>
      <c r="R4" s="55">
        <f t="shared" si="6"/>
        <v>0</v>
      </c>
      <c r="S4" s="55">
        <f t="shared" si="6"/>
        <v>0</v>
      </c>
      <c r="T4" s="56">
        <f t="shared" si="6"/>
        <v>0</v>
      </c>
      <c r="U4" s="56">
        <f t="shared" si="6"/>
        <v>0</v>
      </c>
      <c r="V4" s="55">
        <f t="shared" si="6"/>
        <v>58953.22</v>
      </c>
      <c r="W4" s="55">
        <f t="shared" si="6"/>
        <v>16615.8</v>
      </c>
      <c r="X4" s="55">
        <f t="shared" si="6"/>
        <v>61263.19</v>
      </c>
      <c r="Y4" s="55">
        <f t="shared" si="6"/>
        <v>67004.615999999995</v>
      </c>
      <c r="Z4" s="55">
        <f t="shared" si="6"/>
        <v>78677.259999999995</v>
      </c>
      <c r="AA4" s="56">
        <f t="shared" si="6"/>
        <v>0</v>
      </c>
      <c r="AB4" s="56">
        <f t="shared" si="6"/>
        <v>0</v>
      </c>
      <c r="AC4" s="55">
        <f t="shared" si="6"/>
        <v>0</v>
      </c>
      <c r="AD4" s="55">
        <f t="shared" si="6"/>
        <v>0</v>
      </c>
      <c r="AE4" s="55">
        <f t="shared" si="6"/>
        <v>2061901.32</v>
      </c>
      <c r="AF4" s="55">
        <f t="shared" si="6"/>
        <v>1899940.96</v>
      </c>
      <c r="AG4" s="55">
        <f t="shared" si="6"/>
        <v>0</v>
      </c>
      <c r="AH4" s="56">
        <f t="shared" si="6"/>
        <v>0</v>
      </c>
      <c r="AI4" s="56">
        <f t="shared" si="6"/>
        <v>0</v>
      </c>
      <c r="AJ4" s="57">
        <f t="shared" si="3"/>
        <v>8890050.6520000007</v>
      </c>
      <c r="AK4" s="58">
        <f t="shared" si="4"/>
        <v>9846575.0970800016</v>
      </c>
    </row>
    <row r="5" spans="1:37" s="4" customFormat="1" ht="20.100000000000001" customHeight="1" x14ac:dyDescent="0.3">
      <c r="B5" s="7">
        <v>1</v>
      </c>
      <c r="C5" s="8" t="s">
        <v>850</v>
      </c>
      <c r="D5" s="59">
        <f>SUM(D6:D8)</f>
        <v>18736625.749080002</v>
      </c>
      <c r="E5" s="59">
        <f t="shared" ref="E5" si="7">SUM(E6:E8)</f>
        <v>-71023.840000000026</v>
      </c>
      <c r="F5" s="60">
        <f>SUM(F6:F8)</f>
        <v>0</v>
      </c>
      <c r="G5" s="60">
        <f>SUM(G6:G8)</f>
        <v>0</v>
      </c>
      <c r="H5" s="60">
        <f>+H6+H7+H8</f>
        <v>1991782.0359999998</v>
      </c>
      <c r="I5" s="59">
        <f t="shared" ref="I5:AI5" si="8">SUM(I6:I8)</f>
        <v>2511004.2560000001</v>
      </c>
      <c r="J5" s="59">
        <f t="shared" si="8"/>
        <v>0</v>
      </c>
      <c r="K5" s="59">
        <f t="shared" si="8"/>
        <v>214497.804</v>
      </c>
      <c r="L5" s="59">
        <f t="shared" si="8"/>
        <v>0</v>
      </c>
      <c r="M5" s="60">
        <f t="shared" si="8"/>
        <v>0</v>
      </c>
      <c r="N5" s="60">
        <f t="shared" si="8"/>
        <v>0</v>
      </c>
      <c r="O5" s="59">
        <f t="shared" si="8"/>
        <v>-4530.7700000000004</v>
      </c>
      <c r="P5" s="59">
        <f t="shared" si="8"/>
        <v>0</v>
      </c>
      <c r="Q5" s="59">
        <f t="shared" si="8"/>
        <v>0</v>
      </c>
      <c r="R5" s="59">
        <f t="shared" si="8"/>
        <v>0</v>
      </c>
      <c r="S5" s="59">
        <f t="shared" si="8"/>
        <v>0</v>
      </c>
      <c r="T5" s="60">
        <f t="shared" si="8"/>
        <v>0</v>
      </c>
      <c r="U5" s="60">
        <f t="shared" si="8"/>
        <v>0</v>
      </c>
      <c r="V5" s="59">
        <f t="shared" si="8"/>
        <v>58953.22</v>
      </c>
      <c r="W5" s="59">
        <f t="shared" si="8"/>
        <v>16615.8</v>
      </c>
      <c r="X5" s="59">
        <f t="shared" si="8"/>
        <v>61263.19</v>
      </c>
      <c r="Y5" s="59">
        <f t="shared" si="8"/>
        <v>57315.216</v>
      </c>
      <c r="Z5" s="59">
        <f t="shared" si="8"/>
        <v>75133.107999999993</v>
      </c>
      <c r="AA5" s="60">
        <f t="shared" si="8"/>
        <v>0</v>
      </c>
      <c r="AB5" s="60">
        <f t="shared" si="8"/>
        <v>0</v>
      </c>
      <c r="AC5" s="59">
        <f t="shared" si="8"/>
        <v>0</v>
      </c>
      <c r="AD5" s="59">
        <f t="shared" si="8"/>
        <v>0</v>
      </c>
      <c r="AE5" s="59">
        <f t="shared" si="8"/>
        <v>2060687.02</v>
      </c>
      <c r="AF5" s="59">
        <f t="shared" si="8"/>
        <v>1899940.96</v>
      </c>
      <c r="AG5" s="59">
        <f t="shared" si="8"/>
        <v>0</v>
      </c>
      <c r="AH5" s="60">
        <f t="shared" si="8"/>
        <v>0</v>
      </c>
      <c r="AI5" s="60">
        <f t="shared" si="8"/>
        <v>0</v>
      </c>
      <c r="AJ5" s="61">
        <f t="shared" si="3"/>
        <v>8871638</v>
      </c>
      <c r="AK5" s="62">
        <f t="shared" si="4"/>
        <v>9864987.7490800023</v>
      </c>
    </row>
    <row r="6" spans="1:37" s="23" customFormat="1" ht="20.100000000000001" customHeight="1" outlineLevel="1" x14ac:dyDescent="0.3">
      <c r="B6" s="24"/>
      <c r="C6" s="25" t="s">
        <v>851</v>
      </c>
      <c r="D6" s="63">
        <v>13940985.561600005</v>
      </c>
      <c r="E6" s="64"/>
      <c r="F6" s="65"/>
      <c r="G6" s="65"/>
      <c r="H6" s="65"/>
      <c r="I6" s="64"/>
      <c r="J6" s="64"/>
      <c r="K6" s="64"/>
      <c r="L6" s="64"/>
      <c r="M6" s="65"/>
      <c r="N6" s="65"/>
      <c r="O6" s="64"/>
      <c r="P6" s="64"/>
      <c r="Q6" s="64"/>
      <c r="R6" s="64"/>
      <c r="S6" s="64"/>
      <c r="T6" s="65"/>
      <c r="U6" s="65"/>
      <c r="V6" s="64"/>
      <c r="W6" s="64"/>
      <c r="X6" s="64"/>
      <c r="Y6" s="64"/>
      <c r="Z6" s="64"/>
      <c r="AA6" s="65"/>
      <c r="AB6" s="65"/>
      <c r="AC6" s="64"/>
      <c r="AD6" s="64"/>
      <c r="AE6" s="64"/>
      <c r="AF6" s="64"/>
      <c r="AG6" s="64"/>
      <c r="AH6" s="65"/>
      <c r="AI6" s="65"/>
      <c r="AJ6" s="66">
        <f t="shared" si="3"/>
        <v>0</v>
      </c>
      <c r="AK6" s="67">
        <f t="shared" si="4"/>
        <v>13940985.561600005</v>
      </c>
    </row>
    <row r="7" spans="1:37" s="21" customFormat="1" ht="20.100000000000001" customHeight="1" outlineLevel="1" x14ac:dyDescent="0.3">
      <c r="B7" s="22"/>
      <c r="C7" s="8" t="s">
        <v>53</v>
      </c>
      <c r="D7" s="68">
        <v>3800779.7999999993</v>
      </c>
      <c r="E7" s="59">
        <f>SUMIFS(приходи!$L:$L,приходи!$E:$E,'ПП Март'!$C$7,приходи!$M:$M,'ПП Март'!E2)</f>
        <v>0</v>
      </c>
      <c r="F7" s="60">
        <f>SUMIFS(приходи!$L:$L,приходи!$E:$E,'ПП Март'!$C$7,приходи!$M:$M,'ПП Март'!F2)</f>
        <v>0</v>
      </c>
      <c r="G7" s="60">
        <f>SUMIFS(приходи!$L:$L,приходи!$E:$E,'ПП Март'!$C$7,приходи!$M:$M,'ПП Март'!G2)</f>
        <v>0</v>
      </c>
      <c r="H7" s="60">
        <f>SUMIFS(приходи!$L:$L,приходи!$E:$E,'ПП Март'!$C$7,приходи!$M:$M,'ПП Март'!H2)</f>
        <v>1686253.3979999998</v>
      </c>
      <c r="I7" s="59">
        <f>SUMIFS(приходи!$L:$L,приходи!$E:$E,'ПП Март'!$C$7,приходи!$M:$M,'ПП Март'!I2)</f>
        <v>2438441.0159999998</v>
      </c>
      <c r="J7" s="59">
        <f>SUMIFS(приходи!$L:$L,приходи!$E:$E,'ПП Март'!$C$7,приходи!$M:$M,'ПП Март'!J2)</f>
        <v>0</v>
      </c>
      <c r="K7" s="59">
        <f>SUMIFS(приходи!$L:$L,приходи!$E:$E,'ПП Март'!$C$7,приходи!$M:$M,'ПП Март'!K2)</f>
        <v>0</v>
      </c>
      <c r="L7" s="59">
        <f>SUMIFS(приходи!$L:$L,приходи!$E:$E,'ПП Март'!$C$7,приходи!$M:$M,'ПП Март'!L2)</f>
        <v>0</v>
      </c>
      <c r="M7" s="60">
        <f>SUMIFS(приходи!$L:$L,приходи!$E:$E,'ПП Март'!$C$7,приходи!$M:$M,'ПП Март'!M2)</f>
        <v>0</v>
      </c>
      <c r="N7" s="60">
        <f>SUMIFS(приходи!$L:$L,приходи!$E:$E,'ПП Март'!$C$7,приходи!$M:$M,'ПП Март'!N2)</f>
        <v>0</v>
      </c>
      <c r="O7" s="59">
        <f>SUMIFS(приходи!$L:$L,приходи!$E:$E,'ПП Март'!$C$7,приходи!$M:$M,'ПП Март'!O2)</f>
        <v>0</v>
      </c>
      <c r="P7" s="59">
        <f>SUMIFS(приходи!$L:$L,приходи!$E:$E,'ПП Март'!$C$7,приходи!$M:$M,'ПП Март'!P2)</f>
        <v>0</v>
      </c>
      <c r="Q7" s="59">
        <f>SUMIFS(приходи!$L:$L,приходи!$E:$E,'ПП Март'!$C$7,приходи!$M:$M,'ПП Март'!Q2)</f>
        <v>0</v>
      </c>
      <c r="R7" s="59">
        <f>SUMIFS(приходи!$L:$L,приходи!$E:$E,'ПП Март'!$C$7,приходи!$M:$M,'ПП Март'!R2)</f>
        <v>0</v>
      </c>
      <c r="S7" s="59">
        <f>SUMIFS(приходи!$L:$L,приходи!$E:$E,'ПП Март'!$C$7,приходи!$M:$M,'ПП Март'!S2)</f>
        <v>0</v>
      </c>
      <c r="T7" s="60">
        <f>SUMIFS(приходи!$L:$L,приходи!$E:$E,'ПП Март'!$C$7,приходи!$M:$M,'ПП Март'!T2)</f>
        <v>0</v>
      </c>
      <c r="U7" s="60">
        <f>SUMIFS(приходи!$L:$L,приходи!$E:$E,'ПП Март'!$C$7,приходи!$M:$M,'ПП Март'!U2)</f>
        <v>0</v>
      </c>
      <c r="V7" s="59">
        <f>SUMIFS(приходи!$L:$L,приходи!$E:$E,'ПП Март'!$C$7,приходи!$M:$M,'ПП Март'!V2)</f>
        <v>0</v>
      </c>
      <c r="W7" s="59">
        <f>SUMIFS(приходи!$L:$L,приходи!$E:$E,'ПП Март'!$C$7,приходи!$M:$M,'ПП Март'!W2)</f>
        <v>0</v>
      </c>
      <c r="X7" s="59">
        <f>SUMIFS(приходи!$L:$L,приходи!$E:$E,'ПП Март'!$C$7,приходи!$M:$M,'ПП Март'!X2)</f>
        <v>0</v>
      </c>
      <c r="Y7" s="59">
        <f>SUMIFS(приходи!$L:$L,приходи!$E:$E,'ПП Март'!$C$7,приходи!$M:$M,'ПП Март'!Y2)</f>
        <v>0</v>
      </c>
      <c r="Z7" s="59">
        <f>SUMIFS(приходи!$L:$L,приходи!$E:$E,'ПП Март'!$C$7,приходи!$M:$M,'ПП Март'!Z2)</f>
        <v>0</v>
      </c>
      <c r="AA7" s="60">
        <f>SUMIFS(приходи!$L:$L,приходи!$E:$E,'ПП Март'!$C$7,приходи!$M:$M,'ПП Март'!AA2)</f>
        <v>0</v>
      </c>
      <c r="AB7" s="60">
        <f>SUMIFS(приходи!$L:$L,приходи!$E:$E,'ПП Март'!$C$7,приходи!$M:$M,'ПП Март'!AB2)</f>
        <v>0</v>
      </c>
      <c r="AC7" s="59">
        <f>SUMIFS(приходи!$L:$L,приходи!$E:$E,'ПП Март'!$C$7,приходи!$M:$M,'ПП Март'!AC2)</f>
        <v>0</v>
      </c>
      <c r="AD7" s="59">
        <f>SUMIFS(приходи!$L:$L,приходи!$E:$E,'ПП Март'!$C$7,приходи!$M:$M,'ПП Март'!AD2)</f>
        <v>0</v>
      </c>
      <c r="AE7" s="59">
        <f>SUMIFS(приходи!$L:$L,приходи!$E:$E,'ПП Март'!$C$7,приходи!$M:$M,'ПП Март'!AE2)</f>
        <v>2060687.02</v>
      </c>
      <c r="AF7" s="59">
        <f>SUMIFS(приходи!$L:$L,приходи!$E:$E,'ПП Март'!$C$7,приходи!$M:$M,'ПП Март'!AF2)</f>
        <v>1883536.94</v>
      </c>
      <c r="AG7" s="59">
        <f>SUMIFS(приходи!$L:$L,приходи!$E:$E,'ПП Март'!$C$7,приходи!$M:$M,'ПП Март'!AG2)</f>
        <v>0</v>
      </c>
      <c r="AH7" s="60">
        <f>SUMIFS(приходи!$L:$L,приходи!$E:$E,'ПП Март'!$C$7,приходи!$M:$M,'ПП Март'!AH2)</f>
        <v>0</v>
      </c>
      <c r="AI7" s="60">
        <f>SUMIFS(приходи!$L:$L,приходи!$E:$E,'ПП Март'!$C$7,приходи!$M:$M,'ПП Март'!AI2)</f>
        <v>0</v>
      </c>
      <c r="AJ7" s="61">
        <f t="shared" si="3"/>
        <v>8068918.3739999998</v>
      </c>
      <c r="AK7" s="69">
        <f>+AJ7</f>
        <v>8068918.3739999998</v>
      </c>
    </row>
    <row r="8" spans="1:37" s="21" customFormat="1" ht="20.100000000000001" customHeight="1" outlineLevel="1" x14ac:dyDescent="0.3">
      <c r="B8" s="22"/>
      <c r="C8" s="8" t="s">
        <v>33</v>
      </c>
      <c r="D8" s="68">
        <v>994860.38748000003</v>
      </c>
      <c r="E8" s="59">
        <f>SUMIFS(приходи!$L:$L,приходи!$E:$E,'ПП Март'!$C$8,приходи!$M:$M,'ПП Март'!E2)</f>
        <v>-71023.840000000026</v>
      </c>
      <c r="F8" s="60">
        <f>SUMIFS(приходи!$L:$L,приходи!$E:$E,'ПП Март'!$C$8,приходи!$M:$M,'ПП Март'!F2)</f>
        <v>0</v>
      </c>
      <c r="G8" s="60">
        <f>SUMIFS(приходи!$L:$L,приходи!$E:$E,'ПП Март'!$C$8,приходи!$M:$M,'ПП Март'!G2)</f>
        <v>0</v>
      </c>
      <c r="H8" s="60">
        <f>SUMIFS(приходи!$L:$L,приходи!$E:$E,'ПП Март'!$C$8,приходи!$M:$M,'ПП Март'!H2)</f>
        <v>305528.63799999998</v>
      </c>
      <c r="I8" s="59">
        <f>SUMIFS(приходи!$L:$L,приходи!$E:$E,'ПП Март'!$C$8,приходи!$M:$M,'ПП Март'!I2)</f>
        <v>72563.240000000005</v>
      </c>
      <c r="J8" s="59">
        <f>SUMIFS(приходи!$L:$L,приходи!$E:$E,'ПП Март'!$C$8,приходи!$M:$M,'ПП Март'!J2)</f>
        <v>0</v>
      </c>
      <c r="K8" s="59">
        <f>SUMIFS(приходи!$L:$L,приходи!$E:$E,'ПП Март'!$C$8,приходи!$M:$M,'ПП Март'!K2)</f>
        <v>214497.804</v>
      </c>
      <c r="L8" s="59">
        <f>SUMIFS(приходи!$L:$L,приходи!$E:$E,'ПП Март'!$C$8,приходи!$M:$M,'ПП Март'!L2)</f>
        <v>0</v>
      </c>
      <c r="M8" s="60">
        <f>SUMIFS(приходи!$L:$L,приходи!$E:$E,'ПП Март'!$C$8,приходи!$M:$M,'ПП Март'!M2)</f>
        <v>0</v>
      </c>
      <c r="N8" s="60">
        <f>SUMIFS(приходи!$L:$L,приходи!$E:$E,'ПП Март'!$C$8,приходи!$M:$M,'ПП Март'!N2)</f>
        <v>0</v>
      </c>
      <c r="O8" s="59">
        <f>SUMIFS(приходи!$L:$L,приходи!$E:$E,'ПП Март'!$C$8,приходи!$M:$M,'ПП Март'!O2)</f>
        <v>-4530.7700000000004</v>
      </c>
      <c r="P8" s="59">
        <f>SUMIFS(приходи!$L:$L,приходи!$E:$E,'ПП Март'!$C$8,приходи!$M:$M,'ПП Март'!P2)</f>
        <v>0</v>
      </c>
      <c r="Q8" s="59">
        <f>SUMIFS(приходи!$L:$L,приходи!$E:$E,'ПП Март'!$C$8,приходи!$M:$M,'ПП Март'!Q2)</f>
        <v>0</v>
      </c>
      <c r="R8" s="59">
        <f>SUMIFS(приходи!$L:$L,приходи!$E:$E,'ПП Март'!$C$8,приходи!$M:$M,'ПП Март'!R2)</f>
        <v>0</v>
      </c>
      <c r="S8" s="59">
        <f>SUMIFS(приходи!$L:$L,приходи!$E:$E,'ПП Март'!$C$8,приходи!$M:$M,'ПП Март'!S2)</f>
        <v>0</v>
      </c>
      <c r="T8" s="60">
        <f>SUMIFS(приходи!$L:$L,приходи!$E:$E,'ПП Март'!$C$8,приходи!$M:$M,'ПП Март'!T2)</f>
        <v>0</v>
      </c>
      <c r="U8" s="60">
        <f>SUMIFS(приходи!$L:$L,приходи!$E:$E,'ПП Март'!$C$8,приходи!$M:$M,'ПП Март'!U2)</f>
        <v>0</v>
      </c>
      <c r="V8" s="59">
        <f>SUMIFS(приходи!$L:$L,приходи!$E:$E,'ПП Март'!$C$8,приходи!$M:$M,'ПП Март'!V2)</f>
        <v>58953.22</v>
      </c>
      <c r="W8" s="59">
        <f>SUMIFS(приходи!$L:$L,приходи!$E:$E,'ПП Март'!$C$8,приходи!$M:$M,'ПП Март'!W2)</f>
        <v>16615.8</v>
      </c>
      <c r="X8" s="59">
        <f>SUMIFS(приходи!$L:$L,приходи!$E:$E,'ПП Март'!$C$8,приходи!$M:$M,'ПП Март'!X2)</f>
        <v>61263.19</v>
      </c>
      <c r="Y8" s="59">
        <f>SUMIFS(приходи!$L:$L,приходи!$E:$E,'ПП Март'!$C$8,приходи!$M:$M,'ПП Март'!Y2)</f>
        <v>57315.216</v>
      </c>
      <c r="Z8" s="59">
        <f>SUMIFS(приходи!$L:$L,приходи!$E:$E,'ПП Март'!$C$8,приходи!$M:$M,'ПП Март'!Z2)</f>
        <v>75133.107999999993</v>
      </c>
      <c r="AA8" s="60">
        <f>SUMIFS(приходи!$L:$L,приходи!$E:$E,'ПП Март'!$C$8,приходи!$M:$M,'ПП Март'!AA2)</f>
        <v>0</v>
      </c>
      <c r="AB8" s="60">
        <f>SUMIFS(приходи!$L:$L,приходи!$E:$E,'ПП Март'!$C$8,приходи!$M:$M,'ПП Март'!AB2)</f>
        <v>0</v>
      </c>
      <c r="AC8" s="59">
        <f>SUMIFS(приходи!$L:$L,приходи!$E:$E,'ПП Март'!$C$8,приходи!$M:$M,'ПП Март'!AC2)</f>
        <v>0</v>
      </c>
      <c r="AD8" s="59">
        <f>SUMIFS(приходи!$L:$L,приходи!$E:$E,'ПП Март'!$C$8,приходи!$M:$M,'ПП Март'!AD2)</f>
        <v>0</v>
      </c>
      <c r="AE8" s="59">
        <f>SUMIFS(приходи!$L:$L,приходи!$E:$E,'ПП Март'!$C$8,приходи!$M:$M,'ПП Март'!AE2)</f>
        <v>0</v>
      </c>
      <c r="AF8" s="59">
        <f>SUMIFS(приходи!$L:$L,приходи!$E:$E,'ПП Март'!$C$8,приходи!$M:$M,'ПП Март'!AF2)</f>
        <v>16404.02</v>
      </c>
      <c r="AG8" s="59">
        <f>SUMIFS(приходи!$L:$L,приходи!$E:$E,'ПП Март'!$C$8,приходи!$M:$M,'ПП Март'!AG2)</f>
        <v>0</v>
      </c>
      <c r="AH8" s="60">
        <f>SUMIFS(приходи!$L:$L,приходи!$E:$E,'ПП Март'!$C$8,приходи!$M:$M,'ПП Март'!AH2)</f>
        <v>0</v>
      </c>
      <c r="AI8" s="60">
        <f>SUMIFS(приходи!$L:$L,приходи!$E:$E,'ПП Март'!$C$8,приходи!$M:$M,'ПП Март'!AI2)</f>
        <v>0</v>
      </c>
      <c r="AJ8" s="61">
        <f t="shared" si="3"/>
        <v>802719.62599999993</v>
      </c>
      <c r="AK8" s="69">
        <f t="shared" ref="AK8:AK22" si="9">+AJ8</f>
        <v>802719.62599999993</v>
      </c>
    </row>
    <row r="9" spans="1:37" s="4" customFormat="1" ht="20.100000000000001" customHeight="1" x14ac:dyDescent="0.3">
      <c r="B9" s="7">
        <v>2</v>
      </c>
      <c r="C9" s="8" t="s">
        <v>36</v>
      </c>
      <c r="D9" s="68"/>
      <c r="E9" s="59">
        <f>SUMIFS(приходи!$L:$L,приходи!$E:$E,'ПП Март'!$C$9,приходи!$M:$M,'ПП Март'!E2)</f>
        <v>3964.8</v>
      </c>
      <c r="F9" s="60">
        <f>SUMIFS(приходи!$L:$L,приходи!$E:$E,'ПП Март'!$C$9,приходи!$M:$M,'ПП Март'!F2)</f>
        <v>0</v>
      </c>
      <c r="G9" s="60">
        <f>SUMIFS(приходи!$L:$L,приходи!$E:$E,'ПП Март'!$C$9,приходи!$M:$M,'ПП Март'!G2)</f>
        <v>0</v>
      </c>
      <c r="H9" s="60">
        <f>SUMIFS(приходи!$L:$L,приходи!$E:$E,'ПП Март'!$C$9,приходи!$M:$M,'ПП Март'!H2)</f>
        <v>0</v>
      </c>
      <c r="I9" s="59">
        <f>SUMIFS(приходи!$L:$L,приходи!$E:$E,'ПП Март'!$C$9,приходи!$M:$M,'ПП Март'!I2)</f>
        <v>0</v>
      </c>
      <c r="J9" s="59">
        <f>SUMIFS(приходи!$L:$L,приходи!$E:$E,'ПП Март'!$C$9,приходи!$M:$M,'ПП Март'!J2)</f>
        <v>0</v>
      </c>
      <c r="K9" s="59">
        <f>SUMIFS(приходи!$L:$L,приходи!$E:$E,'ПП Март'!$C$9,приходи!$M:$M,'ПП Март'!K2)</f>
        <v>0</v>
      </c>
      <c r="L9" s="59">
        <f>SUMIFS(приходи!$L:$L,приходи!$E:$E,'ПП Март'!$C$9,приходи!$M:$M,'ПП Март'!L2)</f>
        <v>0</v>
      </c>
      <c r="M9" s="60">
        <f>SUMIFS(приходи!$L:$L,приходи!$E:$E,'ПП Март'!$C$9,приходи!$M:$M,'ПП Март'!M2)</f>
        <v>0</v>
      </c>
      <c r="N9" s="60">
        <f>SUMIFS(приходи!$L:$L,приходи!$E:$E,'ПП Март'!$C$9,приходи!$M:$M,'ПП Март'!N2)</f>
        <v>0</v>
      </c>
      <c r="O9" s="59">
        <f>SUMIFS(приходи!$L:$L,приходи!$E:$E,'ПП Март'!$C$9,приходи!$M:$M,'ПП Март'!O2)</f>
        <v>0</v>
      </c>
      <c r="P9" s="59">
        <f>SUMIFS(приходи!$L:$L,приходи!$E:$E,'ПП Март'!$C$9,приходи!$M:$M,'ПП Март'!P2)</f>
        <v>0</v>
      </c>
      <c r="Q9" s="59">
        <f>SUMIFS(приходи!$L:$L,приходи!$E:$E,'ПП Март'!$C$9,приходи!$M:$M,'ПП Март'!Q2)</f>
        <v>0</v>
      </c>
      <c r="R9" s="59">
        <f>SUMIFS(приходи!$L:$L,приходи!$E:$E,'ПП Март'!$C$9,приходи!$M:$M,'ПП Март'!R2)</f>
        <v>0</v>
      </c>
      <c r="S9" s="59">
        <f>SUMIFS(приходи!$L:$L,приходи!$E:$E,'ПП Март'!$C$9,приходи!$M:$M,'ПП Март'!S2)</f>
        <v>0</v>
      </c>
      <c r="T9" s="60">
        <f>SUMIFS(приходи!$L:$L,приходи!$E:$E,'ПП Март'!$C$9,приходи!$M:$M,'ПП Март'!T2)</f>
        <v>0</v>
      </c>
      <c r="U9" s="60">
        <f>SUMIFS(приходи!$L:$L,приходи!$E:$E,'ПП Март'!$C$9,приходи!$M:$M,'ПП Март'!U2)</f>
        <v>0</v>
      </c>
      <c r="V9" s="59">
        <f>SUMIFS(приходи!$L:$L,приходи!$E:$E,'ПП Март'!$C$9,приходи!$M:$M,'ПП Март'!V2)</f>
        <v>0</v>
      </c>
      <c r="W9" s="59">
        <f>SUMIFS(приходи!$L:$L,приходи!$E:$E,'ПП Март'!$C$9,приходи!$M:$M,'ПП Март'!W2)</f>
        <v>0</v>
      </c>
      <c r="X9" s="59">
        <f>SUMIFS(приходи!$L:$L,приходи!$E:$E,'ПП Март'!$C$9,приходи!$M:$M,'ПП Март'!X2)</f>
        <v>0</v>
      </c>
      <c r="Y9" s="59">
        <f>SUMIFS(приходи!$L:$L,приходи!$E:$E,'ПП Март'!$C$9,приходи!$M:$M,'ПП Март'!Y2)</f>
        <v>9689.4</v>
      </c>
      <c r="Z9" s="59">
        <f>SUMIFS(приходи!$L:$L,приходи!$E:$E,'ПП Март'!$C$9,приходи!$M:$M,'ПП Март'!Z2)</f>
        <v>3544.152</v>
      </c>
      <c r="AA9" s="60">
        <f>SUMIFS(приходи!$L:$L,приходи!$E:$E,'ПП Март'!$C$9,приходи!$M:$M,'ПП Март'!AA2)</f>
        <v>0</v>
      </c>
      <c r="AB9" s="60">
        <f>SUMIFS(приходи!$L:$L,приходи!$E:$E,'ПП Март'!$C$9,приходи!$M:$M,'ПП Март'!AB2)</f>
        <v>0</v>
      </c>
      <c r="AC9" s="59">
        <f>SUMIFS(приходи!$L:$L,приходи!$E:$E,'ПП Март'!$C$9,приходи!$M:$M,'ПП Март'!AC2)</f>
        <v>0</v>
      </c>
      <c r="AD9" s="59">
        <f>SUMIFS(приходи!$L:$L,приходи!$E:$E,'ПП Март'!$C$9,приходи!$M:$M,'ПП Март'!AD2)</f>
        <v>0</v>
      </c>
      <c r="AE9" s="59">
        <f>SUMIFS(приходи!$L:$L,приходи!$E:$E,'ПП Март'!$C$9,приходи!$M:$M,'ПП Март'!AE2)</f>
        <v>1214.3</v>
      </c>
      <c r="AF9" s="59">
        <f>SUMIFS(приходи!$L:$L,приходи!$E:$E,'ПП Март'!$C$9,приходи!$M:$M,'ПП Март'!AF2)</f>
        <v>0</v>
      </c>
      <c r="AG9" s="59">
        <f>SUMIFS(приходи!$L:$L,приходи!$E:$E,'ПП Март'!$C$9,приходи!$M:$M,'ПП Март'!AG2)</f>
        <v>0</v>
      </c>
      <c r="AH9" s="60">
        <f>SUMIFS(приходи!$L:$L,приходи!$E:$E,'ПП Март'!$C$9,приходи!$M:$M,'ПП Март'!AH2)</f>
        <v>0</v>
      </c>
      <c r="AI9" s="60">
        <f>SUMIFS(приходи!$L:$L,приходи!$E:$E,'ПП Март'!$C$9,приходи!$M:$M,'ПП Март'!AI2)</f>
        <v>0</v>
      </c>
      <c r="AJ9" s="61">
        <f t="shared" si="3"/>
        <v>18412.651999999998</v>
      </c>
      <c r="AK9" s="69">
        <f t="shared" si="9"/>
        <v>18412.651999999998</v>
      </c>
    </row>
    <row r="10" spans="1:37" s="4" customFormat="1" ht="20.100000000000001" customHeight="1" x14ac:dyDescent="0.3">
      <c r="B10" s="7">
        <v>3</v>
      </c>
      <c r="C10" s="8" t="s">
        <v>119</v>
      </c>
      <c r="D10" s="68"/>
      <c r="E10" s="59">
        <f>SUMIFS(приходи!$L:$L,приходи!$E:$E,'ПП Март'!$C$10,приходи!$M:$M,'ПП Март'!E2)</f>
        <v>0</v>
      </c>
      <c r="F10" s="60">
        <f>SUMIFS(приходи!$L:$L,приходи!$E:$E,'ПП Март'!$C$10,приходи!$M:$M,'ПП Март'!F2)</f>
        <v>0</v>
      </c>
      <c r="G10" s="60">
        <f>SUMIFS(приходи!$L:$L,приходи!$E:$E,'ПП Март'!$C$10,приходи!$M:$M,'ПП Март'!G2)</f>
        <v>0</v>
      </c>
      <c r="H10" s="60">
        <f>SUMIFS(приходи!$L:$L,приходи!$E:$E,'ПП Март'!$C$10,приходи!$M:$M,'ПП Март'!H2)</f>
        <v>0</v>
      </c>
      <c r="I10" s="59">
        <f>SUMIFS(приходи!$L:$L,приходи!$E:$E,'ПП Март'!$C$10,приходи!$M:$M,'ПП Март'!I2)</f>
        <v>0</v>
      </c>
      <c r="J10" s="59">
        <f>SUMIFS(приходи!$L:$L,приходи!$E:$E,'ПП Март'!$C$10,приходи!$M:$M,'ПП Март'!J2)</f>
        <v>0</v>
      </c>
      <c r="K10" s="59">
        <f>SUMIFS(приходи!$L:$L,приходи!$E:$E,'ПП Март'!$C$10,приходи!$M:$M,'ПП Март'!K2)</f>
        <v>0</v>
      </c>
      <c r="L10" s="59">
        <f>SUMIFS(приходи!$L:$L,приходи!$E:$E,'ПП Март'!$C$10,приходи!$M:$M,'ПП Март'!L2)</f>
        <v>0</v>
      </c>
      <c r="M10" s="60">
        <f>SUMIFS(приходи!$L:$L,приходи!$E:$E,'ПП Март'!$C$10,приходи!$M:$M,'ПП Март'!M2)</f>
        <v>0</v>
      </c>
      <c r="N10" s="60">
        <f>SUMIFS(приходи!$L:$L,приходи!$E:$E,'ПП Март'!$C$10,приходи!$M:$M,'ПП Март'!N2)</f>
        <v>0</v>
      </c>
      <c r="O10" s="59">
        <f>SUMIFS(приходи!$L:$L,приходи!$E:$E,'ПП Март'!$C$10,приходи!$M:$M,'ПП Март'!O2)</f>
        <v>0</v>
      </c>
      <c r="P10" s="59">
        <f>SUMIFS(приходи!$L:$L,приходи!$E:$E,'ПП Март'!$C$10,приходи!$M:$M,'ПП Март'!P2)</f>
        <v>0</v>
      </c>
      <c r="Q10" s="59">
        <f>SUMIFS(приходи!$L:$L,приходи!$E:$E,'ПП Март'!$C$10,приходи!$M:$M,'ПП Март'!Q2)</f>
        <v>0</v>
      </c>
      <c r="R10" s="59">
        <f>SUMIFS(приходи!$L:$L,приходи!$E:$E,'ПП Март'!$C$10,приходи!$M:$M,'ПП Март'!R2)</f>
        <v>0</v>
      </c>
      <c r="S10" s="59">
        <f>SUMIFS(приходи!$L:$L,приходи!$E:$E,'ПП Март'!$C$10,приходи!$M:$M,'ПП Март'!S2)</f>
        <v>0</v>
      </c>
      <c r="T10" s="60">
        <f>SUMIFS(приходи!$L:$L,приходи!$E:$E,'ПП Март'!$C$10,приходи!$M:$M,'ПП Март'!T2)</f>
        <v>0</v>
      </c>
      <c r="U10" s="60">
        <f>SUMIFS(приходи!$L:$L,приходи!$E:$E,'ПП Март'!$C$10,приходи!$M:$M,'ПП Март'!U2)</f>
        <v>0</v>
      </c>
      <c r="V10" s="59">
        <f>SUMIFS(приходи!$L:$L,приходи!$E:$E,'ПП Март'!$C$10,приходи!$M:$M,'ПП Март'!V2)</f>
        <v>0</v>
      </c>
      <c r="W10" s="59">
        <f>SUMIFS(приходи!$L:$L,приходи!$E:$E,'ПП Март'!$C$10,приходи!$M:$M,'ПП Март'!W2)</f>
        <v>0</v>
      </c>
      <c r="X10" s="59">
        <f>SUMIFS(приходи!$L:$L,приходи!$E:$E,'ПП Март'!$C$10,приходи!$M:$M,'ПП Март'!X2)</f>
        <v>0</v>
      </c>
      <c r="Y10" s="59">
        <f>SUMIFS(приходи!$L:$L,приходи!$E:$E,'ПП Март'!$C$10,приходи!$M:$M,'ПП Март'!Y2)</f>
        <v>0</v>
      </c>
      <c r="Z10" s="59">
        <f>SUMIFS(приходи!$L:$L,приходи!$E:$E,'ПП Март'!$C$10,приходи!$M:$M,'ПП Март'!Z2)</f>
        <v>0</v>
      </c>
      <c r="AA10" s="60">
        <f>SUMIFS(приходи!$L:$L,приходи!$E:$E,'ПП Март'!$C$10,приходи!$M:$M,'ПП Март'!AA2)</f>
        <v>0</v>
      </c>
      <c r="AB10" s="60">
        <f>SUMIFS(приходи!$L:$L,приходи!$E:$E,'ПП Март'!$C$10,приходи!$M:$M,'ПП Март'!AB2)</f>
        <v>0</v>
      </c>
      <c r="AC10" s="59">
        <f>SUMIFS(приходи!$L:$L,приходи!$E:$E,'ПП Март'!$C$10,приходи!$M:$M,'ПП Март'!AC2)</f>
        <v>0</v>
      </c>
      <c r="AD10" s="59">
        <f>SUMIFS(приходи!$L:$L,приходи!$E:$E,'ПП Март'!$C$10,приходи!$M:$M,'ПП Март'!AD2)</f>
        <v>0</v>
      </c>
      <c r="AE10" s="59">
        <f>SUMIFS(приходи!$L:$L,приходи!$E:$E,'ПП Март'!$C$10,приходи!$M:$M,'ПП Март'!AE2)</f>
        <v>0</v>
      </c>
      <c r="AF10" s="59">
        <f>SUMIFS(приходи!$L:$L,приходи!$E:$E,'ПП Март'!$C$10,приходи!$M:$M,'ПП Март'!AF2)</f>
        <v>0</v>
      </c>
      <c r="AG10" s="59">
        <f>SUMIFS(приходи!$L:$L,приходи!$E:$E,'ПП Март'!$C$10,приходи!$M:$M,'ПП Март'!AG2)</f>
        <v>0</v>
      </c>
      <c r="AH10" s="60">
        <f>SUMIFS(приходи!$L:$L,приходи!$E:$E,'ПП Март'!$C$10,приходи!$M:$M,'ПП Март'!AH2)</f>
        <v>0</v>
      </c>
      <c r="AI10" s="60">
        <f>SUMIFS(приходи!$L:$L,приходи!$E:$E,'ПП Март'!$C$10,приходи!$M:$M,'ПП Март'!AI2)</f>
        <v>0</v>
      </c>
      <c r="AJ10" s="61">
        <f t="shared" si="3"/>
        <v>0</v>
      </c>
      <c r="AK10" s="69">
        <f t="shared" si="9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55">
        <f t="shared" ref="D11:E11" si="10">SUM(D12:D13,D20,D21,D22)</f>
        <v>129526.128</v>
      </c>
      <c r="E11" s="55">
        <f t="shared" si="10"/>
        <v>322.02999999999997</v>
      </c>
      <c r="F11" s="56">
        <f t="shared" ref="F11:AI11" si="11">SUM(F12:F13,F20,F21,F22)</f>
        <v>0</v>
      </c>
      <c r="G11" s="56">
        <f t="shared" si="11"/>
        <v>0</v>
      </c>
      <c r="H11" s="56">
        <f t="shared" si="11"/>
        <v>195708.01199999999</v>
      </c>
      <c r="I11" s="55">
        <f t="shared" si="11"/>
        <v>228922.61199999999</v>
      </c>
      <c r="J11" s="55">
        <f t="shared" si="11"/>
        <v>0</v>
      </c>
      <c r="K11" s="55">
        <f t="shared" si="11"/>
        <v>0</v>
      </c>
      <c r="L11" s="55">
        <f t="shared" si="11"/>
        <v>0</v>
      </c>
      <c r="M11" s="56">
        <f t="shared" si="11"/>
        <v>0</v>
      </c>
      <c r="N11" s="56">
        <f t="shared" si="11"/>
        <v>0</v>
      </c>
      <c r="O11" s="55">
        <f t="shared" si="11"/>
        <v>0</v>
      </c>
      <c r="P11" s="55">
        <f t="shared" si="11"/>
        <v>327.27999999999997</v>
      </c>
      <c r="Q11" s="55">
        <f t="shared" si="11"/>
        <v>0</v>
      </c>
      <c r="R11" s="55">
        <f t="shared" si="11"/>
        <v>0</v>
      </c>
      <c r="S11" s="55">
        <f t="shared" si="11"/>
        <v>48.3</v>
      </c>
      <c r="T11" s="56">
        <f t="shared" si="11"/>
        <v>0</v>
      </c>
      <c r="U11" s="56">
        <f t="shared" si="11"/>
        <v>0</v>
      </c>
      <c r="V11" s="55">
        <f t="shared" si="11"/>
        <v>779.93000000000006</v>
      </c>
      <c r="W11" s="55">
        <f t="shared" si="11"/>
        <v>1215.6300000000001</v>
      </c>
      <c r="X11" s="55">
        <f t="shared" si="11"/>
        <v>12864.715999999999</v>
      </c>
      <c r="Y11" s="55">
        <f t="shared" si="11"/>
        <v>1110.1799999999998</v>
      </c>
      <c r="Z11" s="55">
        <f t="shared" si="11"/>
        <v>1289.0440000000001</v>
      </c>
      <c r="AA11" s="56">
        <f t="shared" si="11"/>
        <v>0</v>
      </c>
      <c r="AB11" s="56">
        <f t="shared" si="11"/>
        <v>0</v>
      </c>
      <c r="AC11" s="55">
        <f t="shared" si="11"/>
        <v>0</v>
      </c>
      <c r="AD11" s="55">
        <f t="shared" si="11"/>
        <v>0</v>
      </c>
      <c r="AE11" s="55">
        <f t="shared" si="11"/>
        <v>31869.02</v>
      </c>
      <c r="AF11" s="55">
        <f t="shared" si="11"/>
        <v>273889.25</v>
      </c>
      <c r="AG11" s="55">
        <f t="shared" si="11"/>
        <v>0</v>
      </c>
      <c r="AH11" s="56">
        <f t="shared" si="11"/>
        <v>0</v>
      </c>
      <c r="AI11" s="56">
        <f t="shared" si="11"/>
        <v>0</v>
      </c>
      <c r="AJ11" s="57">
        <f t="shared" si="3"/>
        <v>748346.00399999996</v>
      </c>
      <c r="AK11" s="69">
        <f t="shared" si="9"/>
        <v>748346.00399999996</v>
      </c>
    </row>
    <row r="12" spans="1:37" s="4" customFormat="1" ht="20.100000000000001" customHeight="1" x14ac:dyDescent="0.3">
      <c r="B12" s="7">
        <v>1</v>
      </c>
      <c r="C12" s="8" t="s">
        <v>58</v>
      </c>
      <c r="D12" s="68"/>
      <c r="E12" s="59">
        <f>SUMIFS(приходи!$L:$L,приходи!$E:$E,'ПП Март'!$C$12,приходи!$M:$M,'ПП Март'!E2)</f>
        <v>322.02999999999997</v>
      </c>
      <c r="F12" s="60">
        <f>SUMIFS(приходи!$L:$L,приходи!$E:$E,'ПП Март'!$C$12,приходи!$M:$M,'ПП Март'!F2)</f>
        <v>0</v>
      </c>
      <c r="G12" s="60">
        <f>SUMIFS(приходи!$L:$L,приходи!$E:$E,'ПП Март'!$C$12,приходи!$M:$M,'ПП Март'!G2)</f>
        <v>0</v>
      </c>
      <c r="H12" s="60">
        <f>SUMIFS(приходи!$L:$L,приходи!$E:$E,'ПП Март'!$C$12,приходи!$M:$M,'ПП Март'!H2)</f>
        <v>50982.233999999997</v>
      </c>
      <c r="I12" s="70">
        <f>SUMIFS(приходи!$L:$L,приходи!$E:$E,'ПП Март'!$C$12,приходи!$M:$M,'ПП Март'!I2)</f>
        <v>118225.59999999999</v>
      </c>
      <c r="J12" s="70">
        <f>SUMIFS(приходи!$L:$L,приходи!$E:$E,'ПП Март'!$C$12,приходи!$M:$M,'ПП Март'!J2)</f>
        <v>0</v>
      </c>
      <c r="K12" s="70">
        <f>SUMIFS(приходи!$L:$L,приходи!$E:$E,'ПП Март'!$C$12,приходи!$M:$M,'ПП Март'!K2)</f>
        <v>0</v>
      </c>
      <c r="L12" s="70">
        <f>SUMIFS(приходи!$L:$L,приходи!$E:$E,'ПП Март'!$C$12,приходи!$M:$M,'ПП Март'!L2)</f>
        <v>0</v>
      </c>
      <c r="M12" s="60">
        <f>SUMIFS(приходи!$L:$L,приходи!$E:$E,'ПП Март'!$C$12,приходи!$M:$M,'ПП Март'!M2)</f>
        <v>0</v>
      </c>
      <c r="N12" s="60">
        <f>SUMIFS(приходи!$L:$L,приходи!$E:$E,'ПП Март'!$C$12,приходи!$M:$M,'ПП Март'!N2)</f>
        <v>0</v>
      </c>
      <c r="O12" s="70">
        <f>SUMIFS(приходи!$L:$L,приходи!$E:$E,'ПП Март'!$C$12,приходи!$M:$M,'ПП Март'!O2)</f>
        <v>0</v>
      </c>
      <c r="P12" s="70">
        <f>SUMIFS(приходи!$L:$L,приходи!$E:$E,'ПП Март'!$C$12,приходи!$M:$M,'ПП Март'!P2)</f>
        <v>302.32</v>
      </c>
      <c r="Q12" s="70">
        <f>SUMIFS(приходи!$L:$L,приходи!$E:$E,'ПП Март'!$C$12,приходи!$M:$M,'ПП Март'!Q2)</f>
        <v>0</v>
      </c>
      <c r="R12" s="70">
        <f>SUMIFS(приходи!$L:$L,приходи!$E:$E,'ПП Март'!$C$12,приходи!$M:$M,'ПП Март'!R2)</f>
        <v>0</v>
      </c>
      <c r="S12" s="70">
        <f>SUMIFS(приходи!$L:$L,приходи!$E:$E,'ПП Март'!$C$12,приходи!$M:$M,'ПП Март'!S2)</f>
        <v>31.91</v>
      </c>
      <c r="T12" s="60">
        <f>SUMIFS(приходи!$L:$L,приходи!$E:$E,'ПП Март'!$C$12,приходи!$M:$M,'ПП Март'!T2)</f>
        <v>0</v>
      </c>
      <c r="U12" s="60">
        <f>SUMIFS(приходи!$L:$L,приходи!$E:$E,'ПП Март'!$C$12,приходи!$M:$M,'ПП Март'!U2)</f>
        <v>0</v>
      </c>
      <c r="V12" s="70">
        <f>SUMIFS(приходи!$L:$L,приходи!$E:$E,'ПП Март'!$C$12,приходи!$M:$M,'ПП Март'!V2)</f>
        <v>0</v>
      </c>
      <c r="W12" s="70">
        <f>SUMIFS(приходи!$L:$L,приходи!$E:$E,'ПП Март'!$C$12,приходи!$M:$M,'ПП Март'!W2)</f>
        <v>0</v>
      </c>
      <c r="X12" s="70">
        <f>SUMIFS(приходи!$L:$L,приходи!$E:$E,'ПП Март'!$C$12,приходи!$M:$M,'ПП Март'!X2)</f>
        <v>0</v>
      </c>
      <c r="Y12" s="70">
        <f>SUMIFS(приходи!$L:$L,приходи!$E:$E,'ПП Март'!$C$12,приходи!$M:$M,'ПП Март'!Y2)</f>
        <v>0</v>
      </c>
      <c r="Z12" s="70">
        <f>SUMIFS(приходи!$L:$L,приходи!$E:$E,'ПП Март'!$C$12,приходи!$M:$M,'ПП Март'!Z2)</f>
        <v>0</v>
      </c>
      <c r="AA12" s="60">
        <f>SUMIFS(приходи!$L:$L,приходи!$E:$E,'ПП Март'!$C$12,приходи!$M:$M,'ПП Март'!AA2)</f>
        <v>0</v>
      </c>
      <c r="AB12" s="60">
        <f>SUMIFS(приходи!$L:$L,приходи!$E:$E,'ПП Март'!$C$12,приходи!$M:$M,'ПП Март'!AB2)</f>
        <v>0</v>
      </c>
      <c r="AC12" s="70">
        <f>SUMIFS(приходи!$L:$L,приходи!$E:$E,'ПП Март'!$C$12,приходи!$M:$M,'ПП Март'!AC2)</f>
        <v>0</v>
      </c>
      <c r="AD12" s="70">
        <f>SUMIFS(приходи!$L:$L,приходи!$E:$E,'ПП Март'!$C$12,приходи!$M:$M,'ПП Март'!AD2)</f>
        <v>0</v>
      </c>
      <c r="AE12" s="70">
        <f>SUMIFS(приходи!$L:$L,приходи!$E:$E,'ПП Март'!$C$12,приходи!$M:$M,'ПП Март'!AE2)</f>
        <v>0</v>
      </c>
      <c r="AF12" s="70">
        <f>SUMIFS(приходи!$L:$L,приходи!$E:$E,'ПП Март'!$C$12,приходи!$M:$M,'ПП Март'!AF2)</f>
        <v>0</v>
      </c>
      <c r="AG12" s="70">
        <f>SUMIFS(приходи!$L:$L,приходи!$E:$E,'ПП Март'!$C$12,приходи!$M:$M,'ПП Март'!AG2)</f>
        <v>0</v>
      </c>
      <c r="AH12" s="60">
        <f>SUMIFS(приходи!$L:$L,приходи!$E:$E,'ПП Март'!$C$12,приходи!$M:$M,'ПП Март'!AH2)</f>
        <v>0</v>
      </c>
      <c r="AI12" s="60">
        <f>SUMIFS(приходи!$L:$L,приходи!$E:$E,'ПП Март'!$C$12,приходи!$M:$M,'ПП Март'!AI2)</f>
        <v>0</v>
      </c>
      <c r="AJ12" s="61">
        <f t="shared" si="3"/>
        <v>169864.09400000001</v>
      </c>
      <c r="AK12" s="69">
        <f t="shared" si="9"/>
        <v>169864.09400000001</v>
      </c>
    </row>
    <row r="13" spans="1:37" s="4" customFormat="1" ht="20.100000000000001" customHeight="1" x14ac:dyDescent="0.3">
      <c r="B13" s="7">
        <v>2</v>
      </c>
      <c r="C13" s="8" t="s">
        <v>854</v>
      </c>
      <c r="D13" s="70">
        <f t="shared" ref="D13" si="12">SUM(D14:D18)</f>
        <v>0</v>
      </c>
      <c r="E13" s="70">
        <f t="shared" ref="E13:AI13" si="13">SUM(E14:E19)</f>
        <v>0</v>
      </c>
      <c r="F13" s="60">
        <f t="shared" si="13"/>
        <v>0</v>
      </c>
      <c r="G13" s="60">
        <f t="shared" si="13"/>
        <v>0</v>
      </c>
      <c r="H13" s="60">
        <f t="shared" si="13"/>
        <v>91391.489999999991</v>
      </c>
      <c r="I13" s="70">
        <f t="shared" si="13"/>
        <v>28955.315999999999</v>
      </c>
      <c r="J13" s="70">
        <f t="shared" si="13"/>
        <v>0</v>
      </c>
      <c r="K13" s="70">
        <f t="shared" si="13"/>
        <v>0</v>
      </c>
      <c r="L13" s="70">
        <f t="shared" si="13"/>
        <v>0</v>
      </c>
      <c r="M13" s="60">
        <f t="shared" si="13"/>
        <v>0</v>
      </c>
      <c r="N13" s="60">
        <f t="shared" si="13"/>
        <v>0</v>
      </c>
      <c r="O13" s="70">
        <f t="shared" si="13"/>
        <v>0</v>
      </c>
      <c r="P13" s="70">
        <f t="shared" si="13"/>
        <v>24.96</v>
      </c>
      <c r="Q13" s="70">
        <f t="shared" si="13"/>
        <v>0</v>
      </c>
      <c r="R13" s="70">
        <f t="shared" si="13"/>
        <v>0</v>
      </c>
      <c r="S13" s="70">
        <f t="shared" si="13"/>
        <v>16.39</v>
      </c>
      <c r="T13" s="60">
        <f t="shared" si="13"/>
        <v>0</v>
      </c>
      <c r="U13" s="60">
        <f t="shared" si="13"/>
        <v>0</v>
      </c>
      <c r="V13" s="70">
        <f t="shared" si="13"/>
        <v>779.93000000000006</v>
      </c>
      <c r="W13" s="70">
        <f t="shared" si="13"/>
        <v>1215.6300000000001</v>
      </c>
      <c r="X13" s="70">
        <f t="shared" si="13"/>
        <v>12864.715999999999</v>
      </c>
      <c r="Y13" s="70">
        <f t="shared" si="13"/>
        <v>1110.1799999999998</v>
      </c>
      <c r="Z13" s="70">
        <f t="shared" si="13"/>
        <v>1289.0440000000001</v>
      </c>
      <c r="AA13" s="60">
        <f t="shared" si="13"/>
        <v>0</v>
      </c>
      <c r="AB13" s="60">
        <f t="shared" si="13"/>
        <v>0</v>
      </c>
      <c r="AC13" s="70">
        <f t="shared" si="13"/>
        <v>0</v>
      </c>
      <c r="AD13" s="70">
        <f t="shared" si="13"/>
        <v>0</v>
      </c>
      <c r="AE13" s="70">
        <f t="shared" si="13"/>
        <v>31869.02</v>
      </c>
      <c r="AF13" s="70">
        <f t="shared" si="13"/>
        <v>273889.25</v>
      </c>
      <c r="AG13" s="70">
        <f t="shared" si="13"/>
        <v>0</v>
      </c>
      <c r="AH13" s="60">
        <f t="shared" si="13"/>
        <v>0</v>
      </c>
      <c r="AI13" s="60">
        <f t="shared" si="13"/>
        <v>0</v>
      </c>
      <c r="AJ13" s="61">
        <f t="shared" si="3"/>
        <v>443405.92599999998</v>
      </c>
      <c r="AK13" s="69">
        <f t="shared" si="9"/>
        <v>443405.92599999998</v>
      </c>
    </row>
    <row r="14" spans="1:37" s="21" customFormat="1" ht="20.100000000000001" customHeight="1" outlineLevel="1" x14ac:dyDescent="0.3">
      <c r="B14" s="22"/>
      <c r="C14" s="8" t="s">
        <v>76</v>
      </c>
      <c r="D14" s="68"/>
      <c r="E14" s="59">
        <f>SUMIFS(приходи!$L:$L,приходи!$E:$E,'ПП Март'!$C$14,приходи!$M:$M,'ПП Март'!E2)</f>
        <v>0</v>
      </c>
      <c r="F14" s="60">
        <f>SUMIFS(приходи!$L:$L,приходи!$E:$E,'ПП Март'!$C$14,приходи!$M:$M,'ПП Март'!F2)</f>
        <v>0</v>
      </c>
      <c r="G14" s="60">
        <f>SUMIFS(приходи!$L:$L,приходи!$E:$E,'ПП Март'!$C$14,приходи!$M:$M,'ПП Март'!G2)</f>
        <v>0</v>
      </c>
      <c r="H14" s="60">
        <f>SUMIFS(приходи!$L:$L,приходи!$E:$E,'ПП Март'!$C$14,приходи!$M:$M,'ПП Март'!H2)</f>
        <v>0</v>
      </c>
      <c r="I14" s="59">
        <f>SUMIFS(приходи!$L:$L,приходи!$E:$E,'ПП Март'!$C$14,приходи!$M:$M,'ПП Март'!I2)</f>
        <v>0</v>
      </c>
      <c r="J14" s="59">
        <f>SUMIFS(приходи!$L:$L,приходи!$E:$E,'ПП Март'!$C$14,приходи!$M:$M,'ПП Март'!J2)</f>
        <v>0</v>
      </c>
      <c r="K14" s="59">
        <f>SUMIFS(приходи!$L:$L,приходи!$E:$E,'ПП Март'!$C$14,приходи!$M:$M,'ПП Март'!K2)</f>
        <v>0</v>
      </c>
      <c r="L14" s="59">
        <f>SUMIFS(приходи!$L:$L,приходи!$E:$E,'ПП Март'!$C$14,приходи!$M:$M,'ПП Март'!L2)</f>
        <v>0</v>
      </c>
      <c r="M14" s="60">
        <f>SUMIFS(приходи!$L:$L,приходи!$E:$E,'ПП Март'!$C$14,приходи!$M:$M,'ПП Март'!M2)</f>
        <v>0</v>
      </c>
      <c r="N14" s="60">
        <f>SUMIFS(приходи!$L:$L,приходи!$E:$E,'ПП Март'!$C$14,приходи!$M:$M,'ПП Март'!N2)</f>
        <v>0</v>
      </c>
      <c r="O14" s="59">
        <f>SUMIFS(приходи!$L:$L,приходи!$E:$E,'ПП Март'!$C$14,приходи!$M:$M,'ПП Март'!O2)</f>
        <v>0</v>
      </c>
      <c r="P14" s="59">
        <f>SUMIFS(приходи!$L:$L,приходи!$E:$E,'ПП Март'!$C$14,приходи!$M:$M,'ПП Март'!P2)</f>
        <v>0</v>
      </c>
      <c r="Q14" s="59">
        <f>SUMIFS(приходи!$L:$L,приходи!$E:$E,'ПП Март'!$C$14,приходи!$M:$M,'ПП Март'!Q2)</f>
        <v>0</v>
      </c>
      <c r="R14" s="59">
        <f>SUMIFS(приходи!$L:$L,приходи!$E:$E,'ПП Март'!$C$14,приходи!$M:$M,'ПП Март'!R2)</f>
        <v>0</v>
      </c>
      <c r="S14" s="59">
        <f>SUMIFS(приходи!$L:$L,приходи!$E:$E,'ПП Март'!$C$14,приходи!$M:$M,'ПП Март'!S2)</f>
        <v>0</v>
      </c>
      <c r="T14" s="60">
        <f>SUMIFS(приходи!$L:$L,приходи!$E:$E,'ПП Март'!$C$14,приходи!$M:$M,'ПП Март'!T2)</f>
        <v>0</v>
      </c>
      <c r="U14" s="60">
        <f>SUMIFS(приходи!$L:$L,приходи!$E:$E,'ПП Март'!$C$14,приходи!$M:$M,'ПП Март'!U2)</f>
        <v>0</v>
      </c>
      <c r="V14" s="59">
        <f>SUMIFS(приходи!$L:$L,приходи!$E:$E,'ПП Март'!$C$14,приходи!$M:$M,'ПП Март'!V2)</f>
        <v>543.49</v>
      </c>
      <c r="W14" s="59">
        <f>SUMIFS(приходи!$L:$L,приходи!$E:$E,'ПП Март'!$C$14,приходи!$M:$M,'ПП Март'!W2)</f>
        <v>604.21</v>
      </c>
      <c r="X14" s="59">
        <f>SUMIFS(приходи!$L:$L,приходи!$E:$E,'ПП Март'!$C$14,приходи!$M:$M,'ПП Март'!X2)</f>
        <v>10799.295999999998</v>
      </c>
      <c r="Y14" s="59">
        <f>SUMIFS(приходи!$L:$L,приходи!$E:$E,'ПП Март'!$C$14,приходи!$M:$M,'ПП Март'!Y2)</f>
        <v>604.21199999999999</v>
      </c>
      <c r="Z14" s="59">
        <f>SUMIFS(приходи!$L:$L,приходи!$E:$E,'ПП Март'!$C$14,приходи!$M:$M,'ПП Март'!Z2)</f>
        <v>92.376000000000005</v>
      </c>
      <c r="AA14" s="60">
        <f>SUMIFS(приходи!$L:$L,приходи!$E:$E,'ПП Март'!$C$14,приходи!$M:$M,'ПП Март'!AA2)</f>
        <v>0</v>
      </c>
      <c r="AB14" s="60">
        <f>SUMIFS(приходи!$L:$L,приходи!$E:$E,'ПП Март'!$C$14,приходи!$M:$M,'ПП Март'!AB2)</f>
        <v>0</v>
      </c>
      <c r="AC14" s="59">
        <f>SUMIFS(приходи!$L:$L,приходи!$E:$E,'ПП Март'!$C$14,приходи!$M:$M,'ПП Март'!AC2)</f>
        <v>0</v>
      </c>
      <c r="AD14" s="59">
        <f>SUMIFS(приходи!$L:$L,приходи!$E:$E,'ПП Март'!$C$14,приходи!$M:$M,'ПП Март'!AD2)</f>
        <v>0</v>
      </c>
      <c r="AE14" s="59">
        <f>SUMIFS(приходи!$L:$L,приходи!$E:$E,'ПП Март'!$C$14,приходи!$M:$M,'ПП Март'!AE2)</f>
        <v>3517.98</v>
      </c>
      <c r="AF14" s="59">
        <f>SUMIFS(приходи!$L:$L,приходи!$E:$E,'ПП Март'!$C$14,приходи!$M:$M,'ПП Март'!AF2)</f>
        <v>0</v>
      </c>
      <c r="AG14" s="59">
        <f>SUMIFS(приходи!$L:$L,приходи!$E:$E,'ПП Март'!$C$14,приходи!$M:$M,'ПП Март'!AG2)</f>
        <v>0</v>
      </c>
      <c r="AH14" s="60">
        <f>SUMIFS(приходи!$L:$L,приходи!$E:$E,'ПП Март'!$C$14,приходи!$M:$M,'ПП Март'!AH2)</f>
        <v>0</v>
      </c>
      <c r="AI14" s="60">
        <f>SUMIFS(приходи!$L:$L,приходи!$E:$E,'ПП Март'!$C$14,приходи!$M:$M,'ПП Март'!AI2)</f>
        <v>0</v>
      </c>
      <c r="AJ14" s="61">
        <f t="shared" si="3"/>
        <v>16161.563999999998</v>
      </c>
      <c r="AK14" s="69">
        <f t="shared" si="9"/>
        <v>16161.563999999998</v>
      </c>
    </row>
    <row r="15" spans="1:37" s="21" customFormat="1" ht="20.100000000000001" customHeight="1" outlineLevel="1" x14ac:dyDescent="0.3">
      <c r="B15" s="22"/>
      <c r="C15" s="8" t="s">
        <v>71</v>
      </c>
      <c r="D15" s="68"/>
      <c r="E15" s="59">
        <f>SUMIFS(приходи!$L:$L,приходи!$E:$E,'ПП Март'!$C$15,приходи!$M:$M,'ПП Март'!E2)</f>
        <v>0</v>
      </c>
      <c r="F15" s="60">
        <f>SUMIFS(приходи!$L:$L,приходи!$E:$E,'ПП Март'!$C$15,приходи!$M:$M,'ПП Март'!F2)</f>
        <v>0</v>
      </c>
      <c r="G15" s="60">
        <f>SUMIFS(приходи!$L:$L,приходи!$E:$E,'ПП Март'!$C$15,приходи!$M:$M,'ПП Март'!G2)</f>
        <v>0</v>
      </c>
      <c r="H15" s="60">
        <f>SUMIFS(приходи!$L:$L,приходи!$E:$E,'ПП Март'!$C$15,приходи!$M:$M,'ПП Март'!H2)</f>
        <v>0</v>
      </c>
      <c r="I15" s="59">
        <f>SUMIFS(приходи!$L:$L,приходи!$E:$E,'ПП Март'!$C$15,приходи!$M:$M,'ПП Март'!I2)</f>
        <v>0</v>
      </c>
      <c r="J15" s="59">
        <f>SUMIFS(приходи!$L:$L,приходи!$E:$E,'ПП Март'!$C$15,приходи!$M:$M,'ПП Март'!J2)</f>
        <v>0</v>
      </c>
      <c r="K15" s="59">
        <f>SUMIFS(приходи!$L:$L,приходи!$E:$E,'ПП Март'!$C$15,приходи!$M:$M,'ПП Март'!K2)</f>
        <v>0</v>
      </c>
      <c r="L15" s="59">
        <f>SUMIFS(приходи!$L:$L,приходи!$E:$E,'ПП Март'!$C$15,приходи!$M:$M,'ПП Март'!L2)</f>
        <v>0</v>
      </c>
      <c r="M15" s="60">
        <f>SUMIFS(приходи!$L:$L,приходи!$E:$E,'ПП Март'!$C$15,приходи!$M:$M,'ПП Март'!M2)</f>
        <v>0</v>
      </c>
      <c r="N15" s="60">
        <f>SUMIFS(приходи!$L:$L,приходи!$E:$E,'ПП Март'!$C$15,приходи!$M:$M,'ПП Март'!N2)</f>
        <v>0</v>
      </c>
      <c r="O15" s="59">
        <f>SUMIFS(приходи!$L:$L,приходи!$E:$E,'ПП Март'!$C$15,приходи!$M:$M,'ПП Март'!O2)</f>
        <v>0</v>
      </c>
      <c r="P15" s="59">
        <f>SUMIFS(приходи!$L:$L,приходи!$E:$E,'ПП Март'!$C$15,приходи!$M:$M,'ПП Март'!P2)</f>
        <v>0</v>
      </c>
      <c r="Q15" s="59">
        <f>SUMIFS(приходи!$L:$L,приходи!$E:$E,'ПП Март'!$C$15,приходи!$M:$M,'ПП Март'!Q2)</f>
        <v>0</v>
      </c>
      <c r="R15" s="59">
        <f>SUMIFS(приходи!$L:$L,приходи!$E:$E,'ПП Март'!$C$15,приходи!$M:$M,'ПП Март'!R2)</f>
        <v>0</v>
      </c>
      <c r="S15" s="59">
        <f>SUMIFS(приходи!$L:$L,приходи!$E:$E,'ПП Март'!$C$15,приходи!$M:$M,'ПП Март'!S2)</f>
        <v>0</v>
      </c>
      <c r="T15" s="60">
        <f>SUMIFS(приходи!$L:$L,приходи!$E:$E,'ПП Март'!$C$15,приходи!$M:$M,'ПП Март'!T2)</f>
        <v>0</v>
      </c>
      <c r="U15" s="60">
        <f>SUMIFS(приходи!$L:$L,приходи!$E:$E,'ПП Март'!$C$15,приходи!$M:$M,'ПП Март'!U2)</f>
        <v>0</v>
      </c>
      <c r="V15" s="59">
        <f>SUMIFS(приходи!$L:$L,приходи!$E:$E,'ПП Март'!$C$15,приходи!$M:$M,'ПП Март'!V2)</f>
        <v>0</v>
      </c>
      <c r="W15" s="59">
        <f>SUMIFS(приходи!$L:$L,приходи!$E:$E,'ПП Март'!$C$15,приходи!$M:$M,'ПП Март'!W2)</f>
        <v>0</v>
      </c>
      <c r="X15" s="59">
        <f>SUMIFS(приходи!$L:$L,приходи!$E:$E,'ПП Март'!$C$15,приходи!$M:$M,'ПП Март'!X2)</f>
        <v>988.06</v>
      </c>
      <c r="Y15" s="59">
        <f>SUMIFS(приходи!$L:$L,приходи!$E:$E,'ПП Март'!$C$15,приходи!$M:$M,'ПП Март'!Y2)</f>
        <v>0</v>
      </c>
      <c r="Z15" s="59">
        <f>SUMIFS(приходи!$L:$L,приходи!$E:$E,'ПП Март'!$C$15,приходи!$M:$M,'ПП Март'!Z2)</f>
        <v>988.05599999999993</v>
      </c>
      <c r="AA15" s="60">
        <f>SUMIFS(приходи!$L:$L,приходи!$E:$E,'ПП Март'!$C$15,приходи!$M:$M,'ПП Март'!AA2)</f>
        <v>0</v>
      </c>
      <c r="AB15" s="60">
        <f>SUMIFS(приходи!$L:$L,приходи!$E:$E,'ПП Март'!$C$15,приходи!$M:$M,'ПП Март'!AB2)</f>
        <v>0</v>
      </c>
      <c r="AC15" s="59">
        <f>SUMIFS(приходи!$L:$L,приходи!$E:$E,'ПП Март'!$C$15,приходи!$M:$M,'ПП Март'!AC2)</f>
        <v>0</v>
      </c>
      <c r="AD15" s="59">
        <f>SUMIFS(приходи!$L:$L,приходи!$E:$E,'ПП Март'!$C$15,приходи!$M:$M,'ПП Март'!AD2)</f>
        <v>0</v>
      </c>
      <c r="AE15" s="59">
        <f>SUMIFS(приходи!$L:$L,приходи!$E:$E,'ПП Март'!$C$15,приходи!$M:$M,'ПП Март'!AE2)</f>
        <v>3092.9</v>
      </c>
      <c r="AF15" s="59">
        <f>SUMIFS(приходи!$L:$L,приходи!$E:$E,'ПП Март'!$C$15,приходи!$M:$M,'ПП Март'!AF2)</f>
        <v>130241.04</v>
      </c>
      <c r="AG15" s="59">
        <f>SUMIFS(приходи!$L:$L,приходи!$E:$E,'ПП Март'!$C$15,приходи!$M:$M,'ПП Март'!AG2)</f>
        <v>0</v>
      </c>
      <c r="AH15" s="60">
        <f>SUMIFS(приходи!$L:$L,приходи!$E:$E,'ПП Март'!$C$15,приходи!$M:$M,'ПП Март'!AH2)</f>
        <v>0</v>
      </c>
      <c r="AI15" s="60">
        <f>SUMIFS(приходи!$L:$L,приходи!$E:$E,'ПП Март'!$C$15,приходи!$M:$M,'ПП Март'!AI2)</f>
        <v>0</v>
      </c>
      <c r="AJ15" s="61">
        <f t="shared" si="3"/>
        <v>135310.05599999998</v>
      </c>
      <c r="AK15" s="69">
        <f t="shared" si="9"/>
        <v>135310.05599999998</v>
      </c>
    </row>
    <row r="16" spans="1:37" s="21" customFormat="1" ht="20.100000000000001" customHeight="1" outlineLevel="1" x14ac:dyDescent="0.3">
      <c r="B16" s="22"/>
      <c r="C16" s="8" t="s">
        <v>63</v>
      </c>
      <c r="D16" s="68"/>
      <c r="E16" s="59">
        <f>SUMIFS(приходи!$L:$L,приходи!$E:$E,'ПП Март'!$C$16,приходи!$M:$M,'ПП Март'!E2)</f>
        <v>0</v>
      </c>
      <c r="F16" s="60">
        <f>SUMIFS(приходи!$L:$L,приходи!$E:$E,'ПП Март'!$C$16,приходи!$M:$M,'ПП Март'!F2)</f>
        <v>0</v>
      </c>
      <c r="G16" s="60">
        <f>SUMIFS(приходи!$L:$L,приходи!$E:$E,'ПП Март'!$C$16,приходи!$M:$M,'ПП Март'!G2)</f>
        <v>0</v>
      </c>
      <c r="H16" s="60">
        <f>SUMIFS(приходи!$L:$L,приходи!$E:$E,'ПП Март'!$C$16,приходи!$M:$M,'ПП Март'!H2)</f>
        <v>0</v>
      </c>
      <c r="I16" s="59">
        <f>SUMIFS(приходи!$L:$L,приходи!$E:$E,'ПП Март'!$C$16,приходи!$M:$M,'ПП Март'!I2)</f>
        <v>0</v>
      </c>
      <c r="J16" s="59">
        <f>SUMIFS(приходи!$L:$L,приходи!$E:$E,'ПП Март'!$C$16,приходи!$M:$M,'ПП Март'!J2)</f>
        <v>0</v>
      </c>
      <c r="K16" s="59">
        <f>SUMIFS(приходи!$L:$L,приходи!$E:$E,'ПП Март'!$C$16,приходи!$M:$M,'ПП Март'!K2)</f>
        <v>0</v>
      </c>
      <c r="L16" s="59">
        <f>SUMIFS(приходи!$L:$L,приходи!$E:$E,'ПП Март'!$C$16,приходи!$M:$M,'ПП Март'!L2)</f>
        <v>0</v>
      </c>
      <c r="M16" s="60">
        <f>SUMIFS(приходи!$L:$L,приходи!$E:$E,'ПП Март'!$C$16,приходи!$M:$M,'ПП Март'!M2)</f>
        <v>0</v>
      </c>
      <c r="N16" s="60">
        <f>SUMIFS(приходи!$L:$L,приходи!$E:$E,'ПП Март'!$C$16,приходи!$M:$M,'ПП Март'!N2)</f>
        <v>0</v>
      </c>
      <c r="O16" s="59">
        <f>SUMIFS(приходи!$L:$L,приходи!$E:$E,'ПП Март'!$C$16,приходи!$M:$M,'ПП Март'!O2)</f>
        <v>0</v>
      </c>
      <c r="P16" s="59">
        <f>SUMIFS(приходи!$L:$L,приходи!$E:$E,'ПП Март'!$C$16,приходи!$M:$M,'ПП Март'!P2)</f>
        <v>0</v>
      </c>
      <c r="Q16" s="59">
        <f>SUMIFS(приходи!$L:$L,приходи!$E:$E,'ПП Март'!$C$16,приходи!$M:$M,'ПП Март'!Q2)</f>
        <v>0</v>
      </c>
      <c r="R16" s="59">
        <f>SUMIFS(приходи!$L:$L,приходи!$E:$E,'ПП Март'!$C$16,приходи!$M:$M,'ПП Март'!R2)</f>
        <v>0</v>
      </c>
      <c r="S16" s="59">
        <f>SUMIFS(приходи!$L:$L,приходи!$E:$E,'ПП Март'!$C$16,приходи!$M:$M,'ПП Март'!S2)</f>
        <v>0</v>
      </c>
      <c r="T16" s="60">
        <f>SUMIFS(приходи!$L:$L,приходи!$E:$E,'ПП Март'!$C$16,приходи!$M:$M,'ПП Март'!T2)</f>
        <v>0</v>
      </c>
      <c r="U16" s="60">
        <f>SUMIFS(приходи!$L:$L,приходи!$E:$E,'ПП Март'!$C$16,приходи!$M:$M,'ПП Март'!U2)</f>
        <v>0</v>
      </c>
      <c r="V16" s="59">
        <f>SUMIFS(приходи!$L:$L,приходи!$E:$E,'ПП Март'!$C$16,приходи!$M:$M,'ПП Март'!V2)</f>
        <v>236.44</v>
      </c>
      <c r="W16" s="59">
        <f>SUMIFS(приходи!$L:$L,приходи!$E:$E,'ПП Март'!$C$16,приходи!$M:$M,'ПП Март'!W2)</f>
        <v>611.41999999999996</v>
      </c>
      <c r="X16" s="59">
        <f>SUMIFS(приходи!$L:$L,приходи!$E:$E,'ПП Март'!$C$16,приходи!$M:$M,'ПП Март'!X2)</f>
        <v>1077.3599999999999</v>
      </c>
      <c r="Y16" s="59">
        <f>SUMIFS(приходи!$L:$L,приходи!$E:$E,'ПП Март'!$C$16,приходи!$M:$M,'ПП Март'!Y2)</f>
        <v>505.96799999999996</v>
      </c>
      <c r="Z16" s="59">
        <f>SUMIFS(приходи!$L:$L,приходи!$E:$E,'ПП Март'!$C$16,приходи!$M:$M,'ПП Март'!Z2)</f>
        <v>208.61200000000002</v>
      </c>
      <c r="AA16" s="60">
        <f>SUMIFS(приходи!$L:$L,приходи!$E:$E,'ПП Март'!$C$16,приходи!$M:$M,'ПП Март'!AA2)</f>
        <v>0</v>
      </c>
      <c r="AB16" s="60">
        <f>SUMIFS(приходи!$L:$L,приходи!$E:$E,'ПП Март'!$C$16,приходи!$M:$M,'ПП Март'!AB2)</f>
        <v>0</v>
      </c>
      <c r="AC16" s="59">
        <f>SUMIFS(приходи!$L:$L,приходи!$E:$E,'ПП Март'!$C$16,приходи!$M:$M,'ПП Март'!AC2)</f>
        <v>0</v>
      </c>
      <c r="AD16" s="59">
        <f>SUMIFS(приходи!$L:$L,приходи!$E:$E,'ПП Март'!$C$16,приходи!$M:$M,'ПП Март'!AD2)</f>
        <v>0</v>
      </c>
      <c r="AE16" s="59">
        <f>SUMIFS(приходи!$L:$L,приходи!$E:$E,'ПП Март'!$C$16,приходи!$M:$M,'ПП Март'!AE2)</f>
        <v>25258.14</v>
      </c>
      <c r="AF16" s="59">
        <f>SUMIFS(приходи!$L:$L,приходи!$E:$E,'ПП Март'!$C$16,приходи!$M:$M,'ПП Март'!AF2)</f>
        <v>143648.21</v>
      </c>
      <c r="AG16" s="59">
        <f>SUMIFS(приходи!$L:$L,приходи!$E:$E,'ПП Март'!$C$16,приходи!$M:$M,'ПП Март'!AG2)</f>
        <v>0</v>
      </c>
      <c r="AH16" s="60">
        <f>SUMIFS(приходи!$L:$L,приходи!$E:$E,'ПП Март'!$C$16,приходи!$M:$M,'ПП Март'!AH2)</f>
        <v>0</v>
      </c>
      <c r="AI16" s="60">
        <f>SUMIFS(приходи!$L:$L,приходи!$E:$E,'ПП Март'!$C$16,приходи!$M:$M,'ПП Март'!AI2)</f>
        <v>0</v>
      </c>
      <c r="AJ16" s="61">
        <f t="shared" si="3"/>
        <v>171546.15</v>
      </c>
      <c r="AK16" s="69">
        <f t="shared" si="9"/>
        <v>171546.15</v>
      </c>
    </row>
    <row r="17" spans="1:37" s="21" customFormat="1" ht="20.100000000000001" customHeight="1" outlineLevel="1" x14ac:dyDescent="0.3">
      <c r="B17" s="22"/>
      <c r="C17" s="8" t="s">
        <v>57</v>
      </c>
      <c r="D17" s="68"/>
      <c r="E17" s="59">
        <f>SUMIFS(приходи!$L:$L,приходи!$E:$E,'ПП Март'!$C$17,приходи!$M:$M,'ПП Март'!E2)</f>
        <v>0</v>
      </c>
      <c r="F17" s="60">
        <f>SUMIFS(приходи!$L:$L,приходи!$E:$E,'ПП Март'!$C$17,приходи!$M:$M,'ПП Март'!F2)</f>
        <v>0</v>
      </c>
      <c r="G17" s="60">
        <f>SUMIFS(приходи!$L:$L,приходи!$E:$E,'ПП Март'!$C$17,приходи!$M:$M,'ПП Март'!G2)</f>
        <v>0</v>
      </c>
      <c r="H17" s="60">
        <f>SUMIFS(приходи!$L:$L,приходи!$E:$E,'ПП Март'!$C$17,приходи!$M:$M,'ПП Март'!H2)</f>
        <v>87469.763999999996</v>
      </c>
      <c r="I17" s="59">
        <f>SUMIFS(приходи!$L:$L,приходи!$E:$E,'ПП Март'!$C$17,приходи!$M:$M,'ПП Март'!I2)</f>
        <v>27942.239999999998</v>
      </c>
      <c r="J17" s="59">
        <f>SUMIFS(приходи!$L:$L,приходи!$E:$E,'ПП Март'!$C$17,приходи!$M:$M,'ПП Март'!J2)</f>
        <v>0</v>
      </c>
      <c r="K17" s="59">
        <f>SUMIFS(приходи!$L:$L,приходи!$E:$E,'ПП Март'!$C$17,приходи!$M:$M,'ПП Март'!K2)</f>
        <v>0</v>
      </c>
      <c r="L17" s="59">
        <f>SUMIFS(приходи!$L:$L,приходи!$E:$E,'ПП Март'!$C$17,приходи!$M:$M,'ПП Март'!L2)</f>
        <v>0</v>
      </c>
      <c r="M17" s="60">
        <f>SUMIFS(приходи!$L:$L,приходи!$E:$E,'ПП Март'!$C$17,приходи!$M:$M,'ПП Март'!M2)</f>
        <v>0</v>
      </c>
      <c r="N17" s="60">
        <f>SUMIFS(приходи!$L:$L,приходи!$E:$E,'ПП Март'!$C$17,приходи!$M:$M,'ПП Март'!N2)</f>
        <v>0</v>
      </c>
      <c r="O17" s="59">
        <f>SUMIFS(приходи!$L:$L,приходи!$E:$E,'ПП Март'!$C$17,приходи!$M:$M,'ПП Март'!O2)</f>
        <v>0</v>
      </c>
      <c r="P17" s="59">
        <f>SUMIFS(приходи!$L:$L,приходи!$E:$E,'ПП Март'!$C$17,приходи!$M:$M,'ПП Март'!P2)</f>
        <v>0</v>
      </c>
      <c r="Q17" s="59">
        <f>SUMIFS(приходи!$L:$L,приходи!$E:$E,'ПП Март'!$C$17,приходи!$M:$M,'ПП Март'!Q2)</f>
        <v>0</v>
      </c>
      <c r="R17" s="59">
        <f>SUMIFS(приходи!$L:$L,приходи!$E:$E,'ПП Март'!$C$17,приходи!$M:$M,'ПП Март'!R2)</f>
        <v>0</v>
      </c>
      <c r="S17" s="59">
        <f>SUMIFS(приходи!$L:$L,приходи!$E:$E,'ПП Март'!$C$17,приходи!$M:$M,'ПП Март'!S2)</f>
        <v>0</v>
      </c>
      <c r="T17" s="60">
        <f>SUMIFS(приходи!$L:$L,приходи!$E:$E,'ПП Март'!$C$17,приходи!$M:$M,'ПП Март'!T2)</f>
        <v>0</v>
      </c>
      <c r="U17" s="60">
        <f>SUMIFS(приходи!$L:$L,приходи!$E:$E,'ПП Март'!$C$17,приходи!$M:$M,'ПП Март'!U2)</f>
        <v>0</v>
      </c>
      <c r="V17" s="59">
        <f>SUMIFS(приходи!$L:$L,приходи!$E:$E,'ПП Март'!$C$17,приходи!$M:$M,'ПП Март'!V2)</f>
        <v>0</v>
      </c>
      <c r="W17" s="59">
        <f>SUMIFS(приходи!$L:$L,приходи!$E:$E,'ПП Март'!$C$17,приходи!$M:$M,'ПП Март'!W2)</f>
        <v>0</v>
      </c>
      <c r="X17" s="59">
        <f>SUMIFS(приходи!$L:$L,приходи!$E:$E,'ПП Март'!$C$17,приходи!$M:$M,'ПП Март'!X2)</f>
        <v>0</v>
      </c>
      <c r="Y17" s="59">
        <f>SUMIFS(приходи!$L:$L,приходи!$E:$E,'ПП Март'!$C$17,приходи!$M:$M,'ПП Март'!Y2)</f>
        <v>0</v>
      </c>
      <c r="Z17" s="59">
        <f>SUMIFS(приходи!$L:$L,приходи!$E:$E,'ПП Март'!$C$17,приходи!$M:$M,'ПП Март'!Z2)</f>
        <v>0</v>
      </c>
      <c r="AA17" s="60">
        <f>SUMIFS(приходи!$L:$L,приходи!$E:$E,'ПП Март'!$C$17,приходи!$M:$M,'ПП Март'!AA2)</f>
        <v>0</v>
      </c>
      <c r="AB17" s="60">
        <f>SUMIFS(приходи!$L:$L,приходи!$E:$E,'ПП Март'!$C$17,приходи!$M:$M,'ПП Март'!AB2)</f>
        <v>0</v>
      </c>
      <c r="AC17" s="59">
        <f>SUMIFS(приходи!$L:$L,приходи!$E:$E,'ПП Март'!$C$17,приходи!$M:$M,'ПП Март'!AC2)</f>
        <v>0</v>
      </c>
      <c r="AD17" s="59">
        <f>SUMIFS(приходи!$L:$L,приходи!$E:$E,'ПП Март'!$C$17,приходи!$M:$M,'ПП Март'!AD2)</f>
        <v>0</v>
      </c>
      <c r="AE17" s="59">
        <f>SUMIFS(приходи!$L:$L,приходи!$E:$E,'ПП Март'!$C$17,приходи!$M:$M,'ПП Март'!AE2)</f>
        <v>0</v>
      </c>
      <c r="AF17" s="59">
        <f>SUMIFS(приходи!$L:$L,приходи!$E:$E,'ПП Март'!$C$17,приходи!$M:$M,'ПП Март'!AF2)</f>
        <v>0</v>
      </c>
      <c r="AG17" s="59">
        <f>SUMIFS(приходи!$L:$L,приходи!$E:$E,'ПП Март'!$C$17,приходи!$M:$M,'ПП Март'!AG2)</f>
        <v>0</v>
      </c>
      <c r="AH17" s="60">
        <f>SUMIFS(приходи!$L:$L,приходи!$E:$E,'ПП Март'!$C$17,приходи!$M:$M,'ПП Март'!AH2)</f>
        <v>0</v>
      </c>
      <c r="AI17" s="60">
        <f>SUMIFS(приходи!$L:$L,приходи!$E:$E,'ПП Март'!$C$17,приходи!$M:$M,'ПП Март'!AI2)</f>
        <v>0</v>
      </c>
      <c r="AJ17" s="61">
        <f t="shared" si="3"/>
        <v>115412.00399999999</v>
      </c>
      <c r="AK17" s="69">
        <f t="shared" si="9"/>
        <v>115412.00399999999</v>
      </c>
    </row>
    <row r="18" spans="1:37" s="21" customFormat="1" ht="20.100000000000001" customHeight="1" outlineLevel="1" x14ac:dyDescent="0.3">
      <c r="B18" s="22"/>
      <c r="C18" s="8" t="s">
        <v>120</v>
      </c>
      <c r="D18" s="68"/>
      <c r="E18" s="59">
        <f>SUMIFS(приходи!$L:$L,приходи!$E:$E,'ПП Март'!$C$18,приходи!$M:$M,'ПП Март'!E2)</f>
        <v>0</v>
      </c>
      <c r="F18" s="60">
        <f>SUMIFS(приходи!$L:$L,приходи!$E:$E,'ПП Март'!$C$18,приходи!$M:$M,'ПП Март'!F2)</f>
        <v>0</v>
      </c>
      <c r="G18" s="60">
        <f>SUMIFS(приходи!$L:$L,приходи!$E:$E,'ПП Март'!$C$18,приходи!$M:$M,'ПП Март'!G2)</f>
        <v>0</v>
      </c>
      <c r="H18" s="60">
        <f>SUMIFS(приходи!$L:$L,приходи!$E:$E,'ПП Март'!$C$18,приходи!$M:$M,'ПП Март'!H2)</f>
        <v>0</v>
      </c>
      <c r="I18" s="59">
        <f>SUMIFS(приходи!$L:$L,приходи!$E:$E,'ПП Март'!$C$18,приходи!$M:$M,'ПП Март'!I2)</f>
        <v>0</v>
      </c>
      <c r="J18" s="59">
        <f>SUMIFS(приходи!$L:$L,приходи!$E:$E,'ПП Март'!$C$18,приходи!$M:$M,'ПП Март'!J2)</f>
        <v>0</v>
      </c>
      <c r="K18" s="59">
        <f>SUMIFS(приходи!$L:$L,приходи!$E:$E,'ПП Март'!$C$18,приходи!$M:$M,'ПП Март'!K2)</f>
        <v>0</v>
      </c>
      <c r="L18" s="59">
        <f>SUMIFS(приходи!$L:$L,приходи!$E:$E,'ПП Март'!$C$18,приходи!$M:$M,'ПП Март'!L2)</f>
        <v>0</v>
      </c>
      <c r="M18" s="60">
        <f>SUMIFS(приходи!$L:$L,приходи!$E:$E,'ПП Март'!$C$18,приходи!$M:$M,'ПП Март'!M2)</f>
        <v>0</v>
      </c>
      <c r="N18" s="60">
        <f>SUMIFS(приходи!$L:$L,приходи!$E:$E,'ПП Март'!$C$18,приходи!$M:$M,'ПП Март'!N2)</f>
        <v>0</v>
      </c>
      <c r="O18" s="59">
        <f>SUMIFS(приходи!$L:$L,приходи!$E:$E,'ПП Март'!$C$18,приходи!$M:$M,'ПП Март'!O2)</f>
        <v>0</v>
      </c>
      <c r="P18" s="59">
        <f>SUMIFS(приходи!$L:$L,приходи!$E:$E,'ПП Март'!$C$18,приходи!$M:$M,'ПП Март'!P2)</f>
        <v>0</v>
      </c>
      <c r="Q18" s="59">
        <f>SUMIFS(приходи!$L:$L,приходи!$E:$E,'ПП Март'!$C$18,приходи!$M:$M,'ПП Март'!Q2)</f>
        <v>0</v>
      </c>
      <c r="R18" s="59">
        <f>SUMIFS(приходи!$L:$L,приходи!$E:$E,'ПП Март'!$C$18,приходи!$M:$M,'ПП Март'!R2)</f>
        <v>0</v>
      </c>
      <c r="S18" s="59">
        <f>SUMIFS(приходи!$L:$L,приходи!$E:$E,'ПП Март'!$C$18,приходи!$M:$M,'ПП Март'!S2)</f>
        <v>0</v>
      </c>
      <c r="T18" s="60">
        <f>SUMIFS(приходи!$L:$L,приходи!$E:$E,'ПП Март'!$C$18,приходи!$M:$M,'ПП Март'!T2)</f>
        <v>0</v>
      </c>
      <c r="U18" s="60">
        <f>SUMIFS(приходи!$L:$L,приходи!$E:$E,'ПП Март'!$C$18,приходи!$M:$M,'ПП Март'!U2)</f>
        <v>0</v>
      </c>
      <c r="V18" s="59">
        <f>SUMIFS(приходи!$L:$L,приходи!$E:$E,'ПП Март'!$C$18,приходи!$M:$M,'ПП Март'!V2)</f>
        <v>0</v>
      </c>
      <c r="W18" s="59">
        <f>SUMIFS(приходи!$L:$L,приходи!$E:$E,'ПП Март'!$C$18,приходи!$M:$M,'ПП Март'!W2)</f>
        <v>0</v>
      </c>
      <c r="X18" s="59">
        <f>SUMIFS(приходи!$L:$L,приходи!$E:$E,'ПП Март'!$C$18,приходи!$M:$M,'ПП Март'!X2)</f>
        <v>0</v>
      </c>
      <c r="Y18" s="59">
        <f>SUMIFS(приходи!$L:$L,приходи!$E:$E,'ПП Март'!$C$18,приходи!$M:$M,'ПП Март'!Y2)</f>
        <v>0</v>
      </c>
      <c r="Z18" s="59">
        <f>SUMIFS(приходи!$L:$L,приходи!$E:$E,'ПП Март'!$C$18,приходи!$M:$M,'ПП Март'!Z2)</f>
        <v>0</v>
      </c>
      <c r="AA18" s="60">
        <f>SUMIFS(приходи!$L:$L,приходи!$E:$E,'ПП Март'!$C$18,приходи!$M:$M,'ПП Март'!AA2)</f>
        <v>0</v>
      </c>
      <c r="AB18" s="60">
        <f>SUMIFS(приходи!$L:$L,приходи!$E:$E,'ПП Март'!$C$18,приходи!$M:$M,'ПП Март'!AB2)</f>
        <v>0</v>
      </c>
      <c r="AC18" s="59">
        <f>SUMIFS(приходи!$L:$L,приходи!$E:$E,'ПП Март'!$C$18,приходи!$M:$M,'ПП Март'!AC2)</f>
        <v>0</v>
      </c>
      <c r="AD18" s="59">
        <f>SUMIFS(приходи!$L:$L,приходи!$E:$E,'ПП Март'!$C$18,приходи!$M:$M,'ПП Март'!AD2)</f>
        <v>0</v>
      </c>
      <c r="AE18" s="59">
        <f>SUMIFS(приходи!$L:$L,приходи!$E:$E,'ПП Март'!$C$18,приходи!$M:$M,'ПП Март'!AE2)</f>
        <v>0</v>
      </c>
      <c r="AF18" s="59">
        <f>SUMIFS(приходи!$L:$L,приходи!$E:$E,'ПП Март'!$C$18,приходи!$M:$M,'ПП Март'!AF2)</f>
        <v>0</v>
      </c>
      <c r="AG18" s="59">
        <f>SUMIFS(приходи!$L:$L,приходи!$E:$E,'ПП Март'!$C$18,приходи!$M:$M,'ПП Март'!AG2)</f>
        <v>0</v>
      </c>
      <c r="AH18" s="60">
        <f>SUMIFS(приходи!$L:$L,приходи!$E:$E,'ПП Март'!$C$18,приходи!$M:$M,'ПП Март'!AH2)</f>
        <v>0</v>
      </c>
      <c r="AI18" s="60">
        <f>SUMIFS(приходи!$L:$L,приходи!$E:$E,'ПП Март'!$C$18,приходи!$M:$M,'ПП Март'!AI2)</f>
        <v>0</v>
      </c>
      <c r="AJ18" s="61">
        <f t="shared" si="3"/>
        <v>0</v>
      </c>
      <c r="AK18" s="69">
        <f t="shared" si="9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68"/>
      <c r="E19" s="59">
        <f>SUMIFS(приходи!$L:$L,приходи!$E:$E,'ПП Март'!$C$19,приходи!$M:$M,'ПП Март'!E2)</f>
        <v>0</v>
      </c>
      <c r="F19" s="60">
        <f>SUMIFS(приходи!$L:$L,приходи!$E:$E,'ПП Март'!$C$19,приходи!$M:$M,'ПП Март'!F2)</f>
        <v>0</v>
      </c>
      <c r="G19" s="60">
        <f>SUMIFS(приходи!$L:$L,приходи!$E:$E,'ПП Март'!$C$19,приходи!$M:$M,'ПП Март'!G2)</f>
        <v>0</v>
      </c>
      <c r="H19" s="60">
        <f>SUMIFS(приходи!$L:$L,приходи!$E:$E,'ПП Март'!$C$19,приходи!$M:$M,'ПП Март'!H2)</f>
        <v>3921.7260000000006</v>
      </c>
      <c r="I19" s="59">
        <f>SUMIFS(приходи!$L:$L,приходи!$E:$E,'ПП Март'!$C$19,приходи!$M:$M,'ПП Март'!I2)</f>
        <v>1013.076</v>
      </c>
      <c r="J19" s="59">
        <f>SUMIFS(приходи!$L:$L,приходи!$E:$E,'ПП Март'!$C$19,приходи!$M:$M,'ПП Март'!J2)</f>
        <v>0</v>
      </c>
      <c r="K19" s="59">
        <f>SUMIFS(приходи!$L:$L,приходи!$E:$E,'ПП Март'!$C$19,приходи!$M:$M,'ПП Март'!K2)</f>
        <v>0</v>
      </c>
      <c r="L19" s="59">
        <f>SUMIFS(приходи!$L:$L,приходи!$E:$E,'ПП Март'!$C$19,приходи!$M:$M,'ПП Март'!L2)</f>
        <v>0</v>
      </c>
      <c r="M19" s="60">
        <f>SUMIFS(приходи!$L:$L,приходи!$E:$E,'ПП Март'!$C$19,приходи!$M:$M,'ПП Март'!M2)</f>
        <v>0</v>
      </c>
      <c r="N19" s="60">
        <f>SUMIFS(приходи!$L:$L,приходи!$E:$E,'ПП Март'!$C$19,приходи!$M:$M,'ПП Март'!N2)</f>
        <v>0</v>
      </c>
      <c r="O19" s="59">
        <f>SUMIFS(приходи!$L:$L,приходи!$E:$E,'ПП Март'!$C$19,приходи!$M:$M,'ПП Март'!O2)</f>
        <v>0</v>
      </c>
      <c r="P19" s="59">
        <f>SUMIFS(приходи!$L:$L,приходи!$E:$E,'ПП Март'!$C$19,приходи!$M:$M,'ПП Март'!P2)</f>
        <v>24.96</v>
      </c>
      <c r="Q19" s="59">
        <f>SUMIFS(приходи!$L:$L,приходи!$E:$E,'ПП Март'!$C$19,приходи!$M:$M,'ПП Март'!Q2)</f>
        <v>0</v>
      </c>
      <c r="R19" s="59">
        <f>SUMIFS(приходи!$L:$L,приходи!$E:$E,'ПП Март'!$C$19,приходи!$M:$M,'ПП Март'!R2)</f>
        <v>0</v>
      </c>
      <c r="S19" s="59">
        <f>SUMIFS(приходи!$L:$L,приходи!$E:$E,'ПП Март'!$C$19,приходи!$M:$M,'ПП Март'!S2)</f>
        <v>16.39</v>
      </c>
      <c r="T19" s="60">
        <f>SUMIFS(приходи!$L:$L,приходи!$E:$E,'ПП Март'!$C$19,приходи!$M:$M,'ПП Март'!T2)</f>
        <v>0</v>
      </c>
      <c r="U19" s="60">
        <f>SUMIFS(приходи!$L:$L,приходи!$E:$E,'ПП Март'!$C$19,приходи!$M:$M,'ПП Март'!U2)</f>
        <v>0</v>
      </c>
      <c r="V19" s="59">
        <f>SUMIFS(приходи!$L:$L,приходи!$E:$E,'ПП Март'!$C$19,приходи!$M:$M,'ПП Март'!V2)</f>
        <v>0</v>
      </c>
      <c r="W19" s="59">
        <f>SUMIFS(приходи!$L:$L,приходи!$E:$E,'ПП Март'!$C$19,приходи!$M:$M,'ПП Март'!W2)</f>
        <v>0</v>
      </c>
      <c r="X19" s="59">
        <f>SUMIFS(приходи!$L:$L,приходи!$E:$E,'ПП Март'!$C$19,приходи!$M:$M,'ПП Март'!X2)</f>
        <v>0</v>
      </c>
      <c r="Y19" s="59">
        <f>SUMIFS(приходи!$L:$L,приходи!$E:$E,'ПП Март'!$C$19,приходи!$M:$M,'ПП Март'!Y2)</f>
        <v>0</v>
      </c>
      <c r="Z19" s="59">
        <f>SUMIFS(приходи!$L:$L,приходи!$E:$E,'ПП Март'!$C$19,приходи!$M:$M,'ПП Март'!Z2)</f>
        <v>0</v>
      </c>
      <c r="AA19" s="60">
        <f>SUMIFS(приходи!$L:$L,приходи!$E:$E,'ПП Март'!$C$19,приходи!$M:$M,'ПП Март'!AA2)</f>
        <v>0</v>
      </c>
      <c r="AB19" s="60">
        <f>SUMIFS(приходи!$L:$L,приходи!$E:$E,'ПП Март'!$C$19,приходи!$M:$M,'ПП Март'!AB2)</f>
        <v>0</v>
      </c>
      <c r="AC19" s="59">
        <f>SUMIFS(приходи!$L:$L,приходи!$E:$E,'ПП Март'!$C$19,приходи!$M:$M,'ПП Март'!AC2)</f>
        <v>0</v>
      </c>
      <c r="AD19" s="59">
        <f>SUMIFS(приходи!$L:$L,приходи!$E:$E,'ПП Март'!$C$19,приходи!$M:$M,'ПП Март'!AD2)</f>
        <v>0</v>
      </c>
      <c r="AE19" s="59">
        <f>SUMIFS(приходи!$L:$L,приходи!$E:$E,'ПП Март'!$C$19,приходи!$M:$M,'ПП Март'!AE2)</f>
        <v>0</v>
      </c>
      <c r="AF19" s="59">
        <f>SUMIFS(приходи!$L:$L,приходи!$E:$E,'ПП Март'!$C$19,приходи!$M:$M,'ПП Март'!AF2)</f>
        <v>0</v>
      </c>
      <c r="AG19" s="59">
        <f>SUMIFS(приходи!$L:$L,приходи!$E:$E,'ПП Март'!$C$19,приходи!$M:$M,'ПП Март'!AG2)</f>
        <v>0</v>
      </c>
      <c r="AH19" s="60">
        <f>SUMIFS(приходи!$L:$L,приходи!$E:$E,'ПП Март'!$C$19,приходи!$M:$M,'ПП Март'!AH2)</f>
        <v>0</v>
      </c>
      <c r="AI19" s="60">
        <f>SUMIFS(приходи!$L:$L,приходи!$E:$E,'ПП Март'!$C$19,приходи!$M:$M,'ПП Март'!AI2)</f>
        <v>0</v>
      </c>
      <c r="AJ19" s="61">
        <f t="shared" si="3"/>
        <v>4976.152000000001</v>
      </c>
      <c r="AK19" s="69">
        <f t="shared" si="9"/>
        <v>4976.152000000001</v>
      </c>
    </row>
    <row r="20" spans="1:37" s="4" customFormat="1" ht="20.100000000000001" customHeight="1" x14ac:dyDescent="0.3">
      <c r="B20" s="7">
        <v>3</v>
      </c>
      <c r="C20" s="8" t="s">
        <v>54</v>
      </c>
      <c r="D20" s="68">
        <v>129526.128</v>
      </c>
      <c r="E20" s="59">
        <f>SUMIFS(приходи!$L:$L,приходи!$E:$E,'ПП Март'!$C$20,приходи!$M:$M,'ПП Март'!E2)</f>
        <v>0</v>
      </c>
      <c r="F20" s="60">
        <f>SUMIFS(приходи!$L:$L,приходи!$E:$E,'ПП Март'!$C$20,приходи!$M:$M,'ПП Март'!F2)</f>
        <v>0</v>
      </c>
      <c r="G20" s="60">
        <f>SUMIFS(приходи!$L:$L,приходи!$E:$E,'ПП Март'!$C$20,приходи!$M:$M,'ПП Март'!G2)</f>
        <v>0</v>
      </c>
      <c r="H20" s="60">
        <f>SUMIFS(приходи!$L:$L,приходи!$E:$E,'ПП Март'!$C$20,приходи!$M:$M,'ПП Март'!H2)</f>
        <v>53334.287999999993</v>
      </c>
      <c r="I20" s="59">
        <f>SUMIFS(приходи!$L:$L,приходи!$E:$E,'ПП Март'!$C$20,приходи!$M:$M,'ПП Март'!I2)</f>
        <v>76191.839999999997</v>
      </c>
      <c r="J20" s="59">
        <f>SUMIFS(приходи!$L:$L,приходи!$E:$E,'ПП Март'!$C$20,приходи!$M:$M,'ПП Март'!J2)</f>
        <v>0</v>
      </c>
      <c r="K20" s="59">
        <f>SUMIFS(приходи!$L:$L,приходи!$E:$E,'ПП Март'!$C$20,приходи!$M:$M,'ПП Март'!K2)</f>
        <v>0</v>
      </c>
      <c r="L20" s="59">
        <f>SUMIFS(приходи!$L:$L,приходи!$E:$E,'ПП Март'!$C$20,приходи!$M:$M,'ПП Март'!L2)</f>
        <v>0</v>
      </c>
      <c r="M20" s="60">
        <f>SUMIFS(приходи!$L:$L,приходи!$E:$E,'ПП Март'!$C$20,приходи!$M:$M,'ПП Март'!M2)</f>
        <v>0</v>
      </c>
      <c r="N20" s="60">
        <f>SUMIFS(приходи!$L:$L,приходи!$E:$E,'ПП Март'!$C$20,приходи!$M:$M,'ПП Март'!N2)</f>
        <v>0</v>
      </c>
      <c r="O20" s="59">
        <f>SUMIFS(приходи!$L:$L,приходи!$E:$E,'ПП Март'!$C$20,приходи!$M:$M,'ПП Март'!O2)</f>
        <v>0</v>
      </c>
      <c r="P20" s="59">
        <f>SUMIFS(приходи!$L:$L,приходи!$E:$E,'ПП Март'!$C$20,приходи!$M:$M,'ПП Март'!P2)</f>
        <v>0</v>
      </c>
      <c r="Q20" s="59">
        <f>SUMIFS(приходи!$L:$L,приходи!$E:$E,'ПП Март'!$C$20,приходи!$M:$M,'ПП Март'!Q2)</f>
        <v>0</v>
      </c>
      <c r="R20" s="59">
        <f>SUMIFS(приходи!$L:$L,приходи!$E:$E,'ПП Март'!$C$20,приходи!$M:$M,'ПП Март'!R2)</f>
        <v>0</v>
      </c>
      <c r="S20" s="59">
        <f>SUMIFS(приходи!$L:$L,приходи!$E:$E,'ПП Март'!$C$20,приходи!$M:$M,'ПП Март'!S2)</f>
        <v>0</v>
      </c>
      <c r="T20" s="60">
        <f>SUMIFS(приходи!$L:$L,приходи!$E:$E,'ПП Март'!$C$20,приходи!$M:$M,'ПП Март'!T2)</f>
        <v>0</v>
      </c>
      <c r="U20" s="60">
        <f>SUMIFS(приходи!$L:$L,приходи!$E:$E,'ПП Март'!$C$20,приходи!$M:$M,'ПП Март'!U2)</f>
        <v>0</v>
      </c>
      <c r="V20" s="59">
        <f>SUMIFS(приходи!$L:$L,приходи!$E:$E,'ПП Март'!$C$20,приходи!$M:$M,'ПП Март'!V2)</f>
        <v>0</v>
      </c>
      <c r="W20" s="59">
        <f>SUMIFS(приходи!$L:$L,приходи!$E:$E,'ПП Март'!$C$20,приходи!$M:$M,'ПП Март'!W2)</f>
        <v>0</v>
      </c>
      <c r="X20" s="59">
        <f>SUMIFS(приходи!$L:$L,приходи!$E:$E,'ПП Март'!$C$20,приходи!$M:$M,'ПП Март'!X2)</f>
        <v>0</v>
      </c>
      <c r="Y20" s="59">
        <f>SUMIFS(приходи!$L:$L,приходи!$E:$E,'ПП Март'!$C$20,приходи!$M:$M,'ПП Март'!Y2)</f>
        <v>0</v>
      </c>
      <c r="Z20" s="59">
        <f>SUMIFS(приходи!$L:$L,приходи!$E:$E,'ПП Март'!$C$20,приходи!$M:$M,'ПП Март'!Z2)</f>
        <v>0</v>
      </c>
      <c r="AA20" s="60">
        <f>SUMIFS(приходи!$L:$L,приходи!$E:$E,'ПП Март'!$C$20,приходи!$M:$M,'ПП Март'!AA2)</f>
        <v>0</v>
      </c>
      <c r="AB20" s="60">
        <f>SUMIFS(приходи!$L:$L,приходи!$E:$E,'ПП Март'!$C$20,приходи!$M:$M,'ПП Март'!AB2)</f>
        <v>0</v>
      </c>
      <c r="AC20" s="59">
        <f>SUMIFS(приходи!$L:$L,приходи!$E:$E,'ПП Март'!$C$20,приходи!$M:$M,'ПП Март'!AC2)</f>
        <v>0</v>
      </c>
      <c r="AD20" s="59">
        <f>SUMIFS(приходи!$L:$L,приходи!$E:$E,'ПП Март'!$C$20,приходи!$M:$M,'ПП Март'!AD2)</f>
        <v>0</v>
      </c>
      <c r="AE20" s="59">
        <f>SUMIFS(приходи!$L:$L,приходи!$E:$E,'ПП Март'!$C$20,приходи!$M:$M,'ПП Март'!AE2)</f>
        <v>0</v>
      </c>
      <c r="AF20" s="59">
        <f>SUMIFS(приходи!$L:$L,приходи!$E:$E,'ПП Март'!$C$20,приходи!$M:$M,'ПП Март'!AF2)</f>
        <v>0</v>
      </c>
      <c r="AG20" s="59">
        <f>SUMIFS(приходи!$L:$L,приходи!$E:$E,'ПП Март'!$C$20,приходи!$M:$M,'ПП Март'!AG2)</f>
        <v>0</v>
      </c>
      <c r="AH20" s="60">
        <f>SUMIFS(приходи!$L:$L,приходи!$E:$E,'ПП Март'!$C$20,приходи!$M:$M,'ПП Март'!AH2)</f>
        <v>0</v>
      </c>
      <c r="AI20" s="60">
        <f>SUMIFS(приходи!$L:$L,приходи!$E:$E,'ПП Март'!$C$20,приходи!$M:$M,'ПП Март'!AI2)</f>
        <v>0</v>
      </c>
      <c r="AJ20" s="61">
        <f t="shared" si="3"/>
        <v>129526.128</v>
      </c>
      <c r="AK20" s="69">
        <f t="shared" si="9"/>
        <v>129526.128</v>
      </c>
    </row>
    <row r="21" spans="1:37" s="4" customFormat="1" ht="20.100000000000001" customHeight="1" x14ac:dyDescent="0.3">
      <c r="B21" s="7">
        <v>4</v>
      </c>
      <c r="C21" s="8" t="s">
        <v>855</v>
      </c>
      <c r="D21" s="68"/>
      <c r="E21" s="59">
        <f>SUMIFS(приходи!$L:$L,приходи!$E:$E,'ПП Март'!$C$21,приходи!$M:$M,'ПП Март'!E2)</f>
        <v>0</v>
      </c>
      <c r="F21" s="60">
        <f>SUMIFS(приходи!$L:$L,приходи!$E:$E,'ПП Март'!$C$21,приходи!$M:$M,'ПП Март'!F2)</f>
        <v>0</v>
      </c>
      <c r="G21" s="60">
        <f>SUMIFS(приходи!$L:$L,приходи!$E:$E,'ПП Март'!$C$21,приходи!$M:$M,'ПП Март'!G2)</f>
        <v>0</v>
      </c>
      <c r="H21" s="60">
        <f>SUMIFS(приходи!$L:$L,приходи!$E:$E,'ПП Март'!$C$21,приходи!$M:$M,'ПП Март'!H2)</f>
        <v>0</v>
      </c>
      <c r="I21" s="59">
        <f>SUMIFS(приходи!$L:$L,приходи!$E:$E,'ПП Март'!$C$21,приходи!$M:$M,'ПП Март'!I2)</f>
        <v>0</v>
      </c>
      <c r="J21" s="59">
        <f>SUMIFS(приходи!$L:$L,приходи!$E:$E,'ПП Март'!$C$21,приходи!$M:$M,'ПП Март'!J2)</f>
        <v>0</v>
      </c>
      <c r="K21" s="59">
        <f>SUMIFS(приходи!$L:$L,приходи!$E:$E,'ПП Март'!$C$21,приходи!$M:$M,'ПП Март'!K2)</f>
        <v>0</v>
      </c>
      <c r="L21" s="59">
        <f>SUMIFS(приходи!$L:$L,приходи!$E:$E,'ПП Март'!$C$21,приходи!$M:$M,'ПП Март'!L2)</f>
        <v>0</v>
      </c>
      <c r="M21" s="60">
        <f>SUMIFS(приходи!$L:$L,приходи!$E:$E,'ПП Март'!$C$21,приходи!$M:$M,'ПП Март'!M2)</f>
        <v>0</v>
      </c>
      <c r="N21" s="60">
        <f>SUMIFS(приходи!$L:$L,приходи!$E:$E,'ПП Март'!$C$21,приходи!$M:$M,'ПП Март'!N2)</f>
        <v>0</v>
      </c>
      <c r="O21" s="59">
        <f>SUMIFS(приходи!$L:$L,приходи!$E:$E,'ПП Март'!$C$21,приходи!$M:$M,'ПП Март'!O2)</f>
        <v>0</v>
      </c>
      <c r="P21" s="59">
        <f>SUMIFS(приходи!$L:$L,приходи!$E:$E,'ПП Март'!$C$21,приходи!$M:$M,'ПП Март'!P2)</f>
        <v>0</v>
      </c>
      <c r="Q21" s="59">
        <f>SUMIFS(приходи!$L:$L,приходи!$E:$E,'ПП Март'!$C$21,приходи!$M:$M,'ПП Март'!Q2)</f>
        <v>0</v>
      </c>
      <c r="R21" s="59">
        <f>SUMIFS(приходи!$L:$L,приходи!$E:$E,'ПП Март'!$C$21,приходи!$M:$M,'ПП Март'!R2)</f>
        <v>0</v>
      </c>
      <c r="S21" s="59">
        <f>SUMIFS(приходи!$L:$L,приходи!$E:$E,'ПП Март'!$C$21,приходи!$M:$M,'ПП Март'!S2)</f>
        <v>0</v>
      </c>
      <c r="T21" s="60">
        <f>SUMIFS(приходи!$L:$L,приходи!$E:$E,'ПП Март'!$C$21,приходи!$M:$M,'ПП Март'!T2)</f>
        <v>0</v>
      </c>
      <c r="U21" s="60">
        <f>SUMIFS(приходи!$L:$L,приходи!$E:$E,'ПП Март'!$C$21,приходи!$M:$M,'ПП Март'!U2)</f>
        <v>0</v>
      </c>
      <c r="V21" s="59">
        <f>SUMIFS(приходи!$L:$L,приходи!$E:$E,'ПП Март'!$C$21,приходи!$M:$M,'ПП Март'!V2)</f>
        <v>0</v>
      </c>
      <c r="W21" s="59">
        <f>SUMIFS(приходи!$L:$L,приходи!$E:$E,'ПП Март'!$C$21,приходи!$M:$M,'ПП Март'!W2)</f>
        <v>0</v>
      </c>
      <c r="X21" s="59">
        <f>SUMIFS(приходи!$L:$L,приходи!$E:$E,'ПП Март'!$C$21,приходи!$M:$M,'ПП Март'!X2)</f>
        <v>0</v>
      </c>
      <c r="Y21" s="59">
        <f>SUMIFS(приходи!$L:$L,приходи!$E:$E,'ПП Март'!$C$21,приходи!$M:$M,'ПП Март'!Y2)</f>
        <v>0</v>
      </c>
      <c r="Z21" s="59">
        <f>SUMIFS(приходи!$L:$L,приходи!$E:$E,'ПП Март'!$C$21,приходи!$M:$M,'ПП Март'!Z2)</f>
        <v>0</v>
      </c>
      <c r="AA21" s="60">
        <f>SUMIFS(приходи!$L:$L,приходи!$E:$E,'ПП Март'!$C$21,приходи!$M:$M,'ПП Март'!AA2)</f>
        <v>0</v>
      </c>
      <c r="AB21" s="60">
        <f>SUMIFS(приходи!$L:$L,приходи!$E:$E,'ПП Март'!$C$21,приходи!$M:$M,'ПП Март'!AB2)</f>
        <v>0</v>
      </c>
      <c r="AC21" s="59">
        <f>SUMIFS(приходи!$L:$L,приходи!$E:$E,'ПП Март'!$C$21,приходи!$M:$M,'ПП Март'!AC2)</f>
        <v>0</v>
      </c>
      <c r="AD21" s="59">
        <f>SUMIFS(приходи!$L:$L,приходи!$E:$E,'ПП Март'!$C$21,приходи!$M:$M,'ПП Март'!AD2)</f>
        <v>0</v>
      </c>
      <c r="AE21" s="59">
        <f>SUMIFS(приходи!$L:$L,приходи!$E:$E,'ПП Март'!$C$21,приходи!$M:$M,'ПП Март'!AE2)</f>
        <v>0</v>
      </c>
      <c r="AF21" s="59">
        <f>SUMIFS(приходи!$L:$L,приходи!$E:$E,'ПП Март'!$C$21,приходи!$M:$M,'ПП Март'!AF2)</f>
        <v>0</v>
      </c>
      <c r="AG21" s="59">
        <f>SUMIFS(приходи!$L:$L,приходи!$E:$E,'ПП Март'!$C$21,приходи!$M:$M,'ПП Март'!AG2)</f>
        <v>0</v>
      </c>
      <c r="AH21" s="60">
        <f>SUMIFS(приходи!$L:$L,приходи!$E:$E,'ПП Март'!$C$21,приходи!$M:$M,'ПП Март'!AH2)</f>
        <v>0</v>
      </c>
      <c r="AI21" s="60">
        <f>SUMIFS(приходи!$L:$L,приходи!$E:$E,'ПП Март'!$C$21,приходи!$M:$M,'ПП Март'!AI2)</f>
        <v>0</v>
      </c>
      <c r="AJ21" s="61">
        <f t="shared" si="3"/>
        <v>0</v>
      </c>
      <c r="AK21" s="69">
        <f t="shared" si="9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68"/>
      <c r="E22" s="59">
        <f>SUMIFS(приходи!$L:$L,приходи!$E:$E,'ПП Март'!$C$22,приходи!$M:$M,'ПП Март'!E2)</f>
        <v>0</v>
      </c>
      <c r="F22" s="60">
        <f>SUMIFS(приходи!$L:$L,приходи!$E:$E,'ПП Март'!$C$22,приходи!$M:$M,'ПП Март'!F2)</f>
        <v>0</v>
      </c>
      <c r="G22" s="60">
        <f>SUMIFS(приходи!$L:$L,приходи!$E:$E,'ПП Март'!$C$22,приходи!$M:$M,'ПП Март'!G2)</f>
        <v>0</v>
      </c>
      <c r="H22" s="60">
        <f>SUMIFS(приходи!$L:$L,приходи!$E:$E,'ПП Март'!$C$22,приходи!$M:$M,'ПП Март'!H2)</f>
        <v>0</v>
      </c>
      <c r="I22" s="59">
        <f>SUMIFS(приходи!$L:$L,приходи!$E:$E,'ПП Март'!$C$22,приходи!$M:$M,'ПП Март'!I2)</f>
        <v>5549.8559999999998</v>
      </c>
      <c r="J22" s="59">
        <f>SUMIFS(приходи!$L:$L,приходи!$E:$E,'ПП Март'!$C$22,приходи!$M:$M,'ПП Март'!J2)</f>
        <v>0</v>
      </c>
      <c r="K22" s="59">
        <f>SUMIFS(приходи!$L:$L,приходи!$E:$E,'ПП Март'!$C$22,приходи!$M:$M,'ПП Март'!K2)</f>
        <v>0</v>
      </c>
      <c r="L22" s="59">
        <f>SUMIFS(приходи!$L:$L,приходи!$E:$E,'ПП Март'!$C$22,приходи!$M:$M,'ПП Март'!L2)</f>
        <v>0</v>
      </c>
      <c r="M22" s="60">
        <f>SUMIFS(приходи!$L:$L,приходи!$E:$E,'ПП Март'!$C$22,приходи!$M:$M,'ПП Март'!M2)</f>
        <v>0</v>
      </c>
      <c r="N22" s="60">
        <f>SUMIFS(приходи!$L:$L,приходи!$E:$E,'ПП Март'!$C$22,приходи!$M:$M,'ПП Март'!N2)</f>
        <v>0</v>
      </c>
      <c r="O22" s="59">
        <f>SUMIFS(приходи!$L:$L,приходи!$E:$E,'ПП Март'!$C$22,приходи!$M:$M,'ПП Март'!O2)</f>
        <v>0</v>
      </c>
      <c r="P22" s="59">
        <f>SUMIFS(приходи!$L:$L,приходи!$E:$E,'ПП Март'!$C$22,приходи!$M:$M,'ПП Март'!P2)</f>
        <v>0</v>
      </c>
      <c r="Q22" s="59">
        <f>SUMIFS(приходи!$L:$L,приходи!$E:$E,'ПП Март'!$C$22,приходи!$M:$M,'ПП Март'!Q2)</f>
        <v>0</v>
      </c>
      <c r="R22" s="59">
        <f>SUMIFS(приходи!$L:$L,приходи!$E:$E,'ПП Март'!$C$22,приходи!$M:$M,'ПП Март'!R2)</f>
        <v>0</v>
      </c>
      <c r="S22" s="59">
        <f>SUMIFS(приходи!$L:$L,приходи!$E:$E,'ПП Март'!$C$22,приходи!$M:$M,'ПП Март'!S2)</f>
        <v>0</v>
      </c>
      <c r="T22" s="60">
        <f>SUMIFS(приходи!$L:$L,приходи!$E:$E,'ПП Март'!$C$22,приходи!$M:$M,'ПП Март'!T2)</f>
        <v>0</v>
      </c>
      <c r="U22" s="60">
        <f>SUMIFS(приходи!$L:$L,приходи!$E:$E,'ПП Март'!$C$22,приходи!$M:$M,'ПП Март'!U2)</f>
        <v>0</v>
      </c>
      <c r="V22" s="59">
        <f>SUMIFS(приходи!$L:$L,приходи!$E:$E,'ПП Март'!$C$22,приходи!$M:$M,'ПП Март'!V2)</f>
        <v>0</v>
      </c>
      <c r="W22" s="59">
        <f>SUMIFS(приходи!$L:$L,приходи!$E:$E,'ПП Март'!$C$22,приходи!$M:$M,'ПП Март'!W2)</f>
        <v>0</v>
      </c>
      <c r="X22" s="59">
        <f>SUMIFS(приходи!$L:$L,приходи!$E:$E,'ПП Март'!$C$22,приходи!$M:$M,'ПП Март'!X2)</f>
        <v>0</v>
      </c>
      <c r="Y22" s="59">
        <f>SUMIFS(приходи!$L:$L,приходи!$E:$E,'ПП Март'!$C$22,приходи!$M:$M,'ПП Март'!Y2)</f>
        <v>0</v>
      </c>
      <c r="Z22" s="59">
        <f>SUMIFS(приходи!$L:$L,приходи!$E:$E,'ПП Март'!$C$22,приходи!$M:$M,'ПП Март'!Z2)</f>
        <v>0</v>
      </c>
      <c r="AA22" s="60">
        <f>SUMIFS(приходи!$L:$L,приходи!$E:$E,'ПП Март'!$C$22,приходи!$M:$M,'ПП Март'!AA2)</f>
        <v>0</v>
      </c>
      <c r="AB22" s="60">
        <f>SUMIFS(приходи!$L:$L,приходи!$E:$E,'ПП Март'!$C$22,приходи!$M:$M,'ПП Март'!AB2)</f>
        <v>0</v>
      </c>
      <c r="AC22" s="59">
        <f>SUMIFS(приходи!$L:$L,приходи!$E:$E,'ПП Март'!$C$22,приходи!$M:$M,'ПП Март'!AC2)</f>
        <v>0</v>
      </c>
      <c r="AD22" s="59">
        <f>SUMIFS(приходи!$L:$L,приходи!$E:$E,'ПП Март'!$C$22,приходи!$M:$M,'ПП Март'!AD2)</f>
        <v>0</v>
      </c>
      <c r="AE22" s="59">
        <f>SUMIFS(приходи!$L:$L,приходи!$E:$E,'ПП Март'!$C$22,приходи!$M:$M,'ПП Март'!AE2)</f>
        <v>0</v>
      </c>
      <c r="AF22" s="59">
        <f>SUMIFS(приходи!$L:$L,приходи!$E:$E,'ПП Март'!$C$22,приходи!$M:$M,'ПП Март'!AF2)</f>
        <v>0</v>
      </c>
      <c r="AG22" s="59">
        <f>SUMIFS(приходи!$L:$L,приходи!$E:$E,'ПП Март'!$C$22,приходи!$M:$M,'ПП Март'!AG2)</f>
        <v>0</v>
      </c>
      <c r="AH22" s="60">
        <f>SUMIFS(приходи!$L:$L,приходи!$E:$E,'ПП Март'!$C$22,приходи!$M:$M,'ПП Март'!AH2)</f>
        <v>0</v>
      </c>
      <c r="AI22" s="60">
        <f>SUMIFS(приходи!$L:$L,приходи!$E:$E,'ПП Март'!$C$22,приходи!$M:$M,'ПП Март'!AI2)</f>
        <v>0</v>
      </c>
      <c r="AJ22" s="61">
        <f t="shared" si="3"/>
        <v>5549.8559999999998</v>
      </c>
      <c r="AK22" s="69">
        <f t="shared" si="9"/>
        <v>5549.8559999999998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 t="shared" ref="D23:E23" si="14">SUM(D24,D29,D36,D41,D42)</f>
        <v>2739750.1902727596</v>
      </c>
      <c r="E23" s="54">
        <f t="shared" si="14"/>
        <v>0</v>
      </c>
      <c r="F23" s="54">
        <f t="shared" ref="F23:AI23" si="15">SUM(F24,F29,F36,F41,F42)</f>
        <v>0</v>
      </c>
      <c r="G23" s="54">
        <f t="shared" si="15"/>
        <v>0</v>
      </c>
      <c r="H23" s="54">
        <f t="shared" si="15"/>
        <v>0</v>
      </c>
      <c r="I23" s="54">
        <f t="shared" si="15"/>
        <v>0</v>
      </c>
      <c r="J23" s="54">
        <f t="shared" si="15"/>
        <v>0</v>
      </c>
      <c r="K23" s="54">
        <f t="shared" si="15"/>
        <v>16131</v>
      </c>
      <c r="L23" s="54">
        <f t="shared" si="15"/>
        <v>0</v>
      </c>
      <c r="M23" s="54">
        <f t="shared" si="15"/>
        <v>0</v>
      </c>
      <c r="N23" s="54">
        <f t="shared" si="15"/>
        <v>33964.300000000003</v>
      </c>
      <c r="O23" s="54">
        <f t="shared" si="15"/>
        <v>33886.199999999997</v>
      </c>
      <c r="P23" s="54">
        <f t="shared" si="15"/>
        <v>136178.79</v>
      </c>
      <c r="Q23" s="54">
        <f t="shared" si="15"/>
        <v>45867.6</v>
      </c>
      <c r="R23" s="54">
        <f t="shared" si="15"/>
        <v>93138.27</v>
      </c>
      <c r="S23" s="54">
        <f t="shared" si="15"/>
        <v>357707.16000000003</v>
      </c>
      <c r="T23" s="54">
        <f t="shared" si="15"/>
        <v>0</v>
      </c>
      <c r="U23" s="54">
        <f t="shared" si="15"/>
        <v>0</v>
      </c>
      <c r="V23" s="54">
        <f t="shared" si="15"/>
        <v>343290.21</v>
      </c>
      <c r="W23" s="54">
        <f t="shared" si="15"/>
        <v>14539.67</v>
      </c>
      <c r="X23" s="54">
        <f t="shared" si="15"/>
        <v>33678.68</v>
      </c>
      <c r="Y23" s="54">
        <f t="shared" si="15"/>
        <v>39230.199999999997</v>
      </c>
      <c r="Z23" s="54">
        <f t="shared" si="15"/>
        <v>139258.09</v>
      </c>
      <c r="AA23" s="54">
        <f t="shared" si="15"/>
        <v>0</v>
      </c>
      <c r="AB23" s="54">
        <f t="shared" si="15"/>
        <v>0</v>
      </c>
      <c r="AC23" s="54">
        <f t="shared" si="15"/>
        <v>62760</v>
      </c>
      <c r="AD23" s="54">
        <f t="shared" si="15"/>
        <v>124325.6</v>
      </c>
      <c r="AE23" s="54">
        <f t="shared" si="15"/>
        <v>163619.41</v>
      </c>
      <c r="AF23" s="54">
        <f t="shared" si="15"/>
        <v>305397.90999999997</v>
      </c>
      <c r="AG23" s="54">
        <f t="shared" si="15"/>
        <v>77107.41</v>
      </c>
      <c r="AH23" s="54">
        <f t="shared" si="15"/>
        <v>0</v>
      </c>
      <c r="AI23" s="54">
        <f t="shared" si="15"/>
        <v>0</v>
      </c>
      <c r="AJ23" s="54">
        <f t="shared" si="3"/>
        <v>2020080.4999999998</v>
      </c>
      <c r="AK23" s="54">
        <f t="shared" si="4"/>
        <v>719669.69027275988</v>
      </c>
    </row>
    <row r="24" spans="1:37" s="4" customFormat="1" ht="20.100000000000001" customHeight="1" x14ac:dyDescent="0.3">
      <c r="B24" s="7">
        <v>1</v>
      </c>
      <c r="C24" s="8" t="s">
        <v>858</v>
      </c>
      <c r="D24" s="55">
        <f t="shared" ref="D24" si="16">SUM(D26:D28)</f>
        <v>2087696.0028749998</v>
      </c>
      <c r="E24" s="55">
        <f t="shared" ref="E24:AI24" si="17">SUM(E25:E28)</f>
        <v>0</v>
      </c>
      <c r="F24" s="56">
        <f t="shared" si="17"/>
        <v>0</v>
      </c>
      <c r="G24" s="56">
        <f t="shared" si="17"/>
        <v>0</v>
      </c>
      <c r="H24" s="56">
        <f t="shared" si="17"/>
        <v>0</v>
      </c>
      <c r="I24" s="55">
        <f t="shared" si="17"/>
        <v>0</v>
      </c>
      <c r="J24" s="55">
        <f t="shared" si="17"/>
        <v>0</v>
      </c>
      <c r="K24" s="55">
        <f t="shared" si="17"/>
        <v>16131</v>
      </c>
      <c r="L24" s="55">
        <f t="shared" si="17"/>
        <v>0</v>
      </c>
      <c r="M24" s="56">
        <f t="shared" si="17"/>
        <v>0</v>
      </c>
      <c r="N24" s="56">
        <f t="shared" si="17"/>
        <v>26520</v>
      </c>
      <c r="O24" s="55">
        <f t="shared" si="17"/>
        <v>33886.199999999997</v>
      </c>
      <c r="P24" s="55">
        <f t="shared" si="17"/>
        <v>25414.44</v>
      </c>
      <c r="Q24" s="55">
        <f t="shared" si="17"/>
        <v>45867.6</v>
      </c>
      <c r="R24" s="55">
        <f t="shared" si="17"/>
        <v>93138.27</v>
      </c>
      <c r="S24" s="55">
        <f t="shared" si="17"/>
        <v>173257.7</v>
      </c>
      <c r="T24" s="56">
        <f t="shared" si="17"/>
        <v>0</v>
      </c>
      <c r="U24" s="56">
        <f t="shared" si="17"/>
        <v>0</v>
      </c>
      <c r="V24" s="55">
        <f t="shared" si="17"/>
        <v>36898.629999999997</v>
      </c>
      <c r="W24" s="55">
        <f t="shared" si="17"/>
        <v>9456</v>
      </c>
      <c r="X24" s="55">
        <f t="shared" si="17"/>
        <v>33678.68</v>
      </c>
      <c r="Y24" s="55">
        <f t="shared" si="17"/>
        <v>39230.199999999997</v>
      </c>
      <c r="Z24" s="55">
        <f t="shared" si="17"/>
        <v>139186.09</v>
      </c>
      <c r="AA24" s="56">
        <f t="shared" si="17"/>
        <v>0</v>
      </c>
      <c r="AB24" s="56">
        <f t="shared" si="17"/>
        <v>0</v>
      </c>
      <c r="AC24" s="55">
        <f t="shared" si="17"/>
        <v>62760</v>
      </c>
      <c r="AD24" s="55">
        <f t="shared" si="17"/>
        <v>124325.6</v>
      </c>
      <c r="AE24" s="55">
        <f t="shared" si="17"/>
        <v>163619.41</v>
      </c>
      <c r="AF24" s="55">
        <f t="shared" si="17"/>
        <v>305397.90999999997</v>
      </c>
      <c r="AG24" s="55">
        <f t="shared" si="17"/>
        <v>51051.28</v>
      </c>
      <c r="AH24" s="56">
        <f t="shared" si="17"/>
        <v>0</v>
      </c>
      <c r="AI24" s="56">
        <f t="shared" si="17"/>
        <v>0</v>
      </c>
      <c r="AJ24" s="61">
        <f t="shared" si="3"/>
        <v>1379819.01</v>
      </c>
      <c r="AK24" s="58">
        <f t="shared" si="4"/>
        <v>707876.99287499976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63">
        <v>13940985.561600005</v>
      </c>
      <c r="E25" s="71"/>
      <c r="F25" s="65"/>
      <c r="G25" s="65"/>
      <c r="H25" s="65"/>
      <c r="I25" s="71"/>
      <c r="J25" s="71"/>
      <c r="K25" s="71"/>
      <c r="L25" s="71"/>
      <c r="M25" s="65"/>
      <c r="N25" s="65"/>
      <c r="O25" s="71"/>
      <c r="P25" s="71"/>
      <c r="Q25" s="71"/>
      <c r="R25" s="71"/>
      <c r="S25" s="71"/>
      <c r="T25" s="65"/>
      <c r="U25" s="65"/>
      <c r="V25" s="71"/>
      <c r="W25" s="71"/>
      <c r="X25" s="71"/>
      <c r="Y25" s="71"/>
      <c r="Z25" s="71"/>
      <c r="AA25" s="65"/>
      <c r="AB25" s="65"/>
      <c r="AC25" s="71"/>
      <c r="AD25" s="71"/>
      <c r="AE25" s="71"/>
      <c r="AF25" s="71"/>
      <c r="AG25" s="71"/>
      <c r="AH25" s="65"/>
      <c r="AI25" s="65"/>
      <c r="AJ25" s="66">
        <f t="shared" si="3"/>
        <v>0</v>
      </c>
      <c r="AK25" s="67">
        <f t="shared" si="4"/>
        <v>13940985.561600005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68">
        <v>1776896.0028749998</v>
      </c>
      <c r="E26" s="59">
        <f>SUMIFS(разходи!$L:$L,разходи!$E:$E,'ПП Март'!$C$26,разходи!$M:$M,'ПП Март'!E2)</f>
        <v>0</v>
      </c>
      <c r="F26" s="60">
        <f>SUMIFS(разходи!$L:$L,разходи!$E:$E,'ПП Март'!$C$26,разходи!$M:$M,'ПП Март'!F2)</f>
        <v>0</v>
      </c>
      <c r="G26" s="60">
        <f>SUMIFS(разходи!$L:$L,разходи!$E:$E,'ПП Март'!$C$26,разходи!$M:$M,'ПП Март'!G2)</f>
        <v>0</v>
      </c>
      <c r="H26" s="60">
        <f>SUMIFS(разходи!$L:$L,разходи!$E:$E,'ПП Март'!$C$26,разходи!$M:$M,'ПП Март'!H2)</f>
        <v>0</v>
      </c>
      <c r="I26" s="70">
        <f>SUMIFS(разходи!$L:$L,разходи!$E:$E,'ПП Март'!$C$26,разходи!$M:$M,'ПП Март'!I2)</f>
        <v>0</v>
      </c>
      <c r="J26" s="70">
        <f>SUMIFS(разходи!$L:$L,разходи!$E:$E,'ПП Март'!$C$26,разходи!$M:$M,'ПП Март'!J2)</f>
        <v>0</v>
      </c>
      <c r="K26" s="70">
        <f>SUMIFS(разходи!$L:$L,разходи!$E:$E,'ПП Март'!$C$26,разходи!$M:$M,'ПП Март'!K2)</f>
        <v>0</v>
      </c>
      <c r="L26" s="70">
        <f>SUMIFS(разходи!$L:$L,разходи!$E:$E,'ПП Март'!$C$26,разходи!$M:$M,'ПП Март'!L2)</f>
        <v>0</v>
      </c>
      <c r="M26" s="60">
        <f>SUMIFS(разходи!$L:$L,разходи!$E:$E,'ПП Март'!$C$26,разходи!$M:$M,'ПП Март'!M2)</f>
        <v>0</v>
      </c>
      <c r="N26" s="60">
        <f>SUMIFS(разходи!$L:$L,разходи!$E:$E,'ПП Март'!$C$26,разходи!$M:$M,'ПП Март'!N2)</f>
        <v>0</v>
      </c>
      <c r="O26" s="70">
        <f>SUMIFS(разходи!$L:$L,разходи!$E:$E,'ПП Март'!$C$26,разходи!$M:$M,'ПП Март'!O2)</f>
        <v>0</v>
      </c>
      <c r="P26" s="70">
        <f>SUMIFS(разходи!$L:$L,разходи!$E:$E,'ПП Март'!$C$26,разходи!$M:$M,'ПП Март'!P2)</f>
        <v>0</v>
      </c>
      <c r="Q26" s="70">
        <f>SUMIFS(разходи!$L:$L,разходи!$E:$E,'ПП Март'!$C$26,разходи!$M:$M,'ПП Март'!Q2)</f>
        <v>18600</v>
      </c>
      <c r="R26" s="70">
        <f>SUMIFS(разходи!$L:$L,разходи!$E:$E,'ПП Март'!$C$26,разходи!$M:$M,'ПП Март'!R2)</f>
        <v>0</v>
      </c>
      <c r="S26" s="70">
        <f>SUMIFS(разходи!$L:$L,разходи!$E:$E,'ПП Март'!$C$26,разходи!$M:$M,'ПП Март'!S2)</f>
        <v>0</v>
      </c>
      <c r="T26" s="60">
        <f>SUMIFS(разходи!$L:$L,разходи!$E:$E,'ПП Март'!$C$26,разходи!$M:$M,'ПП Март'!T2)</f>
        <v>0</v>
      </c>
      <c r="U26" s="60">
        <f>SUMIFS(разходи!$L:$L,разходи!$E:$E,'ПП Март'!$C$26,разходи!$M:$M,'ПП Март'!U2)</f>
        <v>0</v>
      </c>
      <c r="V26" s="70">
        <f>SUMIFS(разходи!$L:$L,разходи!$E:$E,'ПП Март'!$C$26,разходи!$M:$M,'ПП Март'!V2)</f>
        <v>0</v>
      </c>
      <c r="W26" s="70">
        <f>SUMIFS(разходи!$L:$L,разходи!$E:$E,'ПП Март'!$C$26,разходи!$M:$M,'ПП Март'!W2)</f>
        <v>0</v>
      </c>
      <c r="X26" s="70">
        <f>SUMIFS(разходи!$L:$L,разходи!$E:$E,'ПП Март'!$C$26,разходи!$M:$M,'ПП Март'!X2)</f>
        <v>0</v>
      </c>
      <c r="Y26" s="70">
        <f>SUMIFS(разходи!$L:$L,разходи!$E:$E,'ПП Март'!$C$26,разходи!$M:$M,'ПП Март'!Y2)</f>
        <v>0</v>
      </c>
      <c r="Z26" s="70">
        <f>SUMIFS(разходи!$L:$L,разходи!$E:$E,'ПП Март'!$C$26,разходи!$M:$M,'ПП Март'!Z2)</f>
        <v>0</v>
      </c>
      <c r="AA26" s="60">
        <f>SUMIFS(разходи!$L:$L,разходи!$E:$E,'ПП Март'!$C$26,разходи!$M:$M,'ПП Март'!AA2)</f>
        <v>0</v>
      </c>
      <c r="AB26" s="60">
        <f>SUMIFS(разходи!$L:$L,разходи!$E:$E,'ПП Март'!$C$26,разходи!$M:$M,'ПП Март'!AB2)</f>
        <v>0</v>
      </c>
      <c r="AC26" s="70">
        <f>SUMIFS(разходи!$L:$L,разходи!$E:$E,'ПП Март'!$C$26,разходи!$M:$M,'ПП Март'!AC2)</f>
        <v>0</v>
      </c>
      <c r="AD26" s="70">
        <f>SUMIFS(разходи!$L:$L,разходи!$E:$E,'ПП Март'!$C$26,разходи!$M:$M,'ПП Март'!AD2)</f>
        <v>0</v>
      </c>
      <c r="AE26" s="70">
        <f>SUMIFS(разходи!$L:$L,разходи!$E:$E,'ПП Март'!$C$26,разходи!$M:$M,'ПП Март'!AE2)</f>
        <v>0</v>
      </c>
      <c r="AF26" s="70">
        <f>SUMIFS(разходи!$L:$L,разходи!$E:$E,'ПП Март'!$C$26,разходи!$M:$M,'ПП Март'!AF2)</f>
        <v>0</v>
      </c>
      <c r="AG26" s="70">
        <f>SUMIFS(разходи!$L:$L,разходи!$E:$E,'ПП Март'!$C$26,разходи!$M:$M,'ПП Март'!AG2)</f>
        <v>0</v>
      </c>
      <c r="AH26" s="60">
        <f>SUMIFS(разходи!$L:$L,разходи!$E:$E,'ПП Март'!$C$26,разходи!$M:$M,'ПП Март'!AH2)</f>
        <v>0</v>
      </c>
      <c r="AI26" s="60">
        <f>SUMIFS(разходи!$L:$L,разходи!$E:$E,'ПП Март'!$C$26,разходи!$M:$M,'ПП Март'!AI2)</f>
        <v>0</v>
      </c>
      <c r="AJ26" s="61">
        <f t="shared" si="3"/>
        <v>18600</v>
      </c>
      <c r="AK26" s="69">
        <f t="shared" si="4"/>
        <v>1758296.0028749998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68">
        <v>210000</v>
      </c>
      <c r="E27" s="59">
        <f>SUMIFS(разходи!$L:$L,разходи!$E:$E,'ПП Март'!$C$27,разходи!$M:$M,'ПП Март'!E2)</f>
        <v>0</v>
      </c>
      <c r="F27" s="60">
        <f>SUMIFS(разходи!$L:$L,разходи!$E:$E,'ПП Март'!$C$27,разходи!$M:$M,'ПП Март'!F2)</f>
        <v>0</v>
      </c>
      <c r="G27" s="60">
        <f>SUMIFS(разходи!$L:$L,разходи!$E:$E,'ПП Март'!$C$27,разходи!$M:$M,'ПП Март'!G2)</f>
        <v>0</v>
      </c>
      <c r="H27" s="60">
        <f>SUMIFS(разходи!$L:$L,разходи!$E:$E,'ПП Март'!$C$27,разходи!$M:$M,'ПП Март'!H2)</f>
        <v>0</v>
      </c>
      <c r="I27" s="70">
        <f>SUMIFS(разходи!$L:$L,разходи!$E:$E,'ПП Март'!$C$27,разходи!$M:$M,'ПП Март'!I2)</f>
        <v>0</v>
      </c>
      <c r="J27" s="70">
        <f>SUMIFS(разходи!$L:$L,разходи!$E:$E,'ПП Март'!$C$27,разходи!$M:$M,'ПП Март'!J2)</f>
        <v>0</v>
      </c>
      <c r="K27" s="70">
        <f>SUMIFS(разходи!$L:$L,разходи!$E:$E,'ПП Март'!$C$27,разходи!$M:$M,'ПП Март'!K2)</f>
        <v>16131</v>
      </c>
      <c r="L27" s="70">
        <f>SUMIFS(разходи!$L:$L,разходи!$E:$E,'ПП Март'!$C$27,разходи!$M:$M,'ПП Март'!L2)</f>
        <v>0</v>
      </c>
      <c r="M27" s="60">
        <f>SUMIFS(разходи!$L:$L,разходи!$E:$E,'ПП Март'!$C$27,разходи!$M:$M,'ПП Март'!M2)</f>
        <v>0</v>
      </c>
      <c r="N27" s="60">
        <f>SUMIFS(разходи!$L:$L,разходи!$E:$E,'ПП Март'!$C$27,разходи!$M:$M,'ПП Март'!N2)</f>
        <v>26520</v>
      </c>
      <c r="O27" s="70">
        <f>SUMIFS(разходи!$L:$L,разходи!$E:$E,'ПП Март'!$C$27,разходи!$M:$M,'ПП Март'!O2)</f>
        <v>33886.199999999997</v>
      </c>
      <c r="P27" s="70">
        <f>SUMIFS(разходи!$L:$L,разходи!$E:$E,'ПП Март'!$C$27,разходи!$M:$M,'ПП Март'!P2)</f>
        <v>25414.44</v>
      </c>
      <c r="Q27" s="70">
        <f>SUMIFS(разходи!$L:$L,разходи!$E:$E,'ПП Март'!$C$27,разходи!$M:$M,'ПП Март'!Q2)</f>
        <v>27267.599999999999</v>
      </c>
      <c r="R27" s="70">
        <f>SUMIFS(разходи!$L:$L,разходи!$E:$E,'ПП Март'!$C$27,разходи!$M:$M,'ПП Март'!R2)</f>
        <v>93138.27</v>
      </c>
      <c r="S27" s="70">
        <f>SUMIFS(разходи!$L:$L,разходи!$E:$E,'ПП Март'!$C$27,разходи!$M:$M,'ПП Март'!S2)</f>
        <v>54668.4</v>
      </c>
      <c r="T27" s="60">
        <f>SUMIFS(разходи!$L:$L,разходи!$E:$E,'ПП Март'!$C$27,разходи!$M:$M,'ПП Март'!T2)</f>
        <v>0</v>
      </c>
      <c r="U27" s="60">
        <f>SUMIFS(разходи!$L:$L,разходи!$E:$E,'ПП Март'!$C$27,разходи!$M:$M,'ПП Март'!U2)</f>
        <v>0</v>
      </c>
      <c r="V27" s="70">
        <f>SUMIFS(разходи!$L:$L,разходи!$E:$E,'ПП Март'!$C$27,разходи!$M:$M,'ПП Март'!V2)</f>
        <v>36898.629999999997</v>
      </c>
      <c r="W27" s="70">
        <f>SUMIFS(разходи!$L:$L,разходи!$E:$E,'ПП Март'!$C$27,разходи!$M:$M,'ПП Март'!W2)</f>
        <v>9456</v>
      </c>
      <c r="X27" s="70">
        <f>SUMIFS(разходи!$L:$L,разходи!$E:$E,'ПП Март'!$C$27,разходи!$M:$M,'ПП Март'!X2)</f>
        <v>33678.68</v>
      </c>
      <c r="Y27" s="70">
        <f>SUMIFS(разходи!$L:$L,разходи!$E:$E,'ПП Март'!$C$27,разходи!$M:$M,'ПП Март'!Y2)</f>
        <v>39230.199999999997</v>
      </c>
      <c r="Z27" s="70">
        <f>SUMIFS(разходи!$L:$L,разходи!$E:$E,'ПП Март'!$C$27,разходи!$M:$M,'ПП Март'!Z2)</f>
        <v>20582.400000000001</v>
      </c>
      <c r="AA27" s="60">
        <f>SUMIFS(разходи!$L:$L,разходи!$E:$E,'ПП Март'!$C$27,разходи!$M:$M,'ПП Март'!AA2)</f>
        <v>0</v>
      </c>
      <c r="AB27" s="60">
        <f>SUMIFS(разходи!$L:$L,разходи!$E:$E,'ПП Март'!$C$27,разходи!$M:$M,'ПП Март'!AB2)</f>
        <v>0</v>
      </c>
      <c r="AC27" s="70">
        <f>SUMIFS(разходи!$L:$L,разходи!$E:$E,'ПП Март'!$C$27,разходи!$M:$M,'ПП Март'!AC2)</f>
        <v>62760</v>
      </c>
      <c r="AD27" s="70">
        <f>SUMIFS(разходи!$L:$L,разходи!$E:$E,'ПП Март'!$C$27,разходи!$M:$M,'ПП Март'!AD2)</f>
        <v>124325.6</v>
      </c>
      <c r="AE27" s="70">
        <f>SUMIFS(разходи!$L:$L,разходи!$E:$E,'ПП Март'!$C$27,разходи!$M:$M,'ПП Март'!AE2)</f>
        <v>163619.41</v>
      </c>
      <c r="AF27" s="70">
        <f>SUMIFS(разходи!$L:$L,разходи!$E:$E,'ПП Март'!$C$27,разходи!$M:$M,'ПП Март'!AF2)</f>
        <v>305397.90999999997</v>
      </c>
      <c r="AG27" s="70">
        <f>SUMIFS(разходи!$L:$L,разходи!$E:$E,'ПП Март'!$C$27,разходи!$M:$M,'ПП Март'!AG2)</f>
        <v>51051.28</v>
      </c>
      <c r="AH27" s="60">
        <f>SUMIFS(разходи!$L:$L,разходи!$E:$E,'ПП Март'!$C$27,разходи!$M:$M,'ПП Март'!AH2)</f>
        <v>0</v>
      </c>
      <c r="AI27" s="60">
        <f>SUMIFS(разходи!$L:$L,разходи!$E:$E,'ПП Март'!$C$27,разходи!$M:$M,'ПП Март'!AI2)</f>
        <v>0</v>
      </c>
      <c r="AJ27" s="61">
        <f t="shared" si="3"/>
        <v>1124026.02</v>
      </c>
      <c r="AK27" s="69">
        <f t="shared" si="4"/>
        <v>-914026.02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68">
        <v>100800</v>
      </c>
      <c r="E28" s="59">
        <f>SUMIFS(разходи!$L:$L,разходи!$E:$E,'ПП Март'!$C$28,разходи!$M:$M,'ПП Март'!E2)</f>
        <v>0</v>
      </c>
      <c r="F28" s="60">
        <f>SUMIFS(разходи!$L:$L,разходи!$E:$E,'ПП Март'!$C$28,разходи!$M:$M,'ПП Март'!F2)</f>
        <v>0</v>
      </c>
      <c r="G28" s="60">
        <f>SUMIFS(разходи!$L:$L,разходи!$E:$E,'ПП Март'!$C$28,разходи!$M:$M,'ПП Март'!G2)</f>
        <v>0</v>
      </c>
      <c r="H28" s="60">
        <f>SUMIFS(разходи!$L:$L,разходи!$E:$E,'ПП Март'!$C$28,разходи!$M:$M,'ПП Март'!H2)</f>
        <v>0</v>
      </c>
      <c r="I28" s="70">
        <f>SUMIFS(разходи!$L:$L,разходи!$E:$E,'ПП Март'!$C$28,разходи!$M:$M,'ПП Март'!I2)</f>
        <v>0</v>
      </c>
      <c r="J28" s="70">
        <f>SUMIFS(разходи!$L:$L,разходи!$E:$E,'ПП Март'!$C$28,разходи!$M:$M,'ПП Март'!J2)</f>
        <v>0</v>
      </c>
      <c r="K28" s="70">
        <f>SUMIFS(разходи!$L:$L,разходи!$E:$E,'ПП Март'!$C$28,разходи!$M:$M,'ПП Март'!K2)</f>
        <v>0</v>
      </c>
      <c r="L28" s="70">
        <f>SUMIFS(разходи!$L:$L,разходи!$E:$E,'ПП Март'!$C$28,разходи!$M:$M,'ПП Март'!L2)</f>
        <v>0</v>
      </c>
      <c r="M28" s="60">
        <f>SUMIFS(разходи!$L:$L,разходи!$E:$E,'ПП Март'!$C$28,разходи!$M:$M,'ПП Март'!M2)</f>
        <v>0</v>
      </c>
      <c r="N28" s="60">
        <f>SUMIFS(разходи!$L:$L,разходи!$E:$E,'ПП Март'!$C$28,разходи!$M:$M,'ПП Март'!N2)</f>
        <v>0</v>
      </c>
      <c r="O28" s="70">
        <f>SUMIFS(разходи!$L:$L,разходи!$E:$E,'ПП Март'!$C$28,разходи!$M:$M,'ПП Март'!O2)</f>
        <v>0</v>
      </c>
      <c r="P28" s="70">
        <f>SUMIFS(разходи!$L:$L,разходи!$E:$E,'ПП Март'!$C$28,разходи!$M:$M,'ПП Март'!P2)</f>
        <v>0</v>
      </c>
      <c r="Q28" s="70">
        <f>SUMIFS(разходи!$L:$L,разходи!$E:$E,'ПП Март'!$C$28,разходи!$M:$M,'ПП Март'!Q2)</f>
        <v>0</v>
      </c>
      <c r="R28" s="70">
        <f>SUMIFS(разходи!$L:$L,разходи!$E:$E,'ПП Март'!$C$28,разходи!$M:$M,'ПП Март'!R2)</f>
        <v>0</v>
      </c>
      <c r="S28" s="70">
        <f>SUMIFS(разходи!$L:$L,разходи!$E:$E,'ПП Март'!$C$28,разходи!$M:$M,'ПП Март'!S2)</f>
        <v>118589.3</v>
      </c>
      <c r="T28" s="60">
        <f>SUMIFS(разходи!$L:$L,разходи!$E:$E,'ПП Март'!$C$28,разходи!$M:$M,'ПП Март'!T2)</f>
        <v>0</v>
      </c>
      <c r="U28" s="60">
        <f>SUMIFS(разходи!$L:$L,разходи!$E:$E,'ПП Март'!$C$28,разходи!$M:$M,'ПП Март'!U2)</f>
        <v>0</v>
      </c>
      <c r="V28" s="70">
        <f>SUMIFS(разходи!$L:$L,разходи!$E:$E,'ПП Март'!$C$28,разходи!$M:$M,'ПП Март'!V2)</f>
        <v>0</v>
      </c>
      <c r="W28" s="70">
        <f>SUMIFS(разходи!$L:$L,разходи!$E:$E,'ПП Март'!$C$28,разходи!$M:$M,'ПП Март'!W2)</f>
        <v>0</v>
      </c>
      <c r="X28" s="70">
        <f>SUMIFS(разходи!$L:$L,разходи!$E:$E,'ПП Март'!$C$28,разходи!$M:$M,'ПП Март'!X2)</f>
        <v>0</v>
      </c>
      <c r="Y28" s="70">
        <f>SUMIFS(разходи!$L:$L,разходи!$E:$E,'ПП Март'!$C$28,разходи!$M:$M,'ПП Март'!Y2)</f>
        <v>0</v>
      </c>
      <c r="Z28" s="70">
        <f>SUMIFS(разходи!$L:$L,разходи!$E:$E,'ПП Март'!$C$28,разходи!$M:$M,'ПП Март'!Z2)</f>
        <v>118603.69</v>
      </c>
      <c r="AA28" s="60">
        <f>SUMIFS(разходи!$L:$L,разходи!$E:$E,'ПП Март'!$C$28,разходи!$M:$M,'ПП Март'!AA2)</f>
        <v>0</v>
      </c>
      <c r="AB28" s="60">
        <f>SUMIFS(разходи!$L:$L,разходи!$E:$E,'ПП Март'!$C$28,разходи!$M:$M,'ПП Март'!AB2)</f>
        <v>0</v>
      </c>
      <c r="AC28" s="70">
        <f>SUMIFS(разходи!$L:$L,разходи!$E:$E,'ПП Март'!$C$28,разходи!$M:$M,'ПП Март'!AC2)</f>
        <v>0</v>
      </c>
      <c r="AD28" s="70">
        <f>SUMIFS(разходи!$L:$L,разходи!$E:$E,'ПП Март'!$C$28,разходи!$M:$M,'ПП Март'!AD2)</f>
        <v>0</v>
      </c>
      <c r="AE28" s="70">
        <f>SUMIFS(разходи!$L:$L,разходи!$E:$E,'ПП Март'!$C$28,разходи!$M:$M,'ПП Март'!AE2)</f>
        <v>0</v>
      </c>
      <c r="AF28" s="70">
        <f>SUMIFS(разходи!$L:$L,разходи!$E:$E,'ПП Март'!$C$28,разходи!$M:$M,'ПП Март'!AF2)</f>
        <v>0</v>
      </c>
      <c r="AG28" s="70">
        <f>SUMIFS(разходи!$L:$L,разходи!$E:$E,'ПП Март'!$C$28,разходи!$M:$M,'ПП Март'!AG2)</f>
        <v>0</v>
      </c>
      <c r="AH28" s="60">
        <f>SUMIFS(разходи!$L:$L,разходи!$E:$E,'ПП Март'!$C$28,разходи!$M:$M,'ПП Март'!AH2)</f>
        <v>0</v>
      </c>
      <c r="AI28" s="60">
        <f>SUMIFS(разходи!$L:$L,разходи!$E:$E,'ПП Март'!$C$28,разходи!$M:$M,'ПП Март'!AI2)</f>
        <v>0</v>
      </c>
      <c r="AJ28" s="61">
        <f t="shared" si="3"/>
        <v>237192.99</v>
      </c>
      <c r="AK28" s="69">
        <f t="shared" si="4"/>
        <v>-136392.99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0">
        <f t="shared" ref="D29" si="18">SUM(D30:D35)</f>
        <v>336998.27549800009</v>
      </c>
      <c r="E29" s="70">
        <f t="shared" ref="E29:AI29" si="19">SUM(E30:E35)</f>
        <v>0</v>
      </c>
      <c r="F29" s="60">
        <f t="shared" si="19"/>
        <v>0</v>
      </c>
      <c r="G29" s="60">
        <f t="shared" si="19"/>
        <v>0</v>
      </c>
      <c r="H29" s="60">
        <f t="shared" si="19"/>
        <v>0</v>
      </c>
      <c r="I29" s="70">
        <f t="shared" si="19"/>
        <v>0</v>
      </c>
      <c r="J29" s="70">
        <f t="shared" si="19"/>
        <v>0</v>
      </c>
      <c r="K29" s="70">
        <f t="shared" si="19"/>
        <v>0</v>
      </c>
      <c r="L29" s="70">
        <f t="shared" si="19"/>
        <v>0</v>
      </c>
      <c r="M29" s="60">
        <f t="shared" si="19"/>
        <v>0</v>
      </c>
      <c r="N29" s="60">
        <f t="shared" si="19"/>
        <v>0</v>
      </c>
      <c r="O29" s="70">
        <f t="shared" si="19"/>
        <v>0</v>
      </c>
      <c r="P29" s="70">
        <f t="shared" si="19"/>
        <v>0</v>
      </c>
      <c r="Q29" s="70">
        <f t="shared" si="19"/>
        <v>0</v>
      </c>
      <c r="R29" s="70">
        <f t="shared" si="19"/>
        <v>0</v>
      </c>
      <c r="S29" s="70">
        <f t="shared" si="19"/>
        <v>67490.390000000014</v>
      </c>
      <c r="T29" s="60">
        <f t="shared" si="19"/>
        <v>0</v>
      </c>
      <c r="U29" s="60">
        <f t="shared" si="19"/>
        <v>0</v>
      </c>
      <c r="V29" s="70">
        <f t="shared" si="19"/>
        <v>305344.43</v>
      </c>
      <c r="W29" s="70">
        <f t="shared" si="19"/>
        <v>0</v>
      </c>
      <c r="X29" s="70">
        <f t="shared" si="19"/>
        <v>0</v>
      </c>
      <c r="Y29" s="70">
        <f t="shared" si="19"/>
        <v>0</v>
      </c>
      <c r="Z29" s="70">
        <f t="shared" si="19"/>
        <v>0</v>
      </c>
      <c r="AA29" s="60">
        <f t="shared" si="19"/>
        <v>0</v>
      </c>
      <c r="AB29" s="60">
        <f t="shared" si="19"/>
        <v>0</v>
      </c>
      <c r="AC29" s="70">
        <f t="shared" si="19"/>
        <v>0</v>
      </c>
      <c r="AD29" s="70">
        <f t="shared" si="19"/>
        <v>0</v>
      </c>
      <c r="AE29" s="70">
        <f t="shared" si="19"/>
        <v>0</v>
      </c>
      <c r="AF29" s="70">
        <f t="shared" si="19"/>
        <v>0</v>
      </c>
      <c r="AG29" s="70">
        <f t="shared" si="19"/>
        <v>0</v>
      </c>
      <c r="AH29" s="60">
        <f t="shared" si="19"/>
        <v>0</v>
      </c>
      <c r="AI29" s="60">
        <f t="shared" si="19"/>
        <v>0</v>
      </c>
      <c r="AJ29" s="61">
        <f t="shared" si="3"/>
        <v>372834.82</v>
      </c>
      <c r="AK29" s="62">
        <f t="shared" si="4"/>
        <v>-35836.544501999917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68">
        <v>180428.24676800001</v>
      </c>
      <c r="E30" s="59">
        <f>SUMIFS(разходи!$L:$L,разходи!$E:$E,'ПП Март'!$C$30,разходи!$M:$M,'ПП Март'!E2)</f>
        <v>0</v>
      </c>
      <c r="F30" s="60">
        <f>SUMIFS(разходи!$L:$L,разходи!$E:$E,'ПП Март'!$C$30,разходи!$M:$M,'ПП Март'!F2)</f>
        <v>0</v>
      </c>
      <c r="G30" s="60">
        <f>SUMIFS(разходи!$L:$L,разходи!$E:$E,'ПП Март'!$C$30,разходи!$M:$M,'ПП Март'!G2)</f>
        <v>0</v>
      </c>
      <c r="H30" s="60">
        <f>SUMIFS(разходи!$L:$L,разходи!$E:$E,'ПП Март'!$C$30,разходи!$M:$M,'ПП Март'!H2)</f>
        <v>0</v>
      </c>
      <c r="I30" s="70">
        <f>SUMIFS(разходи!$L:$L,разходи!$E:$E,'ПП Март'!$C$30,разходи!$M:$M,'ПП Март'!I2)</f>
        <v>0</v>
      </c>
      <c r="J30" s="70">
        <f>SUMIFS(разходи!$L:$L,разходи!$E:$E,'ПП Март'!$C$30,разходи!$M:$M,'ПП Март'!J2)</f>
        <v>0</v>
      </c>
      <c r="K30" s="70">
        <f>SUMIFS(разходи!$L:$L,разходи!$E:$E,'ПП Март'!$C$30,разходи!$M:$M,'ПП Март'!K2)</f>
        <v>0</v>
      </c>
      <c r="L30" s="70">
        <f>SUMIFS(разходи!$L:$L,разходи!$E:$E,'ПП Март'!$C$30,разходи!$M:$M,'ПП Март'!L2)</f>
        <v>0</v>
      </c>
      <c r="M30" s="60">
        <f>SUMIFS(разходи!$L:$L,разходи!$E:$E,'ПП Март'!$C$30,разходи!$M:$M,'ПП Март'!M2)</f>
        <v>0</v>
      </c>
      <c r="N30" s="60">
        <f>SUMIFS(разходи!$L:$L,разходи!$E:$E,'ПП Март'!$C$30,разходи!$M:$M,'ПП Март'!N2)</f>
        <v>0</v>
      </c>
      <c r="O30" s="70">
        <f>SUMIFS(разходи!$L:$L,разходи!$E:$E,'ПП Март'!$C$30,разходи!$M:$M,'ПП Март'!O2)</f>
        <v>0</v>
      </c>
      <c r="P30" s="70">
        <f>SUMIFS(разходи!$L:$L,разходи!$E:$E,'ПП Март'!$C$30,разходи!$M:$M,'ПП Март'!P2)</f>
        <v>0</v>
      </c>
      <c r="Q30" s="70">
        <f>SUMIFS(разходи!$L:$L,разходи!$E:$E,'ПП Март'!$C$30,разходи!$M:$M,'ПП Март'!Q2)</f>
        <v>0</v>
      </c>
      <c r="R30" s="70">
        <f>SUMIFS(разходи!$L:$L,разходи!$E:$E,'ПП Март'!$C$30,разходи!$M:$M,'ПП Март'!R2)</f>
        <v>0</v>
      </c>
      <c r="S30" s="70">
        <f>SUMIFS(разходи!$L:$L,разходи!$E:$E,'ПП Март'!$C$30,разходи!$M:$M,'ПП Март'!S2)</f>
        <v>0</v>
      </c>
      <c r="T30" s="60">
        <f>SUMIFS(разходи!$L:$L,разходи!$E:$E,'ПП Март'!$C$30,разходи!$M:$M,'ПП Март'!T2)</f>
        <v>0</v>
      </c>
      <c r="U30" s="60">
        <f>SUMIFS(разходи!$L:$L,разходи!$E:$E,'ПП Март'!$C$30,разходи!$M:$M,'ПП Март'!U2)</f>
        <v>0</v>
      </c>
      <c r="V30" s="70">
        <f>SUMIFS(разходи!$L:$L,разходи!$E:$E,'ПП Март'!$C$30,разходи!$M:$M,'ПП Март'!V2)</f>
        <v>183781.58</v>
      </c>
      <c r="W30" s="70">
        <f>SUMIFS(разходи!$L:$L,разходи!$E:$E,'ПП Март'!$C$30,разходи!$M:$M,'ПП Март'!W2)</f>
        <v>0</v>
      </c>
      <c r="X30" s="70">
        <f>SUMIFS(разходи!$L:$L,разходи!$E:$E,'ПП Март'!$C$30,разходи!$M:$M,'ПП Март'!X2)</f>
        <v>0</v>
      </c>
      <c r="Y30" s="70">
        <f>SUMIFS(разходи!$L:$L,разходи!$E:$E,'ПП Март'!$C$30,разходи!$M:$M,'ПП Март'!Y2)</f>
        <v>0</v>
      </c>
      <c r="Z30" s="70">
        <f>SUMIFS(разходи!$L:$L,разходи!$E:$E,'ПП Март'!$C$30,разходи!$M:$M,'ПП Март'!Z2)</f>
        <v>0</v>
      </c>
      <c r="AA30" s="60">
        <f>SUMIFS(разходи!$L:$L,разходи!$E:$E,'ПП Март'!$C$30,разходи!$M:$M,'ПП Март'!AA2)</f>
        <v>0</v>
      </c>
      <c r="AB30" s="60">
        <f>SUMIFS(разходи!$L:$L,разходи!$E:$E,'ПП Март'!$C$30,разходи!$M:$M,'ПП Март'!AB2)</f>
        <v>0</v>
      </c>
      <c r="AC30" s="70">
        <f>SUMIFS(разходи!$L:$L,разходи!$E:$E,'ПП Март'!$C$30,разходи!$M:$M,'ПП Март'!AC2)</f>
        <v>0</v>
      </c>
      <c r="AD30" s="70">
        <f>SUMIFS(разходи!$L:$L,разходи!$E:$E,'ПП Март'!$C$30,разходи!$M:$M,'ПП Март'!AD2)</f>
        <v>0</v>
      </c>
      <c r="AE30" s="70">
        <f>SUMIFS(разходи!$L:$L,разходи!$E:$E,'ПП Март'!$C$30,разходи!$M:$M,'ПП Март'!AE2)</f>
        <v>0</v>
      </c>
      <c r="AF30" s="70">
        <f>SUMIFS(разходи!$L:$L,разходи!$E:$E,'ПП Март'!$C$30,разходи!$M:$M,'ПП Март'!AF2)</f>
        <v>0</v>
      </c>
      <c r="AG30" s="70">
        <f>SUMIFS(разходи!$L:$L,разходи!$E:$E,'ПП Март'!$C$30,разходи!$M:$M,'ПП Март'!AG2)</f>
        <v>0</v>
      </c>
      <c r="AH30" s="60">
        <f>SUMIFS(разходи!$L:$L,разходи!$E:$E,'ПП Март'!$C$30,разходи!$M:$M,'ПП Март'!AH2)</f>
        <v>0</v>
      </c>
      <c r="AI30" s="60">
        <f>SUMIFS(разходи!$L:$L,разходи!$E:$E,'ПП Март'!$C$30,разходи!$M:$M,'ПП Март'!AI2)</f>
        <v>0</v>
      </c>
      <c r="AJ30" s="61">
        <f t="shared" si="3"/>
        <v>183781.58</v>
      </c>
      <c r="AK30" s="69">
        <f t="shared" si="4"/>
        <v>-3353.3332319999754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68">
        <v>2196.5120000000006</v>
      </c>
      <c r="E31" s="59">
        <f>SUMIFS(разходи!$L:$L,разходи!$E:$E,'ПП Март'!$C$31,разходи!$M:$M,'ПП Март'!E2)</f>
        <v>0</v>
      </c>
      <c r="F31" s="60">
        <f>SUMIFS(разходи!$L:$L,разходи!$E:$E,'ПП Март'!$C$31,разходи!$M:$M,'ПП Март'!F2)</f>
        <v>0</v>
      </c>
      <c r="G31" s="60">
        <f>SUMIFS(разходи!$L:$L,разходи!$E:$E,'ПП Март'!$C$31,разходи!$M:$M,'ПП Март'!G2)</f>
        <v>0</v>
      </c>
      <c r="H31" s="60">
        <f>SUMIFS(разходи!$L:$L,разходи!$E:$E,'ПП Март'!$C$31,разходи!$M:$M,'ПП Март'!H2)</f>
        <v>0</v>
      </c>
      <c r="I31" s="70">
        <f>SUMIFS(разходи!$L:$L,разходи!$E:$E,'ПП Март'!$C$31,разходи!$M:$M,'ПП Март'!I2)</f>
        <v>0</v>
      </c>
      <c r="J31" s="70">
        <f>SUMIFS(разходи!$L:$L,разходи!$E:$E,'ПП Март'!$C$31,разходи!$M:$M,'ПП Март'!J2)</f>
        <v>0</v>
      </c>
      <c r="K31" s="70">
        <f>SUMIFS(разходи!$L:$L,разходи!$E:$E,'ПП Март'!$C$31,разходи!$M:$M,'ПП Март'!K2)</f>
        <v>0</v>
      </c>
      <c r="L31" s="70">
        <f>SUMIFS(разходи!$L:$L,разходи!$E:$E,'ПП Март'!$C$31,разходи!$M:$M,'ПП Март'!L2)</f>
        <v>0</v>
      </c>
      <c r="M31" s="60">
        <f>SUMIFS(разходи!$L:$L,разходи!$E:$E,'ПП Март'!$C$31,разходи!$M:$M,'ПП Март'!M2)</f>
        <v>0</v>
      </c>
      <c r="N31" s="60">
        <f>SUMIFS(разходи!$L:$L,разходи!$E:$E,'ПП Март'!$C$31,разходи!$M:$M,'ПП Март'!N2)</f>
        <v>0</v>
      </c>
      <c r="O31" s="70">
        <f>SUMIFS(разходи!$L:$L,разходи!$E:$E,'ПП Март'!$C$31,разходи!$M:$M,'ПП Март'!O2)</f>
        <v>0</v>
      </c>
      <c r="P31" s="70">
        <f>SUMIFS(разходи!$L:$L,разходи!$E:$E,'ПП Март'!$C$31,разходи!$M:$M,'ПП Март'!P2)</f>
        <v>0</v>
      </c>
      <c r="Q31" s="70">
        <f>SUMIFS(разходи!$L:$L,разходи!$E:$E,'ПП Март'!$C$31,разходи!$M:$M,'ПП Март'!Q2)</f>
        <v>0</v>
      </c>
      <c r="R31" s="70">
        <f>SUMIFS(разходи!$L:$L,разходи!$E:$E,'ПП Март'!$C$31,разходи!$M:$M,'ПП Март'!R2)</f>
        <v>0</v>
      </c>
      <c r="S31" s="70">
        <f>SUMIFS(разходи!$L:$L,разходи!$E:$E,'ПП Март'!$C$31,разходи!$M:$M,'ПП Март'!S2)</f>
        <v>0</v>
      </c>
      <c r="T31" s="60">
        <f>SUMIFS(разходи!$L:$L,разходи!$E:$E,'ПП Март'!$C$31,разходи!$M:$M,'ПП Март'!T2)</f>
        <v>0</v>
      </c>
      <c r="U31" s="60">
        <f>SUMIFS(разходи!$L:$L,разходи!$E:$E,'ПП Март'!$C$31,разходи!$M:$M,'ПП Март'!U2)</f>
        <v>0</v>
      </c>
      <c r="V31" s="70">
        <f>SUMIFS(разходи!$L:$L,разходи!$E:$E,'ПП Март'!$C$31,разходи!$M:$M,'ПП Март'!V2)</f>
        <v>1221.76</v>
      </c>
      <c r="W31" s="70">
        <f>SUMIFS(разходи!$L:$L,разходи!$E:$E,'ПП Март'!$C$31,разходи!$M:$M,'ПП Март'!W2)</f>
        <v>0</v>
      </c>
      <c r="X31" s="70">
        <f>SUMIFS(разходи!$L:$L,разходи!$E:$E,'ПП Март'!$C$31,разходи!$M:$M,'ПП Март'!X2)</f>
        <v>0</v>
      </c>
      <c r="Y31" s="70">
        <f>SUMIFS(разходи!$L:$L,разходи!$E:$E,'ПП Март'!$C$31,разходи!$M:$M,'ПП Март'!Y2)</f>
        <v>0</v>
      </c>
      <c r="Z31" s="70">
        <f>SUMIFS(разходи!$L:$L,разходи!$E:$E,'ПП Март'!$C$31,разходи!$M:$M,'ПП Март'!Z2)</f>
        <v>0</v>
      </c>
      <c r="AA31" s="60">
        <f>SUMIFS(разходи!$L:$L,разходи!$E:$E,'ПП Март'!$C$31,разходи!$M:$M,'ПП Март'!AA2)</f>
        <v>0</v>
      </c>
      <c r="AB31" s="60">
        <f>SUMIFS(разходи!$L:$L,разходи!$E:$E,'ПП Март'!$C$31,разходи!$M:$M,'ПП Март'!AB2)</f>
        <v>0</v>
      </c>
      <c r="AC31" s="70">
        <f>SUMIFS(разходи!$L:$L,разходи!$E:$E,'ПП Март'!$C$31,разходи!$M:$M,'ПП Март'!AC2)</f>
        <v>0</v>
      </c>
      <c r="AD31" s="70">
        <f>SUMIFS(разходи!$L:$L,разходи!$E:$E,'ПП Март'!$C$31,разходи!$M:$M,'ПП Март'!AD2)</f>
        <v>0</v>
      </c>
      <c r="AE31" s="70">
        <f>SUMIFS(разходи!$L:$L,разходи!$E:$E,'ПП Март'!$C$31,разходи!$M:$M,'ПП Март'!AE2)</f>
        <v>0</v>
      </c>
      <c r="AF31" s="70">
        <f>SUMIFS(разходи!$L:$L,разходи!$E:$E,'ПП Март'!$C$31,разходи!$M:$M,'ПП Март'!AF2)</f>
        <v>0</v>
      </c>
      <c r="AG31" s="70">
        <f>SUMIFS(разходи!$L:$L,разходи!$E:$E,'ПП Март'!$C$31,разходи!$M:$M,'ПП Март'!AG2)</f>
        <v>0</v>
      </c>
      <c r="AH31" s="60">
        <f>SUMIFS(разходи!$L:$L,разходи!$E:$E,'ПП Март'!$C$31,разходи!$M:$M,'ПП Март'!AH2)</f>
        <v>0</v>
      </c>
      <c r="AI31" s="60">
        <f>SUMIFS(разходи!$L:$L,разходи!$E:$E,'ПП Март'!$C$31,разходи!$M:$M,'ПП Март'!AI2)</f>
        <v>0</v>
      </c>
      <c r="AJ31" s="61">
        <f t="shared" si="3"/>
        <v>1221.76</v>
      </c>
      <c r="AK31" s="69">
        <f t="shared" si="4"/>
        <v>974.75200000000063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68">
        <v>81051.596730000019</v>
      </c>
      <c r="E32" s="59">
        <f>SUMIFS(разходи!$L:$L,разходи!$E:$E,'ПП Март'!$C$32,разходи!$M:$M,'ПП Март'!E2)</f>
        <v>0</v>
      </c>
      <c r="F32" s="60">
        <f>SUMIFS(разходи!$L:$L,разходи!$E:$E,'ПП Март'!$C$32,разходи!$M:$M,'ПП Март'!F2)</f>
        <v>0</v>
      </c>
      <c r="G32" s="60">
        <f>SUMIFS(разходи!$L:$L,разходи!$E:$E,'ПП Март'!$C$32,разходи!$M:$M,'ПП Март'!G2)</f>
        <v>0</v>
      </c>
      <c r="H32" s="60">
        <f>SUMIFS(разходи!$L:$L,разходи!$E:$E,'ПП Март'!$C$32,разходи!$M:$M,'ПП Март'!H2)</f>
        <v>0</v>
      </c>
      <c r="I32" s="70">
        <f>SUMIFS(разходи!$L:$L,разходи!$E:$E,'ПП Март'!$C$32,разходи!$M:$M,'ПП Март'!I2)</f>
        <v>0</v>
      </c>
      <c r="J32" s="70">
        <f>SUMIFS(разходи!$L:$L,разходи!$E:$E,'ПП Март'!$C$32,разходи!$M:$M,'ПП Март'!J2)</f>
        <v>0</v>
      </c>
      <c r="K32" s="70">
        <f>SUMIFS(разходи!$L:$L,разходи!$E:$E,'ПП Март'!$C$32,разходи!$M:$M,'ПП Март'!K2)</f>
        <v>0</v>
      </c>
      <c r="L32" s="70">
        <f>SUMIFS(разходи!$L:$L,разходи!$E:$E,'ПП Март'!$C$32,разходи!$M:$M,'ПП Март'!L2)</f>
        <v>0</v>
      </c>
      <c r="M32" s="60">
        <f>SUMIFS(разходи!$L:$L,разходи!$E:$E,'ПП Март'!$C$32,разходи!$M:$M,'ПП Март'!M2)</f>
        <v>0</v>
      </c>
      <c r="N32" s="60">
        <f>SUMIFS(разходи!$L:$L,разходи!$E:$E,'ПП Март'!$C$32,разходи!$M:$M,'ПП Март'!N2)</f>
        <v>0</v>
      </c>
      <c r="O32" s="70">
        <f>SUMIFS(разходи!$L:$L,разходи!$E:$E,'ПП Март'!$C$32,разходи!$M:$M,'ПП Март'!O2)</f>
        <v>0</v>
      </c>
      <c r="P32" s="70">
        <f>SUMIFS(разходи!$L:$L,разходи!$E:$E,'ПП Март'!$C$32,разходи!$M:$M,'ПП Март'!P2)</f>
        <v>0</v>
      </c>
      <c r="Q32" s="70">
        <f>SUMIFS(разходи!$L:$L,разходи!$E:$E,'ПП Март'!$C$32,разходи!$M:$M,'ПП Март'!Q2)</f>
        <v>0</v>
      </c>
      <c r="R32" s="70">
        <f>SUMIFS(разходи!$L:$L,разходи!$E:$E,'ПП Март'!$C$32,разходи!$M:$M,'ПП Март'!R2)</f>
        <v>0</v>
      </c>
      <c r="S32" s="70">
        <f>SUMIFS(разходи!$L:$L,разходи!$E:$E,'ПП Март'!$C$32,разходи!$M:$M,'ПП Март'!S2)</f>
        <v>0</v>
      </c>
      <c r="T32" s="60">
        <f>SUMIFS(разходи!$L:$L,разходи!$E:$E,'ПП Март'!$C$32,разходи!$M:$M,'ПП Март'!T2)</f>
        <v>0</v>
      </c>
      <c r="U32" s="60">
        <f>SUMIFS(разходи!$L:$L,разходи!$E:$E,'ПП Март'!$C$32,разходи!$M:$M,'ПП Март'!U2)</f>
        <v>0</v>
      </c>
      <c r="V32" s="70">
        <f>SUMIFS(разходи!$L:$L,разходи!$E:$E,'ПП Март'!$C$32,разходи!$M:$M,'ПП Март'!V2)</f>
        <v>120341.09</v>
      </c>
      <c r="W32" s="70">
        <f>SUMIFS(разходи!$L:$L,разходи!$E:$E,'ПП Март'!$C$32,разходи!$M:$M,'ПП Март'!W2)</f>
        <v>0</v>
      </c>
      <c r="X32" s="70">
        <f>SUMIFS(разходи!$L:$L,разходи!$E:$E,'ПП Март'!$C$32,разходи!$M:$M,'ПП Март'!X2)</f>
        <v>0</v>
      </c>
      <c r="Y32" s="70">
        <f>SUMIFS(разходи!$L:$L,разходи!$E:$E,'ПП Март'!$C$32,разходи!$M:$M,'ПП Март'!Y2)</f>
        <v>0</v>
      </c>
      <c r="Z32" s="70">
        <f>SUMIFS(разходи!$L:$L,разходи!$E:$E,'ПП Март'!$C$32,разходи!$M:$M,'ПП Март'!Z2)</f>
        <v>0</v>
      </c>
      <c r="AA32" s="60">
        <f>SUMIFS(разходи!$L:$L,разходи!$E:$E,'ПП Март'!$C$32,разходи!$M:$M,'ПП Март'!AA2)</f>
        <v>0</v>
      </c>
      <c r="AB32" s="60">
        <f>SUMIFS(разходи!$L:$L,разходи!$E:$E,'ПП Март'!$C$32,разходи!$M:$M,'ПП Март'!AB2)</f>
        <v>0</v>
      </c>
      <c r="AC32" s="70">
        <f>SUMIFS(разходи!$L:$L,разходи!$E:$E,'ПП Март'!$C$32,разходи!$M:$M,'ПП Март'!AC2)</f>
        <v>0</v>
      </c>
      <c r="AD32" s="70">
        <f>SUMIFS(разходи!$L:$L,разходи!$E:$E,'ПП Март'!$C$32,разходи!$M:$M,'ПП Март'!AD2)</f>
        <v>0</v>
      </c>
      <c r="AE32" s="70">
        <f>SUMIFS(разходи!$L:$L,разходи!$E:$E,'ПП Март'!$C$32,разходи!$M:$M,'ПП Март'!AE2)</f>
        <v>0</v>
      </c>
      <c r="AF32" s="70">
        <f>SUMIFS(разходи!$L:$L,разходи!$E:$E,'ПП Март'!$C$32,разходи!$M:$M,'ПП Март'!AF2)</f>
        <v>0</v>
      </c>
      <c r="AG32" s="70">
        <f>SUMIFS(разходи!$L:$L,разходи!$E:$E,'ПП Март'!$C$32,разходи!$M:$M,'ПП Март'!AG2)</f>
        <v>0</v>
      </c>
      <c r="AH32" s="60">
        <f>SUMIFS(разходи!$L:$L,разходи!$E:$E,'ПП Март'!$C$32,разходи!$M:$M,'ПП Март'!AH2)</f>
        <v>0</v>
      </c>
      <c r="AI32" s="60">
        <f>SUMIFS(разходи!$L:$L,разходи!$E:$E,'ПП Март'!$C$32,разходи!$M:$M,'ПП Март'!AI2)</f>
        <v>0</v>
      </c>
      <c r="AJ32" s="61">
        <f t="shared" si="3"/>
        <v>120341.09</v>
      </c>
      <c r="AK32" s="69">
        <f t="shared" si="4"/>
        <v>-39289.493269999977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68">
        <v>73321.920000000013</v>
      </c>
      <c r="E33" s="59">
        <f>SUMIFS(разходи!$L:$L,разходи!$E:$E,'ПП Март'!$C$33,разходи!$M:$M,'ПП Март'!E2)</f>
        <v>0</v>
      </c>
      <c r="F33" s="60">
        <f>SUMIFS(разходи!$L:$L,разходи!$E:$E,'ПП Март'!$C$33,разходи!$M:$M,'ПП Март'!F2)</f>
        <v>0</v>
      </c>
      <c r="G33" s="60">
        <f>SUMIFS(разходи!$L:$L,разходи!$E:$E,'ПП Март'!$C$33,разходи!$M:$M,'ПП Март'!G2)</f>
        <v>0</v>
      </c>
      <c r="H33" s="60">
        <f>SUMIFS(разходи!$L:$L,разходи!$E:$E,'ПП Март'!$C$33,разходи!$M:$M,'ПП Март'!H2)</f>
        <v>0</v>
      </c>
      <c r="I33" s="70">
        <f>SUMIFS(разходи!$L:$L,разходи!$E:$E,'ПП Март'!$C$33,разходи!$M:$M,'ПП Март'!I2)</f>
        <v>0</v>
      </c>
      <c r="J33" s="70">
        <f>SUMIFS(разходи!$L:$L,разходи!$E:$E,'ПП Март'!$C$33,разходи!$M:$M,'ПП Март'!J2)</f>
        <v>0</v>
      </c>
      <c r="K33" s="70">
        <f>SUMIFS(разходи!$L:$L,разходи!$E:$E,'ПП Март'!$C$33,разходи!$M:$M,'ПП Март'!K2)</f>
        <v>0</v>
      </c>
      <c r="L33" s="70">
        <f>SUMIFS(разходи!$L:$L,разходи!$E:$E,'ПП Март'!$C$33,разходи!$M:$M,'ПП Март'!L2)</f>
        <v>0</v>
      </c>
      <c r="M33" s="60">
        <f>SUMIFS(разходи!$L:$L,разходи!$E:$E,'ПП Март'!$C$33,разходи!$M:$M,'ПП Март'!M2)</f>
        <v>0</v>
      </c>
      <c r="N33" s="60">
        <f>SUMIFS(разходи!$L:$L,разходи!$E:$E,'ПП Март'!$C$33,разходи!$M:$M,'ПП Март'!N2)</f>
        <v>0</v>
      </c>
      <c r="O33" s="70">
        <f>SUMIFS(разходи!$L:$L,разходи!$E:$E,'ПП Март'!$C$33,разходи!$M:$M,'ПП Март'!O2)</f>
        <v>0</v>
      </c>
      <c r="P33" s="70">
        <f>SUMIFS(разходи!$L:$L,разходи!$E:$E,'ПП Март'!$C$33,разходи!$M:$M,'ПП Март'!P2)</f>
        <v>0</v>
      </c>
      <c r="Q33" s="70">
        <f>SUMIFS(разходи!$L:$L,разходи!$E:$E,'ПП Март'!$C$33,разходи!$M:$M,'ПП Март'!Q2)</f>
        <v>0</v>
      </c>
      <c r="R33" s="70">
        <f>SUMIFS(разходи!$L:$L,разходи!$E:$E,'ПП Март'!$C$33,разходи!$M:$M,'ПП Март'!R2)</f>
        <v>0</v>
      </c>
      <c r="S33" s="70">
        <f>SUMIFS(разходи!$L:$L,разходи!$E:$E,'ПП Март'!$C$33,разходи!$M:$M,'ПП Март'!S2)</f>
        <v>47259.19</v>
      </c>
      <c r="T33" s="60">
        <f>SUMIFS(разходи!$L:$L,разходи!$E:$E,'ПП Март'!$C$33,разходи!$M:$M,'ПП Март'!T2)</f>
        <v>0</v>
      </c>
      <c r="U33" s="60">
        <f>SUMIFS(разходи!$L:$L,разходи!$E:$E,'ПП Март'!$C$33,разходи!$M:$M,'ПП Март'!U2)</f>
        <v>0</v>
      </c>
      <c r="V33" s="70">
        <f>SUMIFS(разходи!$L:$L,разходи!$E:$E,'ПП Март'!$C$33,разходи!$M:$M,'ПП Март'!V2)</f>
        <v>0</v>
      </c>
      <c r="W33" s="70">
        <f>SUMIFS(разходи!$L:$L,разходи!$E:$E,'ПП Март'!$C$33,разходи!$M:$M,'ПП Март'!W2)</f>
        <v>0</v>
      </c>
      <c r="X33" s="70">
        <f>SUMIFS(разходи!$L:$L,разходи!$E:$E,'ПП Март'!$C$33,разходи!$M:$M,'ПП Март'!X2)</f>
        <v>0</v>
      </c>
      <c r="Y33" s="70">
        <f>SUMIFS(разходи!$L:$L,разходи!$E:$E,'ПП Март'!$C$33,разходи!$M:$M,'ПП Март'!Y2)</f>
        <v>0</v>
      </c>
      <c r="Z33" s="70">
        <f>SUMIFS(разходи!$L:$L,разходи!$E:$E,'ПП Март'!$C$33,разходи!$M:$M,'ПП Март'!Z2)</f>
        <v>0</v>
      </c>
      <c r="AA33" s="60">
        <f>SUMIFS(разходи!$L:$L,разходи!$E:$E,'ПП Март'!$C$33,разходи!$M:$M,'ПП Март'!AA2)</f>
        <v>0</v>
      </c>
      <c r="AB33" s="60">
        <f>SUMIFS(разходи!$L:$L,разходи!$E:$E,'ПП Март'!$C$33,разходи!$M:$M,'ПП Март'!AB2)</f>
        <v>0</v>
      </c>
      <c r="AC33" s="70">
        <f>SUMIFS(разходи!$L:$L,разходи!$E:$E,'ПП Март'!$C$33,разходи!$M:$M,'ПП Март'!AC2)</f>
        <v>0</v>
      </c>
      <c r="AD33" s="70">
        <f>SUMIFS(разходи!$L:$L,разходи!$E:$E,'ПП Март'!$C$33,разходи!$M:$M,'ПП Март'!AD2)</f>
        <v>0</v>
      </c>
      <c r="AE33" s="70">
        <f>SUMIFS(разходи!$L:$L,разходи!$E:$E,'ПП Март'!$C$33,разходи!$M:$M,'ПП Март'!AE2)</f>
        <v>0</v>
      </c>
      <c r="AF33" s="70">
        <f>SUMIFS(разходи!$L:$L,разходи!$E:$E,'ПП Март'!$C$33,разходи!$M:$M,'ПП Март'!AF2)</f>
        <v>0</v>
      </c>
      <c r="AG33" s="70">
        <f>SUMIFS(разходи!$L:$L,разходи!$E:$E,'ПП Март'!$C$33,разходи!$M:$M,'ПП Март'!AG2)</f>
        <v>0</v>
      </c>
      <c r="AH33" s="60">
        <f>SUMIFS(разходи!$L:$L,разходи!$E:$E,'ПП Март'!$C$33,разходи!$M:$M,'ПП Март'!AH2)</f>
        <v>0</v>
      </c>
      <c r="AI33" s="60">
        <f>SUMIFS(разходи!$L:$L,разходи!$E:$E,'ПП Март'!$C$33,разходи!$M:$M,'ПП Март'!AI2)</f>
        <v>0</v>
      </c>
      <c r="AJ33" s="61">
        <f t="shared" si="3"/>
        <v>47259.19</v>
      </c>
      <c r="AK33" s="69">
        <f t="shared" si="4"/>
        <v>26062.73000000001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68"/>
      <c r="E34" s="59">
        <f>SUMIFS(разходи!$L:$L,разходи!$E:$E,'ПП Март'!$C$34,разходи!$M:$M,'ПП Март'!E2)</f>
        <v>0</v>
      </c>
      <c r="F34" s="60">
        <f>SUMIFS(разходи!$L:$L,разходи!$E:$E,'ПП Март'!$C$34,разходи!$M:$M,'ПП Март'!F2)</f>
        <v>0</v>
      </c>
      <c r="G34" s="60">
        <f>SUMIFS(разходи!$L:$L,разходи!$E:$E,'ПП Март'!$C$34,разходи!$M:$M,'ПП Март'!G2)</f>
        <v>0</v>
      </c>
      <c r="H34" s="60">
        <f>SUMIFS(разходи!$L:$L,разходи!$E:$E,'ПП Март'!$C$34,разходи!$M:$M,'ПП Март'!H2)</f>
        <v>0</v>
      </c>
      <c r="I34" s="70">
        <f>SUMIFS(разходи!$L:$L,разходи!$E:$E,'ПП Март'!$C$34,разходи!$M:$M,'ПП Март'!I2)</f>
        <v>0</v>
      </c>
      <c r="J34" s="70">
        <f>SUMIFS(разходи!$L:$L,разходи!$E:$E,'ПП Март'!$C$34,разходи!$M:$M,'ПП Март'!J2)</f>
        <v>0</v>
      </c>
      <c r="K34" s="70">
        <f>SUMIFS(разходи!$L:$L,разходи!$E:$E,'ПП Март'!$C$34,разходи!$M:$M,'ПП Март'!K2)</f>
        <v>0</v>
      </c>
      <c r="L34" s="70">
        <f>SUMIFS(разходи!$L:$L,разходи!$E:$E,'ПП Март'!$C$34,разходи!$M:$M,'ПП Март'!L2)</f>
        <v>0</v>
      </c>
      <c r="M34" s="60">
        <f>SUMIFS(разходи!$L:$L,разходи!$E:$E,'ПП Март'!$C$34,разходи!$M:$M,'ПП Март'!M2)</f>
        <v>0</v>
      </c>
      <c r="N34" s="60">
        <f>SUMIFS(разходи!$L:$L,разходи!$E:$E,'ПП Март'!$C$34,разходи!$M:$M,'ПП Март'!N2)</f>
        <v>0</v>
      </c>
      <c r="O34" s="70">
        <f>SUMIFS(разходи!$L:$L,разходи!$E:$E,'ПП Март'!$C$34,разходи!$M:$M,'ПП Март'!O2)</f>
        <v>0</v>
      </c>
      <c r="P34" s="70">
        <f>SUMIFS(разходи!$L:$L,разходи!$E:$E,'ПП Март'!$C$34,разходи!$M:$M,'ПП Март'!P2)</f>
        <v>0</v>
      </c>
      <c r="Q34" s="70">
        <f>SUMIFS(разходи!$L:$L,разходи!$E:$E,'ПП Март'!$C$34,разходи!$M:$M,'ПП Март'!Q2)</f>
        <v>0</v>
      </c>
      <c r="R34" s="70">
        <f>SUMIFS(разходи!$L:$L,разходи!$E:$E,'ПП Март'!$C$34,разходи!$M:$M,'ПП Март'!R2)</f>
        <v>0</v>
      </c>
      <c r="S34" s="70">
        <f>SUMIFS(разходи!$L:$L,разходи!$E:$E,'ПП Март'!$C$34,разходи!$M:$M,'ПП Март'!S2)</f>
        <v>18382.099999999999</v>
      </c>
      <c r="T34" s="60">
        <f>SUMIFS(разходи!$L:$L,разходи!$E:$E,'ПП Март'!$C$34,разходи!$M:$M,'ПП Март'!T2)</f>
        <v>0</v>
      </c>
      <c r="U34" s="60">
        <f>SUMIFS(разходи!$L:$L,разходи!$E:$E,'ПП Март'!$C$34,разходи!$M:$M,'ПП Март'!U2)</f>
        <v>0</v>
      </c>
      <c r="V34" s="70">
        <f>SUMIFS(разходи!$L:$L,разходи!$E:$E,'ПП Март'!$C$34,разходи!$M:$M,'ПП Март'!V2)</f>
        <v>0</v>
      </c>
      <c r="W34" s="70">
        <f>SUMIFS(разходи!$L:$L,разходи!$E:$E,'ПП Март'!$C$34,разходи!$M:$M,'ПП Март'!W2)</f>
        <v>0</v>
      </c>
      <c r="X34" s="70">
        <f>SUMIFS(разходи!$L:$L,разходи!$E:$E,'ПП Март'!$C$34,разходи!$M:$M,'ПП Март'!X2)</f>
        <v>0</v>
      </c>
      <c r="Y34" s="70">
        <f>SUMIFS(разходи!$L:$L,разходи!$E:$E,'ПП Март'!$C$34,разходи!$M:$M,'ПП Март'!Y2)</f>
        <v>0</v>
      </c>
      <c r="Z34" s="70">
        <f>SUMIFS(разходи!$L:$L,разходи!$E:$E,'ПП Март'!$C$34,разходи!$M:$M,'ПП Март'!Z2)</f>
        <v>0</v>
      </c>
      <c r="AA34" s="60">
        <f>SUMIFS(разходи!$L:$L,разходи!$E:$E,'ПП Март'!$C$34,разходи!$M:$M,'ПП Март'!AA2)</f>
        <v>0</v>
      </c>
      <c r="AB34" s="60">
        <f>SUMIFS(разходи!$L:$L,разходи!$E:$E,'ПП Март'!$C$34,разходи!$M:$M,'ПП Март'!AB2)</f>
        <v>0</v>
      </c>
      <c r="AC34" s="70">
        <f>SUMIFS(разходи!$L:$L,разходи!$E:$E,'ПП Март'!$C$34,разходи!$M:$M,'ПП Март'!AC2)</f>
        <v>0</v>
      </c>
      <c r="AD34" s="70">
        <f>SUMIFS(разходи!$L:$L,разходи!$E:$E,'ПП Март'!$C$34,разходи!$M:$M,'ПП Март'!AD2)</f>
        <v>0</v>
      </c>
      <c r="AE34" s="70">
        <f>SUMIFS(разходи!$L:$L,разходи!$E:$E,'ПП Март'!$C$34,разходи!$M:$M,'ПП Март'!AE2)</f>
        <v>0</v>
      </c>
      <c r="AF34" s="70">
        <f>SUMIFS(разходи!$L:$L,разходи!$E:$E,'ПП Март'!$C$34,разходи!$M:$M,'ПП Март'!AF2)</f>
        <v>0</v>
      </c>
      <c r="AG34" s="70">
        <f>SUMIFS(разходи!$L:$L,разходи!$E:$E,'ПП Март'!$C$34,разходи!$M:$M,'ПП Март'!AG2)</f>
        <v>0</v>
      </c>
      <c r="AH34" s="60">
        <f>SUMIFS(разходи!$L:$L,разходи!$E:$E,'ПП Март'!$C$34,разходи!$M:$M,'ПП Март'!AH2)</f>
        <v>0</v>
      </c>
      <c r="AI34" s="60">
        <f>SUMIFS(разходи!$L:$L,разходи!$E:$E,'ПП Март'!$C$34,разходи!$M:$M,'ПП Март'!AI2)</f>
        <v>0</v>
      </c>
      <c r="AJ34" s="61">
        <f t="shared" si="3"/>
        <v>18382.099999999999</v>
      </c>
      <c r="AK34" s="69">
        <f t="shared" si="4"/>
        <v>-18382.099999999999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68"/>
      <c r="E35" s="59">
        <f>SUMIFS(разходи!$L:$L,разходи!$E:$E,'ПП Март'!$C$35,разходи!$M:$M,'ПП Март'!E2)</f>
        <v>0</v>
      </c>
      <c r="F35" s="60">
        <f>SUMIFS(разходи!$L:$L,разходи!$E:$E,'ПП Март'!$C$35,разходи!$M:$M,'ПП Март'!F2)</f>
        <v>0</v>
      </c>
      <c r="G35" s="60">
        <f>SUMIFS(разходи!$L:$L,разходи!$E:$E,'ПП Март'!$C$35,разходи!$M:$M,'ПП Март'!G2)</f>
        <v>0</v>
      </c>
      <c r="H35" s="60">
        <f>SUMIFS(разходи!$L:$L,разходи!$E:$E,'ПП Март'!$C$35,разходи!$M:$M,'ПП Март'!H2)</f>
        <v>0</v>
      </c>
      <c r="I35" s="70">
        <f>SUMIFS(разходи!$L:$L,разходи!$E:$E,'ПП Март'!$C$35,разходи!$M:$M,'ПП Март'!I2)</f>
        <v>0</v>
      </c>
      <c r="J35" s="70">
        <f>SUMIFS(разходи!$L:$L,разходи!$E:$E,'ПП Март'!$C$35,разходи!$M:$M,'ПП Март'!J2)</f>
        <v>0</v>
      </c>
      <c r="K35" s="70">
        <f>SUMIFS(разходи!$L:$L,разходи!$E:$E,'ПП Март'!$C$35,разходи!$M:$M,'ПП Март'!K2)</f>
        <v>0</v>
      </c>
      <c r="L35" s="70">
        <f>SUMIFS(разходи!$L:$L,разходи!$E:$E,'ПП Март'!$C$35,разходи!$M:$M,'ПП Март'!L2)</f>
        <v>0</v>
      </c>
      <c r="M35" s="60">
        <f>SUMIFS(разходи!$L:$L,разходи!$E:$E,'ПП Март'!$C$35,разходи!$M:$M,'ПП Март'!M2)</f>
        <v>0</v>
      </c>
      <c r="N35" s="60">
        <f>SUMIFS(разходи!$L:$L,разходи!$E:$E,'ПП Март'!$C$35,разходи!$M:$M,'ПП Март'!N2)</f>
        <v>0</v>
      </c>
      <c r="O35" s="70">
        <f>SUMIFS(разходи!$L:$L,разходи!$E:$E,'ПП Март'!$C$35,разходи!$M:$M,'ПП Март'!O2)</f>
        <v>0</v>
      </c>
      <c r="P35" s="70">
        <f>SUMIFS(разходи!$L:$L,разходи!$E:$E,'ПП Март'!$C$35,разходи!$M:$M,'ПП Март'!P2)</f>
        <v>0</v>
      </c>
      <c r="Q35" s="70">
        <f>SUMIFS(разходи!$L:$L,разходи!$E:$E,'ПП Март'!$C$35,разходи!$M:$M,'ПП Март'!Q2)</f>
        <v>0</v>
      </c>
      <c r="R35" s="70">
        <f>SUMIFS(разходи!$L:$L,разходи!$E:$E,'ПП Март'!$C$35,разходи!$M:$M,'ПП Март'!R2)</f>
        <v>0</v>
      </c>
      <c r="S35" s="70">
        <f>SUMIFS(разходи!$L:$L,разходи!$E:$E,'ПП Март'!$C$35,разходи!$M:$M,'ПП Март'!S2)</f>
        <v>1849.1</v>
      </c>
      <c r="T35" s="60">
        <f>SUMIFS(разходи!$L:$L,разходи!$E:$E,'ПП Март'!$C$35,разходи!$M:$M,'ПП Март'!T2)</f>
        <v>0</v>
      </c>
      <c r="U35" s="60">
        <f>SUMIFS(разходи!$L:$L,разходи!$E:$E,'ПП Март'!$C$35,разходи!$M:$M,'ПП Март'!U2)</f>
        <v>0</v>
      </c>
      <c r="V35" s="70">
        <f>SUMIFS(разходи!$L:$L,разходи!$E:$E,'ПП Март'!$C$35,разходи!$M:$M,'ПП Март'!V2)</f>
        <v>0</v>
      </c>
      <c r="W35" s="70">
        <f>SUMIFS(разходи!$L:$L,разходи!$E:$E,'ПП Март'!$C$35,разходи!$M:$M,'ПП Март'!W2)</f>
        <v>0</v>
      </c>
      <c r="X35" s="70">
        <f>SUMIFS(разходи!$L:$L,разходи!$E:$E,'ПП Март'!$C$35,разходи!$M:$M,'ПП Март'!X2)</f>
        <v>0</v>
      </c>
      <c r="Y35" s="70">
        <f>SUMIFS(разходи!$L:$L,разходи!$E:$E,'ПП Март'!$C$35,разходи!$M:$M,'ПП Март'!Y2)</f>
        <v>0</v>
      </c>
      <c r="Z35" s="70">
        <f>SUMIFS(разходи!$L:$L,разходи!$E:$E,'ПП Март'!$C$35,разходи!$M:$M,'ПП Март'!Z2)</f>
        <v>0</v>
      </c>
      <c r="AA35" s="60">
        <f>SUMIFS(разходи!$L:$L,разходи!$E:$E,'ПП Март'!$C$35,разходи!$M:$M,'ПП Март'!AA2)</f>
        <v>0</v>
      </c>
      <c r="AB35" s="60">
        <f>SUMIFS(разходи!$L:$L,разходи!$E:$E,'ПП Март'!$C$35,разходи!$M:$M,'ПП Март'!AB2)</f>
        <v>0</v>
      </c>
      <c r="AC35" s="70">
        <f>SUMIFS(разходи!$L:$L,разходи!$E:$E,'ПП Март'!$C$35,разходи!$M:$M,'ПП Март'!AC2)</f>
        <v>0</v>
      </c>
      <c r="AD35" s="70">
        <f>SUMIFS(разходи!$L:$L,разходи!$E:$E,'ПП Март'!$C$35,разходи!$M:$M,'ПП Март'!AD2)</f>
        <v>0</v>
      </c>
      <c r="AE35" s="70">
        <f>SUMIFS(разходи!$L:$L,разходи!$E:$E,'ПП Март'!$C$35,разходи!$M:$M,'ПП Март'!AE2)</f>
        <v>0</v>
      </c>
      <c r="AF35" s="70">
        <f>SUMIFS(разходи!$L:$L,разходи!$E:$E,'ПП Март'!$C$35,разходи!$M:$M,'ПП Март'!AF2)</f>
        <v>0</v>
      </c>
      <c r="AG35" s="70">
        <f>SUMIFS(разходи!$L:$L,разходи!$E:$E,'ПП Март'!$C$35,разходи!$M:$M,'ПП Март'!AG2)</f>
        <v>0</v>
      </c>
      <c r="AH35" s="60">
        <f>SUMIFS(разходи!$L:$L,разходи!$E:$E,'ПП Март'!$C$35,разходи!$M:$M,'ПП Март'!AH2)</f>
        <v>0</v>
      </c>
      <c r="AI35" s="60">
        <f>SUMIFS(разходи!$L:$L,разходи!$E:$E,'ПП Март'!$C$35,разходи!$M:$M,'ПП Март'!AI2)</f>
        <v>0</v>
      </c>
      <c r="AJ35" s="61">
        <f t="shared" ref="AJ35:AJ66" si="20">SUM(E35:AI35)</f>
        <v>1849.1</v>
      </c>
      <c r="AK35" s="69">
        <f t="shared" ref="AK35:AK66" si="21">+D35-AJ35</f>
        <v>-1849.1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0">
        <v>131601.37167576002</v>
      </c>
      <c r="E36" s="70">
        <f t="shared" ref="E36:AI36" si="22">SUM(E37:E40)</f>
        <v>0</v>
      </c>
      <c r="F36" s="60">
        <f t="shared" si="22"/>
        <v>0</v>
      </c>
      <c r="G36" s="60">
        <f t="shared" si="22"/>
        <v>0</v>
      </c>
      <c r="H36" s="60">
        <f t="shared" si="22"/>
        <v>0</v>
      </c>
      <c r="I36" s="70">
        <f t="shared" si="22"/>
        <v>0</v>
      </c>
      <c r="J36" s="70">
        <f t="shared" si="22"/>
        <v>0</v>
      </c>
      <c r="K36" s="70">
        <f t="shared" si="22"/>
        <v>0</v>
      </c>
      <c r="L36" s="70">
        <f t="shared" si="22"/>
        <v>0</v>
      </c>
      <c r="M36" s="60">
        <f t="shared" si="22"/>
        <v>0</v>
      </c>
      <c r="N36" s="60">
        <f t="shared" si="22"/>
        <v>0</v>
      </c>
      <c r="O36" s="70">
        <f t="shared" si="22"/>
        <v>0</v>
      </c>
      <c r="P36" s="70">
        <f t="shared" si="22"/>
        <v>0</v>
      </c>
      <c r="Q36" s="70">
        <f t="shared" si="22"/>
        <v>0</v>
      </c>
      <c r="R36" s="70">
        <f t="shared" si="22"/>
        <v>0</v>
      </c>
      <c r="S36" s="70">
        <f t="shared" si="22"/>
        <v>116959.06999999999</v>
      </c>
      <c r="T36" s="60">
        <f t="shared" si="22"/>
        <v>0</v>
      </c>
      <c r="U36" s="60">
        <f t="shared" si="22"/>
        <v>0</v>
      </c>
      <c r="V36" s="70">
        <f t="shared" si="22"/>
        <v>0</v>
      </c>
      <c r="W36" s="70">
        <f t="shared" si="22"/>
        <v>0</v>
      </c>
      <c r="X36" s="70">
        <f t="shared" si="22"/>
        <v>0</v>
      </c>
      <c r="Y36" s="70">
        <f t="shared" si="22"/>
        <v>0</v>
      </c>
      <c r="Z36" s="70">
        <f t="shared" si="22"/>
        <v>0</v>
      </c>
      <c r="AA36" s="60">
        <f t="shared" si="22"/>
        <v>0</v>
      </c>
      <c r="AB36" s="60">
        <f t="shared" si="22"/>
        <v>0</v>
      </c>
      <c r="AC36" s="70">
        <f t="shared" si="22"/>
        <v>0</v>
      </c>
      <c r="AD36" s="70">
        <f t="shared" si="22"/>
        <v>0</v>
      </c>
      <c r="AE36" s="70">
        <f t="shared" si="22"/>
        <v>0</v>
      </c>
      <c r="AF36" s="70">
        <f t="shared" si="22"/>
        <v>0</v>
      </c>
      <c r="AG36" s="70">
        <f t="shared" si="22"/>
        <v>0</v>
      </c>
      <c r="AH36" s="60">
        <f t="shared" si="22"/>
        <v>0</v>
      </c>
      <c r="AI36" s="60">
        <f t="shared" si="22"/>
        <v>0</v>
      </c>
      <c r="AJ36" s="61">
        <f t="shared" si="20"/>
        <v>116959.06999999999</v>
      </c>
      <c r="AK36" s="62">
        <f t="shared" si="21"/>
        <v>14642.301675760027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68"/>
      <c r="E37" s="59">
        <f>SUMIFS(разходи!$L:$L,разходи!$E:$E,'ПП Март'!$C$37,разходи!$M:$M,'ПП Март'!E2)</f>
        <v>0</v>
      </c>
      <c r="F37" s="60">
        <f>SUMIFS(разходи!$L:$L,разходи!$E:$E,'ПП Март'!$C$37,разходи!$M:$M,'ПП Март'!F2)</f>
        <v>0</v>
      </c>
      <c r="G37" s="60">
        <f>SUMIFS(разходи!$L:$L,разходи!$E:$E,'ПП Март'!$C$37,разходи!$M:$M,'ПП Март'!G2)</f>
        <v>0</v>
      </c>
      <c r="H37" s="60">
        <f>SUMIFS(разходи!$L:$L,разходи!$E:$E,'ПП Март'!$C$37,разходи!$M:$M,'ПП Март'!H2)</f>
        <v>0</v>
      </c>
      <c r="I37" s="70">
        <f>SUMIFS(разходи!$L:$L,разходи!$E:$E,'ПП Март'!$C$37,разходи!$M:$M,'ПП Март'!I2)</f>
        <v>0</v>
      </c>
      <c r="J37" s="70">
        <f>SUMIFS(разходи!$L:$L,разходи!$E:$E,'ПП Март'!$C$37,разходи!$M:$M,'ПП Март'!J2)</f>
        <v>0</v>
      </c>
      <c r="K37" s="70">
        <f>SUMIFS(разходи!$L:$L,разходи!$E:$E,'ПП Март'!$C$37,разходи!$M:$M,'ПП Март'!K2)</f>
        <v>0</v>
      </c>
      <c r="L37" s="70">
        <f>SUMIFS(разходи!$L:$L,разходи!$E:$E,'ПП Март'!$C$37,разходи!$M:$M,'ПП Март'!L2)</f>
        <v>0</v>
      </c>
      <c r="M37" s="60">
        <f>SUMIFS(разходи!$L:$L,разходи!$E:$E,'ПП Март'!$C$37,разходи!$M:$M,'ПП Март'!M2)</f>
        <v>0</v>
      </c>
      <c r="N37" s="60">
        <f>SUMIFS(разходи!$L:$L,разходи!$E:$E,'ПП Март'!$C$37,разходи!$M:$M,'ПП Март'!N2)</f>
        <v>0</v>
      </c>
      <c r="O37" s="70">
        <f>SUMIFS(разходи!$L:$L,разходи!$E:$E,'ПП Март'!$C$37,разходи!$M:$M,'ПП Март'!O2)</f>
        <v>0</v>
      </c>
      <c r="P37" s="70">
        <f>SUMIFS(разходи!$L:$L,разходи!$E:$E,'ПП Март'!$C$37,разходи!$M:$M,'ПП Март'!P2)</f>
        <v>0</v>
      </c>
      <c r="Q37" s="70">
        <f>SUMIFS(разходи!$L:$L,разходи!$E:$E,'ПП Март'!$C$37,разходи!$M:$M,'ПП Март'!Q2)</f>
        <v>0</v>
      </c>
      <c r="R37" s="70">
        <f>SUMIFS(разходи!$L:$L,разходи!$E:$E,'ПП Март'!$C$37,разходи!$M:$M,'ПП Март'!R2)</f>
        <v>0</v>
      </c>
      <c r="S37" s="70">
        <f>SUMIFS(разходи!$L:$L,разходи!$E:$E,'ПП Март'!$C$37,разходи!$M:$M,'ПП Март'!S2)</f>
        <v>48251.12</v>
      </c>
      <c r="T37" s="60">
        <f>SUMIFS(разходи!$L:$L,разходи!$E:$E,'ПП Март'!$C$37,разходи!$M:$M,'ПП Март'!T2)</f>
        <v>0</v>
      </c>
      <c r="U37" s="60">
        <f>SUMIFS(разходи!$L:$L,разходи!$E:$E,'ПП Март'!$C$37,разходи!$M:$M,'ПП Март'!U2)</f>
        <v>0</v>
      </c>
      <c r="V37" s="70">
        <f>SUMIFS(разходи!$L:$L,разходи!$E:$E,'ПП Март'!$C$37,разходи!$M:$M,'ПП Март'!V2)</f>
        <v>0</v>
      </c>
      <c r="W37" s="70">
        <f>SUMIFS(разходи!$L:$L,разходи!$E:$E,'ПП Март'!$C$37,разходи!$M:$M,'ПП Март'!W2)</f>
        <v>0</v>
      </c>
      <c r="X37" s="70">
        <f>SUMIFS(разходи!$L:$L,разходи!$E:$E,'ПП Март'!$C$37,разходи!$M:$M,'ПП Март'!X2)</f>
        <v>0</v>
      </c>
      <c r="Y37" s="70">
        <f>SUMIFS(разходи!$L:$L,разходи!$E:$E,'ПП Март'!$C$37,разходи!$M:$M,'ПП Март'!Y2)</f>
        <v>0</v>
      </c>
      <c r="Z37" s="70">
        <f>SUMIFS(разходи!$L:$L,разходи!$E:$E,'ПП Март'!$C$37,разходи!$M:$M,'ПП Март'!Z2)</f>
        <v>0</v>
      </c>
      <c r="AA37" s="60">
        <f>SUMIFS(разходи!$L:$L,разходи!$E:$E,'ПП Март'!$C$37,разходи!$M:$M,'ПП Март'!AA2)</f>
        <v>0</v>
      </c>
      <c r="AB37" s="60">
        <f>SUMIFS(разходи!$L:$L,разходи!$E:$E,'ПП Март'!$C$37,разходи!$M:$M,'ПП Март'!AB2)</f>
        <v>0</v>
      </c>
      <c r="AC37" s="70">
        <f>SUMIFS(разходи!$L:$L,разходи!$E:$E,'ПП Март'!$C$37,разходи!$M:$M,'ПП Март'!AC2)</f>
        <v>0</v>
      </c>
      <c r="AD37" s="70">
        <f>SUMIFS(разходи!$L:$L,разходи!$E:$E,'ПП Март'!$C$37,разходи!$M:$M,'ПП Март'!AD2)</f>
        <v>0</v>
      </c>
      <c r="AE37" s="70">
        <f>SUMIFS(разходи!$L:$L,разходи!$E:$E,'ПП Март'!$C$37,разходи!$M:$M,'ПП Март'!AE2)</f>
        <v>0</v>
      </c>
      <c r="AF37" s="70">
        <f>SUMIFS(разходи!$L:$L,разходи!$E:$E,'ПП Март'!$C$37,разходи!$M:$M,'ПП Март'!AF2)</f>
        <v>0</v>
      </c>
      <c r="AG37" s="70">
        <f>SUMIFS(разходи!$L:$L,разходи!$E:$E,'ПП Март'!$C$37,разходи!$M:$M,'ПП Март'!AG2)</f>
        <v>0</v>
      </c>
      <c r="AH37" s="60">
        <f>SUMIFS(разходи!$L:$L,разходи!$E:$E,'ПП Март'!$C$37,разходи!$M:$M,'ПП Март'!AH2)</f>
        <v>0</v>
      </c>
      <c r="AI37" s="60">
        <f>SUMIFS(разходи!$L:$L,разходи!$E:$E,'ПП Март'!$C$37,разходи!$M:$M,'ПП Март'!AI2)</f>
        <v>0</v>
      </c>
      <c r="AJ37" s="61">
        <f t="shared" si="20"/>
        <v>48251.12</v>
      </c>
      <c r="AK37" s="69">
        <f t="shared" si="21"/>
        <v>-48251.12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68"/>
      <c r="E38" s="59">
        <f>SUMIFS(разходи!$L:$L,разходи!$E:$E,'ПП Март'!$C$38,разходи!$M:$M,'ПП Март'!E2)</f>
        <v>0</v>
      </c>
      <c r="F38" s="60">
        <f>SUMIFS(разходи!$L:$L,разходи!$E:$E,'ПП Март'!$C$38,разходи!$M:$M,'ПП Март'!F2)</f>
        <v>0</v>
      </c>
      <c r="G38" s="60">
        <f>SUMIFS(разходи!$L:$L,разходи!$E:$E,'ПП Март'!$C$38,разходи!$M:$M,'ПП Март'!G2)</f>
        <v>0</v>
      </c>
      <c r="H38" s="60">
        <f>SUMIFS(разходи!$L:$L,разходи!$E:$E,'ПП Март'!$C$38,разходи!$M:$M,'ПП Март'!H2)</f>
        <v>0</v>
      </c>
      <c r="I38" s="70">
        <f>SUMIFS(разходи!$L:$L,разходи!$E:$E,'ПП Март'!$C$38,разходи!$M:$M,'ПП Март'!I2)</f>
        <v>0</v>
      </c>
      <c r="J38" s="70">
        <f>SUMIFS(разходи!$L:$L,разходи!$E:$E,'ПП Март'!$C$38,разходи!$M:$M,'ПП Март'!J2)</f>
        <v>0</v>
      </c>
      <c r="K38" s="70">
        <f>SUMIFS(разходи!$L:$L,разходи!$E:$E,'ПП Март'!$C$38,разходи!$M:$M,'ПП Март'!K2)</f>
        <v>0</v>
      </c>
      <c r="L38" s="70">
        <f>SUMIFS(разходи!$L:$L,разходи!$E:$E,'ПП Март'!$C$38,разходи!$M:$M,'ПП Март'!L2)</f>
        <v>0</v>
      </c>
      <c r="M38" s="60">
        <f>SUMIFS(разходи!$L:$L,разходи!$E:$E,'ПП Март'!$C$38,разходи!$M:$M,'ПП Март'!M2)</f>
        <v>0</v>
      </c>
      <c r="N38" s="60">
        <f>SUMIFS(разходи!$L:$L,разходи!$E:$E,'ПП Март'!$C$38,разходи!$M:$M,'ПП Март'!N2)</f>
        <v>0</v>
      </c>
      <c r="O38" s="70">
        <f>SUMIFS(разходи!$L:$L,разходи!$E:$E,'ПП Март'!$C$38,разходи!$M:$M,'ПП Март'!O2)</f>
        <v>0</v>
      </c>
      <c r="P38" s="70">
        <f>SUMIFS(разходи!$L:$L,разходи!$E:$E,'ПП Март'!$C$38,разходи!$M:$M,'ПП Март'!P2)</f>
        <v>0</v>
      </c>
      <c r="Q38" s="70">
        <f>SUMIFS(разходи!$L:$L,разходи!$E:$E,'ПП Март'!$C$38,разходи!$M:$M,'ПП Март'!Q2)</f>
        <v>0</v>
      </c>
      <c r="R38" s="70">
        <f>SUMIFS(разходи!$L:$L,разходи!$E:$E,'ПП Март'!$C$38,разходи!$M:$M,'ПП Март'!R2)</f>
        <v>0</v>
      </c>
      <c r="S38" s="70">
        <f>SUMIFS(разходи!$L:$L,разходи!$E:$E,'ПП Март'!$C$38,разходи!$M:$M,'ПП Март'!S2)</f>
        <v>68213.03</v>
      </c>
      <c r="T38" s="60">
        <f>SUMIFS(разходи!$L:$L,разходи!$E:$E,'ПП Март'!$C$38,разходи!$M:$M,'ПП Март'!T2)</f>
        <v>0</v>
      </c>
      <c r="U38" s="60">
        <f>SUMIFS(разходи!$L:$L,разходи!$E:$E,'ПП Март'!$C$38,разходи!$M:$M,'ПП Март'!U2)</f>
        <v>0</v>
      </c>
      <c r="V38" s="70">
        <f>SUMIFS(разходи!$L:$L,разходи!$E:$E,'ПП Март'!$C$38,разходи!$M:$M,'ПП Март'!V2)</f>
        <v>0</v>
      </c>
      <c r="W38" s="70">
        <f>SUMIFS(разходи!$L:$L,разходи!$E:$E,'ПП Март'!$C$38,разходи!$M:$M,'ПП Март'!W2)</f>
        <v>0</v>
      </c>
      <c r="X38" s="70">
        <f>SUMIFS(разходи!$L:$L,разходи!$E:$E,'ПП Март'!$C$38,разходи!$M:$M,'ПП Март'!X2)</f>
        <v>0</v>
      </c>
      <c r="Y38" s="70">
        <f>SUMIFS(разходи!$L:$L,разходи!$E:$E,'ПП Март'!$C$38,разходи!$M:$M,'ПП Март'!Y2)</f>
        <v>0</v>
      </c>
      <c r="Z38" s="70">
        <f>SUMIFS(разходи!$L:$L,разходи!$E:$E,'ПП Март'!$C$38,разходи!$M:$M,'ПП Март'!Z2)</f>
        <v>0</v>
      </c>
      <c r="AA38" s="60">
        <f>SUMIFS(разходи!$L:$L,разходи!$E:$E,'ПП Март'!$C$38,разходи!$M:$M,'ПП Март'!AA2)</f>
        <v>0</v>
      </c>
      <c r="AB38" s="60">
        <f>SUMIFS(разходи!$L:$L,разходи!$E:$E,'ПП Март'!$C$38,разходи!$M:$M,'ПП Март'!AB2)</f>
        <v>0</v>
      </c>
      <c r="AC38" s="70">
        <f>SUMIFS(разходи!$L:$L,разходи!$E:$E,'ПП Март'!$C$38,разходи!$M:$M,'ПП Март'!AC2)</f>
        <v>0</v>
      </c>
      <c r="AD38" s="70">
        <f>SUMIFS(разходи!$L:$L,разходи!$E:$E,'ПП Март'!$C$38,разходи!$M:$M,'ПП Март'!AD2)</f>
        <v>0</v>
      </c>
      <c r="AE38" s="70">
        <f>SUMIFS(разходи!$L:$L,разходи!$E:$E,'ПП Март'!$C$38,разходи!$M:$M,'ПП Март'!AE2)</f>
        <v>0</v>
      </c>
      <c r="AF38" s="70">
        <f>SUMIFS(разходи!$L:$L,разходи!$E:$E,'ПП Март'!$C$38,разходи!$M:$M,'ПП Март'!AF2)</f>
        <v>0</v>
      </c>
      <c r="AG38" s="70">
        <f>SUMIFS(разходи!$L:$L,разходи!$E:$E,'ПП Март'!$C$38,разходи!$M:$M,'ПП Март'!AG2)</f>
        <v>0</v>
      </c>
      <c r="AH38" s="60">
        <f>SUMIFS(разходи!$L:$L,разходи!$E:$E,'ПП Март'!$C$38,разходи!$M:$M,'ПП Март'!AH2)</f>
        <v>0</v>
      </c>
      <c r="AI38" s="60">
        <f>SUMIFS(разходи!$L:$L,разходи!$E:$E,'ПП Март'!$C$38,разходи!$M:$M,'ПП Март'!AI2)</f>
        <v>0</v>
      </c>
      <c r="AJ38" s="61">
        <f t="shared" si="20"/>
        <v>68213.03</v>
      </c>
      <c r="AK38" s="69">
        <f t="shared" si="21"/>
        <v>-68213.03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68"/>
      <c r="E39" s="59">
        <f>SUMIFS(разходи!$L:$L,разходи!$E:$E,'ПП Март'!$C$39,разходи!$M:$M,'ПП Март'!E2)</f>
        <v>0</v>
      </c>
      <c r="F39" s="60">
        <f>SUMIFS(разходи!$L:$L,разходи!$E:$E,'ПП Март'!$C$39,разходи!$M:$M,'ПП Март'!F2)</f>
        <v>0</v>
      </c>
      <c r="G39" s="60">
        <f>SUMIFS(разходи!$L:$L,разходи!$E:$E,'ПП Март'!$C$39,разходи!$M:$M,'ПП Март'!G2)</f>
        <v>0</v>
      </c>
      <c r="H39" s="60">
        <f>SUMIFS(разходи!$L:$L,разходи!$E:$E,'ПП Март'!$C$39,разходи!$M:$M,'ПП Март'!H2)</f>
        <v>0</v>
      </c>
      <c r="I39" s="70">
        <f>SUMIFS(разходи!$L:$L,разходи!$E:$E,'ПП Март'!$C$39,разходи!$M:$M,'ПП Март'!I2)</f>
        <v>0</v>
      </c>
      <c r="J39" s="70">
        <f>SUMIFS(разходи!$L:$L,разходи!$E:$E,'ПП Март'!$C$39,разходи!$M:$M,'ПП Март'!J2)</f>
        <v>0</v>
      </c>
      <c r="K39" s="70">
        <f>SUMIFS(разходи!$L:$L,разходи!$E:$E,'ПП Март'!$C$39,разходи!$M:$M,'ПП Март'!K2)</f>
        <v>0</v>
      </c>
      <c r="L39" s="70">
        <f>SUMIFS(разходи!$L:$L,разходи!$E:$E,'ПП Март'!$C$39,разходи!$M:$M,'ПП Март'!L2)</f>
        <v>0</v>
      </c>
      <c r="M39" s="60">
        <f>SUMIFS(разходи!$L:$L,разходи!$E:$E,'ПП Март'!$C$39,разходи!$M:$M,'ПП Март'!M2)</f>
        <v>0</v>
      </c>
      <c r="N39" s="60">
        <f>SUMIFS(разходи!$L:$L,разходи!$E:$E,'ПП Март'!$C$39,разходи!$M:$M,'ПП Март'!N2)</f>
        <v>0</v>
      </c>
      <c r="O39" s="70">
        <f>SUMIFS(разходи!$L:$L,разходи!$E:$E,'ПП Март'!$C$39,разходи!$M:$M,'ПП Март'!O2)</f>
        <v>0</v>
      </c>
      <c r="P39" s="70">
        <f>SUMIFS(разходи!$L:$L,разходи!$E:$E,'ПП Март'!$C$39,разходи!$M:$M,'ПП Март'!P2)</f>
        <v>0</v>
      </c>
      <c r="Q39" s="70">
        <f>SUMIFS(разходи!$L:$L,разходи!$E:$E,'ПП Март'!$C$39,разходи!$M:$M,'ПП Март'!Q2)</f>
        <v>0</v>
      </c>
      <c r="R39" s="70">
        <f>SUMIFS(разходи!$L:$L,разходи!$E:$E,'ПП Март'!$C$39,разходи!$M:$M,'ПП Март'!R2)</f>
        <v>0</v>
      </c>
      <c r="S39" s="70">
        <f>SUMIFS(разходи!$L:$L,разходи!$E:$E,'ПП Март'!$C$39,разходи!$M:$M,'ПП Март'!S2)</f>
        <v>4412.24</v>
      </c>
      <c r="T39" s="60">
        <f>SUMIFS(разходи!$L:$L,разходи!$E:$E,'ПП Март'!$C$39,разходи!$M:$M,'ПП Март'!T2)</f>
        <v>0</v>
      </c>
      <c r="U39" s="60">
        <f>SUMIFS(разходи!$L:$L,разходи!$E:$E,'ПП Март'!$C$39,разходи!$M:$M,'ПП Март'!U2)</f>
        <v>0</v>
      </c>
      <c r="V39" s="70">
        <f>SUMIFS(разходи!$L:$L,разходи!$E:$E,'ПП Март'!$C$39,разходи!$M:$M,'ПП Март'!V2)</f>
        <v>0</v>
      </c>
      <c r="W39" s="70">
        <f>SUMIFS(разходи!$L:$L,разходи!$E:$E,'ПП Март'!$C$39,разходи!$M:$M,'ПП Март'!W2)</f>
        <v>0</v>
      </c>
      <c r="X39" s="70">
        <f>SUMIFS(разходи!$L:$L,разходи!$E:$E,'ПП Март'!$C$39,разходи!$M:$M,'ПП Март'!X2)</f>
        <v>0</v>
      </c>
      <c r="Y39" s="70">
        <f>SUMIFS(разходи!$L:$L,разходи!$E:$E,'ПП Март'!$C$39,разходи!$M:$M,'ПП Март'!Y2)</f>
        <v>0</v>
      </c>
      <c r="Z39" s="70">
        <f>SUMIFS(разходи!$L:$L,разходи!$E:$E,'ПП Март'!$C$39,разходи!$M:$M,'ПП Март'!Z2)</f>
        <v>0</v>
      </c>
      <c r="AA39" s="60">
        <f>SUMIFS(разходи!$L:$L,разходи!$E:$E,'ПП Март'!$C$39,разходи!$M:$M,'ПП Март'!AA2)</f>
        <v>0</v>
      </c>
      <c r="AB39" s="60">
        <f>SUMIFS(разходи!$L:$L,разходи!$E:$E,'ПП Март'!$C$39,разходи!$M:$M,'ПП Март'!AB2)</f>
        <v>0</v>
      </c>
      <c r="AC39" s="70">
        <f>SUMIFS(разходи!$L:$L,разходи!$E:$E,'ПП Март'!$C$39,разходи!$M:$M,'ПП Март'!AC2)</f>
        <v>0</v>
      </c>
      <c r="AD39" s="70">
        <f>SUMIFS(разходи!$L:$L,разходи!$E:$E,'ПП Март'!$C$39,разходи!$M:$M,'ПП Март'!AD2)</f>
        <v>0</v>
      </c>
      <c r="AE39" s="70">
        <f>SUMIFS(разходи!$L:$L,разходи!$E:$E,'ПП Март'!$C$39,разходи!$M:$M,'ПП Март'!AE2)</f>
        <v>0</v>
      </c>
      <c r="AF39" s="70">
        <f>SUMIFS(разходи!$L:$L,разходи!$E:$E,'ПП Март'!$C$39,разходи!$M:$M,'ПП Март'!AF2)</f>
        <v>0</v>
      </c>
      <c r="AG39" s="70">
        <f>SUMIFS(разходи!$L:$L,разходи!$E:$E,'ПП Март'!$C$39,разходи!$M:$M,'ПП Март'!AG2)</f>
        <v>0</v>
      </c>
      <c r="AH39" s="60">
        <f>SUMIFS(разходи!$L:$L,разходи!$E:$E,'ПП Март'!$C$39,разходи!$M:$M,'ПП Март'!AH2)</f>
        <v>0</v>
      </c>
      <c r="AI39" s="60">
        <f>SUMIFS(разходи!$L:$L,разходи!$E:$E,'ПП Март'!$C$39,разходи!$M:$M,'ПП Март'!AI2)</f>
        <v>0</v>
      </c>
      <c r="AJ39" s="61">
        <f t="shared" si="20"/>
        <v>4412.24</v>
      </c>
      <c r="AK39" s="69">
        <f t="shared" si="21"/>
        <v>-4412.24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68"/>
      <c r="E40" s="59">
        <f>SUMIFS(разходи!$L:$L,разходи!$E:$E,'ПП Март'!$C$40,разходи!$M:$M,'ПП Март'!E2)</f>
        <v>0</v>
      </c>
      <c r="F40" s="60">
        <f>SUMIFS(разходи!$L:$L,разходи!$E:$E,'ПП Март'!$C$40,разходи!$M:$M,'ПП Март'!F2)</f>
        <v>0</v>
      </c>
      <c r="G40" s="60">
        <f>SUMIFS(разходи!$L:$L,разходи!$E:$E,'ПП Март'!$C$40,разходи!$M:$M,'ПП Март'!G2)</f>
        <v>0</v>
      </c>
      <c r="H40" s="60">
        <f>SUMIFS(разходи!$L:$L,разходи!$E:$E,'ПП Март'!$C$40,разходи!$M:$M,'ПП Март'!H2)</f>
        <v>0</v>
      </c>
      <c r="I40" s="70">
        <f>SUMIFS(разходи!$L:$L,разходи!$E:$E,'ПП Март'!$C$40,разходи!$M:$M,'ПП Март'!I2)</f>
        <v>0</v>
      </c>
      <c r="J40" s="70">
        <f>SUMIFS(разходи!$L:$L,разходи!$E:$E,'ПП Март'!$C$40,разходи!$M:$M,'ПП Март'!J2)</f>
        <v>0</v>
      </c>
      <c r="K40" s="70">
        <f>SUMIFS(разходи!$L:$L,разходи!$E:$E,'ПП Март'!$C$40,разходи!$M:$M,'ПП Март'!K2)</f>
        <v>0</v>
      </c>
      <c r="L40" s="70">
        <f>SUMIFS(разходи!$L:$L,разходи!$E:$E,'ПП Март'!$C$40,разходи!$M:$M,'ПП Март'!L2)</f>
        <v>0</v>
      </c>
      <c r="M40" s="60">
        <f>SUMIFS(разходи!$L:$L,разходи!$E:$E,'ПП Март'!$C$40,разходи!$M:$M,'ПП Март'!M2)</f>
        <v>0</v>
      </c>
      <c r="N40" s="60">
        <f>SUMIFS(разходи!$L:$L,разходи!$E:$E,'ПП Март'!$C$40,разходи!$M:$M,'ПП Март'!N2)</f>
        <v>0</v>
      </c>
      <c r="O40" s="70">
        <f>SUMIFS(разходи!$L:$L,разходи!$E:$E,'ПП Март'!$C$40,разходи!$M:$M,'ПП Март'!O2)</f>
        <v>0</v>
      </c>
      <c r="P40" s="70">
        <f>SUMIFS(разходи!$L:$L,разходи!$E:$E,'ПП Март'!$C$40,разходи!$M:$M,'ПП Март'!P2)</f>
        <v>0</v>
      </c>
      <c r="Q40" s="70">
        <f>SUMIFS(разходи!$L:$L,разходи!$E:$E,'ПП Март'!$C$40,разходи!$M:$M,'ПП Март'!Q2)</f>
        <v>0</v>
      </c>
      <c r="R40" s="70">
        <f>SUMIFS(разходи!$L:$L,разходи!$E:$E,'ПП Март'!$C$40,разходи!$M:$M,'ПП Март'!R2)</f>
        <v>0</v>
      </c>
      <c r="S40" s="70">
        <f>SUMIFS(разходи!$L:$L,разходи!$E:$E,'ПП Март'!$C$40,разходи!$M:$M,'ПП Март'!S2)</f>
        <v>-3917.32</v>
      </c>
      <c r="T40" s="60">
        <f>SUMIFS(разходи!$L:$L,разходи!$E:$E,'ПП Март'!$C$40,разходи!$M:$M,'ПП Март'!T2)</f>
        <v>0</v>
      </c>
      <c r="U40" s="60">
        <f>SUMIFS(разходи!$L:$L,разходи!$E:$E,'ПП Март'!$C$40,разходи!$M:$M,'ПП Март'!U2)</f>
        <v>0</v>
      </c>
      <c r="V40" s="70">
        <f>SUMIFS(разходи!$L:$L,разходи!$E:$E,'ПП Март'!$C$40,разходи!$M:$M,'ПП Март'!V2)</f>
        <v>0</v>
      </c>
      <c r="W40" s="70">
        <f>SUMIFS(разходи!$L:$L,разходи!$E:$E,'ПП Март'!$C$40,разходи!$M:$M,'ПП Март'!W2)</f>
        <v>0</v>
      </c>
      <c r="X40" s="70">
        <f>SUMIFS(разходи!$L:$L,разходи!$E:$E,'ПП Март'!$C$40,разходи!$M:$M,'ПП Март'!X2)</f>
        <v>0</v>
      </c>
      <c r="Y40" s="70">
        <f>SUMIFS(разходи!$L:$L,разходи!$E:$E,'ПП Март'!$C$40,разходи!$M:$M,'ПП Март'!Y2)</f>
        <v>0</v>
      </c>
      <c r="Z40" s="70">
        <f>SUMIFS(разходи!$L:$L,разходи!$E:$E,'ПП Март'!$C$40,разходи!$M:$M,'ПП Март'!Z2)</f>
        <v>0</v>
      </c>
      <c r="AA40" s="60">
        <f>SUMIFS(разходи!$L:$L,разходи!$E:$E,'ПП Март'!$C$40,разходи!$M:$M,'ПП Март'!AA2)</f>
        <v>0</v>
      </c>
      <c r="AB40" s="60">
        <f>SUMIFS(разходи!$L:$L,разходи!$E:$E,'ПП Март'!$C$40,разходи!$M:$M,'ПП Март'!AB2)</f>
        <v>0</v>
      </c>
      <c r="AC40" s="70">
        <f>SUMIFS(разходи!$L:$L,разходи!$E:$E,'ПП Март'!$C$40,разходи!$M:$M,'ПП Март'!AC2)</f>
        <v>0</v>
      </c>
      <c r="AD40" s="70">
        <f>SUMIFS(разходи!$L:$L,разходи!$E:$E,'ПП Март'!$C$40,разходи!$M:$M,'ПП Март'!AD2)</f>
        <v>0</v>
      </c>
      <c r="AE40" s="70">
        <f>SUMIFS(разходи!$L:$L,разходи!$E:$E,'ПП Март'!$C$40,разходи!$M:$M,'ПП Март'!AE2)</f>
        <v>0</v>
      </c>
      <c r="AF40" s="70">
        <f>SUMIFS(разходи!$L:$L,разходи!$E:$E,'ПП Март'!$C$40,разходи!$M:$M,'ПП Март'!AF2)</f>
        <v>0</v>
      </c>
      <c r="AG40" s="70">
        <f>SUMIFS(разходи!$L:$L,разходи!$E:$E,'ПП Март'!$C$40,разходи!$M:$M,'ПП Март'!AG2)</f>
        <v>0</v>
      </c>
      <c r="AH40" s="60">
        <f>SUMIFS(разходи!$L:$L,разходи!$E:$E,'ПП Март'!$C$40,разходи!$M:$M,'ПП Март'!AH2)</f>
        <v>0</v>
      </c>
      <c r="AI40" s="60">
        <f>SUMIFS(разходи!$L:$L,разходи!$E:$E,'ПП Март'!$C$40,разходи!$M:$M,'ПП Март'!AI2)</f>
        <v>0</v>
      </c>
      <c r="AJ40" s="61">
        <f t="shared" si="20"/>
        <v>-3917.32</v>
      </c>
      <c r="AK40" s="69">
        <f t="shared" si="21"/>
        <v>3917.32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68">
        <v>121541.71488000001</v>
      </c>
      <c r="E41" s="59">
        <f>SUMIFS(разходи!$L:$L,разходи!$E:$E,'ПП Март'!$C$41,разходи!$M:$M,'ПП Март'!E2)</f>
        <v>0</v>
      </c>
      <c r="F41" s="60">
        <f>SUMIFS(разходи!$L:$L,разходи!$E:$E,'ПП Март'!$C$41,разходи!$M:$M,'ПП Март'!F2)</f>
        <v>0</v>
      </c>
      <c r="G41" s="60">
        <f>SUMIFS(разходи!$L:$L,разходи!$E:$E,'ПП Март'!$C$41,разходи!$M:$M,'ПП Март'!G2)</f>
        <v>0</v>
      </c>
      <c r="H41" s="60">
        <f>SUMIFS(разходи!$L:$L,разходи!$E:$E,'ПП Март'!$C$41,разходи!$M:$M,'ПП Март'!H2)</f>
        <v>0</v>
      </c>
      <c r="I41" s="70">
        <f>SUMIFS(разходи!$L:$L,разходи!$E:$E,'ПП Март'!$C$41,разходи!$M:$M,'ПП Март'!I2)</f>
        <v>0</v>
      </c>
      <c r="J41" s="70">
        <f>SUMIFS(разходи!$L:$L,разходи!$E:$E,'ПП Март'!$C$41,разходи!$M:$M,'ПП Март'!J2)</f>
        <v>0</v>
      </c>
      <c r="K41" s="70">
        <f>SUMIFS(разходи!$L:$L,разходи!$E:$E,'ПП Март'!$C$41,разходи!$M:$M,'ПП Март'!K2)</f>
        <v>0</v>
      </c>
      <c r="L41" s="70">
        <f>SUMIFS(разходи!$L:$L,разходи!$E:$E,'ПП Март'!$C$41,разходи!$M:$M,'ПП Март'!L2)</f>
        <v>0</v>
      </c>
      <c r="M41" s="60">
        <f>SUMIFS(разходи!$L:$L,разходи!$E:$E,'ПП Март'!$C$41,разходи!$M:$M,'ПП Март'!M2)</f>
        <v>0</v>
      </c>
      <c r="N41" s="60">
        <f>SUMIFS(разходи!$L:$L,разходи!$E:$E,'ПП Март'!$C$41,разходи!$M:$M,'ПП Март'!N2)</f>
        <v>0</v>
      </c>
      <c r="O41" s="70">
        <f>SUMIFS(разходи!$L:$L,разходи!$E:$E,'ПП Март'!$C$41,разходи!$M:$M,'ПП Март'!O2)</f>
        <v>0</v>
      </c>
      <c r="P41" s="70">
        <f>SUMIFS(разходи!$L:$L,разходи!$E:$E,'ПП Март'!$C$41,разходи!$M:$M,'ПП Март'!P2)</f>
        <v>109756.9</v>
      </c>
      <c r="Q41" s="70">
        <f>SUMIFS(разходи!$L:$L,разходи!$E:$E,'ПП Март'!$C$41,разходи!$M:$M,'ПП Март'!Q2)</f>
        <v>0</v>
      </c>
      <c r="R41" s="70">
        <f>SUMIFS(разходи!$L:$L,разходи!$E:$E,'ПП Март'!$C$41,разходи!$M:$M,'ПП Март'!R2)</f>
        <v>0</v>
      </c>
      <c r="S41" s="70">
        <f>SUMIFS(разходи!$L:$L,разходи!$E:$E,'ПП Март'!$C$41,разходи!$M:$M,'ПП Март'!S2)</f>
        <v>0</v>
      </c>
      <c r="T41" s="60">
        <f>SUMIFS(разходи!$L:$L,разходи!$E:$E,'ПП Март'!$C$41,разходи!$M:$M,'ПП Март'!T2)</f>
        <v>0</v>
      </c>
      <c r="U41" s="60">
        <f>SUMIFS(разходи!$L:$L,разходи!$E:$E,'ПП Март'!$C$41,разходи!$M:$M,'ПП Март'!U2)</f>
        <v>0</v>
      </c>
      <c r="V41" s="70">
        <f>SUMIFS(разходи!$L:$L,разходи!$E:$E,'ПП Март'!$C$41,разходи!$M:$M,'ПП Март'!V2)</f>
        <v>0</v>
      </c>
      <c r="W41" s="70">
        <f>SUMIFS(разходи!$L:$L,разходи!$E:$E,'ПП Март'!$C$41,разходи!$M:$M,'ПП Март'!W2)</f>
        <v>0</v>
      </c>
      <c r="X41" s="70">
        <f>SUMIFS(разходи!$L:$L,разходи!$E:$E,'ПП Март'!$C$41,разходи!$M:$M,'ПП Март'!X2)</f>
        <v>0</v>
      </c>
      <c r="Y41" s="70">
        <f>SUMIFS(разходи!$L:$L,разходи!$E:$E,'ПП Март'!$C$41,разходи!$M:$M,'ПП Март'!Y2)</f>
        <v>0</v>
      </c>
      <c r="Z41" s="70">
        <f>SUMIFS(разходи!$L:$L,разходи!$E:$E,'ПП Март'!$C$41,разходи!$M:$M,'ПП Март'!Z2)</f>
        <v>0</v>
      </c>
      <c r="AA41" s="60">
        <f>SUMIFS(разходи!$L:$L,разходи!$E:$E,'ПП Март'!$C$41,разходи!$M:$M,'ПП Март'!AA2)</f>
        <v>0</v>
      </c>
      <c r="AB41" s="60">
        <f>SUMIFS(разходи!$L:$L,разходи!$E:$E,'ПП Март'!$C$41,разходи!$M:$M,'ПП Март'!AB2)</f>
        <v>0</v>
      </c>
      <c r="AC41" s="70">
        <f>SUMIFS(разходи!$L:$L,разходи!$E:$E,'ПП Март'!$C$41,разходи!$M:$M,'ПП Март'!AC2)</f>
        <v>0</v>
      </c>
      <c r="AD41" s="70">
        <f>SUMIFS(разходи!$L:$L,разходи!$E:$E,'ПП Март'!$C$41,разходи!$M:$M,'ПП Март'!AD2)</f>
        <v>0</v>
      </c>
      <c r="AE41" s="70">
        <f>SUMIFS(разходи!$L:$L,разходи!$E:$E,'ПП Март'!$C$41,разходи!$M:$M,'ПП Март'!AE2)</f>
        <v>0</v>
      </c>
      <c r="AF41" s="70">
        <f>SUMIFS(разходи!$L:$L,разходи!$E:$E,'ПП Март'!$C$41,разходи!$M:$M,'ПП Март'!AF2)</f>
        <v>0</v>
      </c>
      <c r="AG41" s="70">
        <f>SUMIFS(разходи!$L:$L,разходи!$E:$E,'ПП Март'!$C$41,разходи!$M:$M,'ПП Март'!AG2)</f>
        <v>0</v>
      </c>
      <c r="AH41" s="60">
        <f>SUMIFS(разходи!$L:$L,разходи!$E:$E,'ПП Март'!$C$41,разходи!$M:$M,'ПП Март'!AH2)</f>
        <v>0</v>
      </c>
      <c r="AI41" s="60">
        <f>SUMIFS(разходи!$L:$L,разходи!$E:$E,'ПП Март'!$C$41,разходи!$M:$M,'ПП Март'!AI2)</f>
        <v>0</v>
      </c>
      <c r="AJ41" s="61">
        <f t="shared" si="20"/>
        <v>109756.9</v>
      </c>
      <c r="AK41" s="69">
        <f t="shared" si="21"/>
        <v>11784.81488000002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0">
        <f>SUM(D43:D56)</f>
        <v>61912.825343999997</v>
      </c>
      <c r="E42" s="70">
        <f t="shared" ref="E42:AI42" si="23">+E43+E48+E53+E56+E62</f>
        <v>0</v>
      </c>
      <c r="F42" s="60">
        <f t="shared" si="23"/>
        <v>0</v>
      </c>
      <c r="G42" s="60">
        <f t="shared" si="23"/>
        <v>0</v>
      </c>
      <c r="H42" s="60">
        <f t="shared" si="23"/>
        <v>0</v>
      </c>
      <c r="I42" s="70">
        <f t="shared" si="23"/>
        <v>0</v>
      </c>
      <c r="J42" s="70">
        <f t="shared" si="23"/>
        <v>0</v>
      </c>
      <c r="K42" s="70">
        <f t="shared" si="23"/>
        <v>0</v>
      </c>
      <c r="L42" s="70">
        <f t="shared" si="23"/>
        <v>0</v>
      </c>
      <c r="M42" s="60">
        <f t="shared" si="23"/>
        <v>0</v>
      </c>
      <c r="N42" s="60">
        <f t="shared" si="23"/>
        <v>7444.3</v>
      </c>
      <c r="O42" s="70">
        <f t="shared" si="23"/>
        <v>0</v>
      </c>
      <c r="P42" s="70">
        <f t="shared" si="23"/>
        <v>1007.45</v>
      </c>
      <c r="Q42" s="70">
        <f t="shared" si="23"/>
        <v>0</v>
      </c>
      <c r="R42" s="70">
        <f t="shared" si="23"/>
        <v>0</v>
      </c>
      <c r="S42" s="70">
        <f t="shared" si="23"/>
        <v>0</v>
      </c>
      <c r="T42" s="60">
        <f t="shared" si="23"/>
        <v>0</v>
      </c>
      <c r="U42" s="60">
        <f t="shared" si="23"/>
        <v>0</v>
      </c>
      <c r="V42" s="70">
        <f t="shared" si="23"/>
        <v>1047.1500000000001</v>
      </c>
      <c r="W42" s="70">
        <f t="shared" si="23"/>
        <v>5083.67</v>
      </c>
      <c r="X42" s="70">
        <f t="shared" si="23"/>
        <v>0</v>
      </c>
      <c r="Y42" s="70">
        <f t="shared" si="23"/>
        <v>0</v>
      </c>
      <c r="Z42" s="70">
        <f t="shared" si="23"/>
        <v>72</v>
      </c>
      <c r="AA42" s="60">
        <f t="shared" si="23"/>
        <v>0</v>
      </c>
      <c r="AB42" s="60">
        <f t="shared" si="23"/>
        <v>0</v>
      </c>
      <c r="AC42" s="70">
        <f t="shared" si="23"/>
        <v>0</v>
      </c>
      <c r="AD42" s="70">
        <f t="shared" si="23"/>
        <v>0</v>
      </c>
      <c r="AE42" s="70">
        <f t="shared" si="23"/>
        <v>0</v>
      </c>
      <c r="AF42" s="70">
        <f t="shared" si="23"/>
        <v>0</v>
      </c>
      <c r="AG42" s="70">
        <f t="shared" si="23"/>
        <v>26056.13</v>
      </c>
      <c r="AH42" s="60">
        <f t="shared" si="23"/>
        <v>0</v>
      </c>
      <c r="AI42" s="60">
        <f t="shared" si="23"/>
        <v>0</v>
      </c>
      <c r="AJ42" s="61">
        <f t="shared" si="20"/>
        <v>40710.699999999997</v>
      </c>
      <c r="AK42" s="62">
        <f t="shared" si="21"/>
        <v>21202.125344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68">
        <v>795</v>
      </c>
      <c r="E43" s="59">
        <f t="shared" ref="E43:AI43" si="24">SUM(E44:E47)</f>
        <v>0</v>
      </c>
      <c r="F43" s="60">
        <f t="shared" si="24"/>
        <v>0</v>
      </c>
      <c r="G43" s="60">
        <f t="shared" si="24"/>
        <v>0</v>
      </c>
      <c r="H43" s="60">
        <f t="shared" si="24"/>
        <v>0</v>
      </c>
      <c r="I43" s="70">
        <f t="shared" si="24"/>
        <v>0</v>
      </c>
      <c r="J43" s="70">
        <f t="shared" si="24"/>
        <v>0</v>
      </c>
      <c r="K43" s="70">
        <f t="shared" si="24"/>
        <v>0</v>
      </c>
      <c r="L43" s="70">
        <f t="shared" si="24"/>
        <v>0</v>
      </c>
      <c r="M43" s="60">
        <f t="shared" si="24"/>
        <v>0</v>
      </c>
      <c r="N43" s="60">
        <f t="shared" si="24"/>
        <v>0</v>
      </c>
      <c r="O43" s="70">
        <f t="shared" si="24"/>
        <v>0</v>
      </c>
      <c r="P43" s="70">
        <f t="shared" si="24"/>
        <v>1007.45</v>
      </c>
      <c r="Q43" s="70">
        <f t="shared" si="24"/>
        <v>0</v>
      </c>
      <c r="R43" s="70">
        <f t="shared" si="24"/>
        <v>0</v>
      </c>
      <c r="S43" s="70">
        <f t="shared" si="24"/>
        <v>0</v>
      </c>
      <c r="T43" s="60">
        <f t="shared" si="24"/>
        <v>0</v>
      </c>
      <c r="U43" s="60">
        <f t="shared" si="24"/>
        <v>0</v>
      </c>
      <c r="V43" s="70">
        <f t="shared" si="24"/>
        <v>0</v>
      </c>
      <c r="W43" s="70">
        <f t="shared" si="24"/>
        <v>0</v>
      </c>
      <c r="X43" s="70">
        <f t="shared" si="24"/>
        <v>0</v>
      </c>
      <c r="Y43" s="70">
        <f t="shared" si="24"/>
        <v>0</v>
      </c>
      <c r="Z43" s="70">
        <f t="shared" si="24"/>
        <v>72</v>
      </c>
      <c r="AA43" s="60">
        <f t="shared" si="24"/>
        <v>0</v>
      </c>
      <c r="AB43" s="60">
        <f t="shared" si="24"/>
        <v>0</v>
      </c>
      <c r="AC43" s="70">
        <f t="shared" si="24"/>
        <v>0</v>
      </c>
      <c r="AD43" s="70">
        <f t="shared" si="24"/>
        <v>0</v>
      </c>
      <c r="AE43" s="70">
        <f t="shared" si="24"/>
        <v>0</v>
      </c>
      <c r="AF43" s="70">
        <f t="shared" si="24"/>
        <v>0</v>
      </c>
      <c r="AG43" s="70">
        <f t="shared" si="24"/>
        <v>606.45000000000005</v>
      </c>
      <c r="AH43" s="60">
        <f t="shared" si="24"/>
        <v>0</v>
      </c>
      <c r="AI43" s="60">
        <f t="shared" si="24"/>
        <v>0</v>
      </c>
      <c r="AJ43" s="61">
        <f t="shared" si="20"/>
        <v>1685.9</v>
      </c>
      <c r="AK43" s="69">
        <f t="shared" si="21"/>
        <v>-890.90000000000009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68"/>
      <c r="E44" s="59">
        <f>SUMIFS(разходи!$L:$L,разходи!$E:$E,'ПП Март'!$C$44,разходи!$M:$M,'ПП Март'!E2)</f>
        <v>0</v>
      </c>
      <c r="F44" s="60">
        <f>SUMIFS(разходи!$L:$L,разходи!$E:$E,'ПП Март'!$C$44,разходи!$M:$M,'ПП Март'!F2)</f>
        <v>0</v>
      </c>
      <c r="G44" s="60">
        <f>SUMIFS(разходи!$L:$L,разходи!$E:$E,'ПП Март'!$C$44,разходи!$M:$M,'ПП Март'!G2)</f>
        <v>0</v>
      </c>
      <c r="H44" s="60">
        <f>SUMIFS(разходи!$L:$L,разходи!$E:$E,'ПП Март'!$C$44,разходи!$M:$M,'ПП Март'!H2)</f>
        <v>0</v>
      </c>
      <c r="I44" s="70">
        <f>SUMIFS(разходи!$L:$L,разходи!$E:$E,'ПП Март'!$C$44,разходи!$M:$M,'ПП Март'!I2)</f>
        <v>0</v>
      </c>
      <c r="J44" s="70">
        <f>SUMIFS(разходи!$L:$L,разходи!$E:$E,'ПП Март'!$C$44,разходи!$M:$M,'ПП Март'!J2)</f>
        <v>0</v>
      </c>
      <c r="K44" s="70">
        <f>SUMIFS(разходи!$L:$L,разходи!$E:$E,'ПП Март'!$C$44,разходи!$M:$M,'ПП Март'!K2)</f>
        <v>0</v>
      </c>
      <c r="L44" s="70">
        <f>SUMIFS(разходи!$L:$L,разходи!$E:$E,'ПП Март'!$C$44,разходи!$M:$M,'ПП Март'!L2)</f>
        <v>0</v>
      </c>
      <c r="M44" s="60">
        <f>SUMIFS(разходи!$L:$L,разходи!$E:$E,'ПП Март'!$C$44,разходи!$M:$M,'ПП Март'!M2)</f>
        <v>0</v>
      </c>
      <c r="N44" s="60">
        <f>SUMIFS(разходи!$L:$L,разходи!$E:$E,'ПП Март'!$C$44,разходи!$M:$M,'ПП Март'!N2)</f>
        <v>0</v>
      </c>
      <c r="O44" s="70">
        <f>SUMIFS(разходи!$L:$L,разходи!$E:$E,'ПП Март'!$C$44,разходи!$M:$M,'ПП Март'!O2)</f>
        <v>0</v>
      </c>
      <c r="P44" s="70">
        <f>SUMIFS(разходи!$L:$L,разходи!$E:$E,'ПП Март'!$C$44,разходи!$M:$M,'ПП Март'!P2)</f>
        <v>1007.45</v>
      </c>
      <c r="Q44" s="70">
        <f>SUMIFS(разходи!$L:$L,разходи!$E:$E,'ПП Март'!$C$44,разходи!$M:$M,'ПП Март'!Q2)</f>
        <v>0</v>
      </c>
      <c r="R44" s="70">
        <f>SUMIFS(разходи!$L:$L,разходи!$E:$E,'ПП Март'!$C$44,разходи!$M:$M,'ПП Март'!R2)</f>
        <v>0</v>
      </c>
      <c r="S44" s="70">
        <f>SUMIFS(разходи!$L:$L,разходи!$E:$E,'ПП Март'!$C$44,разходи!$M:$M,'ПП Март'!S2)</f>
        <v>0</v>
      </c>
      <c r="T44" s="60">
        <f>SUMIFS(разходи!$L:$L,разходи!$E:$E,'ПП Март'!$C$44,разходи!$M:$M,'ПП Март'!T2)</f>
        <v>0</v>
      </c>
      <c r="U44" s="60">
        <f>SUMIFS(разходи!$L:$L,разходи!$E:$E,'ПП Март'!$C$44,разходи!$M:$M,'ПП Март'!U2)</f>
        <v>0</v>
      </c>
      <c r="V44" s="70">
        <f>SUMIFS(разходи!$L:$L,разходи!$E:$E,'ПП Март'!$C$44,разходи!$M:$M,'ПП Март'!V2)</f>
        <v>0</v>
      </c>
      <c r="W44" s="70">
        <f>SUMIFS(разходи!$L:$L,разходи!$E:$E,'ПП Март'!$C$44,разходи!$M:$M,'ПП Март'!W2)</f>
        <v>0</v>
      </c>
      <c r="X44" s="70">
        <f>SUMIFS(разходи!$L:$L,разходи!$E:$E,'ПП Март'!$C$44,разходи!$M:$M,'ПП Март'!X2)</f>
        <v>0</v>
      </c>
      <c r="Y44" s="70">
        <f>SUMIFS(разходи!$L:$L,разходи!$E:$E,'ПП Март'!$C$44,разходи!$M:$M,'ПП Март'!Y2)</f>
        <v>0</v>
      </c>
      <c r="Z44" s="70">
        <f>SUMIFS(разходи!$L:$L,разходи!$E:$E,'ПП Март'!$C$44,разходи!$M:$M,'ПП Март'!Z2)</f>
        <v>72</v>
      </c>
      <c r="AA44" s="60">
        <f>SUMIFS(разходи!$L:$L,разходи!$E:$E,'ПП Март'!$C$44,разходи!$M:$M,'ПП Март'!AA2)</f>
        <v>0</v>
      </c>
      <c r="AB44" s="60">
        <f>SUMIFS(разходи!$L:$L,разходи!$E:$E,'ПП Март'!$C$44,разходи!$M:$M,'ПП Март'!AB2)</f>
        <v>0</v>
      </c>
      <c r="AC44" s="70">
        <f>SUMIFS(разходи!$L:$L,разходи!$E:$E,'ПП Март'!$C$44,разходи!$M:$M,'ПП Март'!AC2)</f>
        <v>0</v>
      </c>
      <c r="AD44" s="70">
        <f>SUMIFS(разходи!$L:$L,разходи!$E:$E,'ПП Март'!$C$44,разходи!$M:$M,'ПП Март'!AD2)</f>
        <v>0</v>
      </c>
      <c r="AE44" s="70">
        <f>SUMIFS(разходи!$L:$L,разходи!$E:$E,'ПП Март'!$C$44,разходи!$M:$M,'ПП Март'!AE2)</f>
        <v>0</v>
      </c>
      <c r="AF44" s="70">
        <f>SUMIFS(разходи!$L:$L,разходи!$E:$E,'ПП Март'!$C$44,разходи!$M:$M,'ПП Март'!AF2)</f>
        <v>0</v>
      </c>
      <c r="AG44" s="70">
        <f>SUMIFS(разходи!$L:$L,разходи!$E:$E,'ПП Март'!$C$44,разходи!$M:$M,'ПП Март'!AG2)</f>
        <v>0</v>
      </c>
      <c r="AH44" s="60">
        <f>SUMIFS(разходи!$L:$L,разходи!$E:$E,'ПП Март'!$C$44,разходи!$M:$M,'ПП Март'!AH2)</f>
        <v>0</v>
      </c>
      <c r="AI44" s="60">
        <f>SUMIFS(разходи!$L:$L,разходи!$E:$E,'ПП Март'!$C$44,разходи!$M:$M,'ПП Март'!AI2)</f>
        <v>0</v>
      </c>
      <c r="AJ44" s="61">
        <f t="shared" si="20"/>
        <v>1079.45</v>
      </c>
      <c r="AK44" s="69">
        <f t="shared" si="21"/>
        <v>-1079.45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68"/>
      <c r="E45" s="59">
        <f>SUMIFS(разходи!$L:$L,разходи!$E:$E,'ПП Март'!$C$45,разходи!$M:$M,'ПП Март'!E2)</f>
        <v>0</v>
      </c>
      <c r="F45" s="60">
        <f>SUMIFS(разходи!$L:$L,разходи!$E:$E,'ПП Март'!$C$45,разходи!$M:$M,'ПП Март'!F2)</f>
        <v>0</v>
      </c>
      <c r="G45" s="60">
        <f>SUMIFS(разходи!$L:$L,разходи!$E:$E,'ПП Март'!$C$45,разходи!$M:$M,'ПП Март'!G2)</f>
        <v>0</v>
      </c>
      <c r="H45" s="60">
        <f>SUMIFS(разходи!$L:$L,разходи!$E:$E,'ПП Март'!$C$45,разходи!$M:$M,'ПП Март'!H2)</f>
        <v>0</v>
      </c>
      <c r="I45" s="70">
        <f>SUMIFS(разходи!$L:$L,разходи!$E:$E,'ПП Март'!$C$45,разходи!$M:$M,'ПП Март'!I2)</f>
        <v>0</v>
      </c>
      <c r="J45" s="70">
        <f>SUMIFS(разходи!$L:$L,разходи!$E:$E,'ПП Март'!$C$45,разходи!$M:$M,'ПП Март'!J2)</f>
        <v>0</v>
      </c>
      <c r="K45" s="70">
        <f>SUMIFS(разходи!$L:$L,разходи!$E:$E,'ПП Март'!$C$45,разходи!$M:$M,'ПП Март'!K2)</f>
        <v>0</v>
      </c>
      <c r="L45" s="70">
        <f>SUMIFS(разходи!$L:$L,разходи!$E:$E,'ПП Март'!$C$45,разходи!$M:$M,'ПП Март'!L2)</f>
        <v>0</v>
      </c>
      <c r="M45" s="60">
        <f>SUMIFS(разходи!$L:$L,разходи!$E:$E,'ПП Март'!$C$45,разходи!$M:$M,'ПП Март'!M2)</f>
        <v>0</v>
      </c>
      <c r="N45" s="60">
        <f>SUMIFS(разходи!$L:$L,разходи!$E:$E,'ПП Март'!$C$45,разходи!$M:$M,'ПП Март'!N2)</f>
        <v>0</v>
      </c>
      <c r="O45" s="70">
        <f>SUMIFS(разходи!$L:$L,разходи!$E:$E,'ПП Март'!$C$45,разходи!$M:$M,'ПП Март'!O2)</f>
        <v>0</v>
      </c>
      <c r="P45" s="70">
        <f>SUMIFS(разходи!$L:$L,разходи!$E:$E,'ПП Март'!$C$45,разходи!$M:$M,'ПП Март'!P2)</f>
        <v>0</v>
      </c>
      <c r="Q45" s="70">
        <f>SUMIFS(разходи!$L:$L,разходи!$E:$E,'ПП Март'!$C$45,разходи!$M:$M,'ПП Март'!Q2)</f>
        <v>0</v>
      </c>
      <c r="R45" s="70">
        <f>SUMIFS(разходи!$L:$L,разходи!$E:$E,'ПП Март'!$C$45,разходи!$M:$M,'ПП Март'!R2)</f>
        <v>0</v>
      </c>
      <c r="S45" s="70">
        <f>SUMIFS(разходи!$L:$L,разходи!$E:$E,'ПП Март'!$C$45,разходи!$M:$M,'ПП Март'!S2)</f>
        <v>0</v>
      </c>
      <c r="T45" s="60">
        <f>SUMIFS(разходи!$L:$L,разходи!$E:$E,'ПП Март'!$C$45,разходи!$M:$M,'ПП Март'!T2)</f>
        <v>0</v>
      </c>
      <c r="U45" s="60">
        <f>SUMIFS(разходи!$L:$L,разходи!$E:$E,'ПП Март'!$C$45,разходи!$M:$M,'ПП Март'!U2)</f>
        <v>0</v>
      </c>
      <c r="V45" s="70">
        <f>SUMIFS(разходи!$L:$L,разходи!$E:$E,'ПП Март'!$C$45,разходи!$M:$M,'ПП Март'!V2)</f>
        <v>0</v>
      </c>
      <c r="W45" s="70">
        <f>SUMIFS(разходи!$L:$L,разходи!$E:$E,'ПП Март'!$C$45,разходи!$M:$M,'ПП Март'!W2)</f>
        <v>0</v>
      </c>
      <c r="X45" s="70">
        <f>SUMIFS(разходи!$L:$L,разходи!$E:$E,'ПП Март'!$C$45,разходи!$M:$M,'ПП Март'!X2)</f>
        <v>0</v>
      </c>
      <c r="Y45" s="70">
        <f>SUMIFS(разходи!$L:$L,разходи!$E:$E,'ПП Март'!$C$45,разходи!$M:$M,'ПП Март'!Y2)</f>
        <v>0</v>
      </c>
      <c r="Z45" s="70">
        <f>SUMIFS(разходи!$L:$L,разходи!$E:$E,'ПП Март'!$C$45,разходи!$M:$M,'ПП Март'!Z2)</f>
        <v>0</v>
      </c>
      <c r="AA45" s="60">
        <f>SUMIFS(разходи!$L:$L,разходи!$E:$E,'ПП Март'!$C$45,разходи!$M:$M,'ПП Март'!AA2)</f>
        <v>0</v>
      </c>
      <c r="AB45" s="60">
        <f>SUMIFS(разходи!$L:$L,разходи!$E:$E,'ПП Март'!$C$45,разходи!$M:$M,'ПП Март'!AB2)</f>
        <v>0</v>
      </c>
      <c r="AC45" s="70">
        <f>SUMIFS(разходи!$L:$L,разходи!$E:$E,'ПП Март'!$C$45,разходи!$M:$M,'ПП Март'!AC2)</f>
        <v>0</v>
      </c>
      <c r="AD45" s="70">
        <f>SUMIFS(разходи!$L:$L,разходи!$E:$E,'ПП Март'!$C$45,разходи!$M:$M,'ПП Март'!AD2)</f>
        <v>0</v>
      </c>
      <c r="AE45" s="70">
        <f>SUMIFS(разходи!$L:$L,разходи!$E:$E,'ПП Март'!$C$45,разходи!$M:$M,'ПП Март'!AE2)</f>
        <v>0</v>
      </c>
      <c r="AF45" s="70">
        <f>SUMIFS(разходи!$L:$L,разходи!$E:$E,'ПП Март'!$C$45,разходи!$M:$M,'ПП Март'!AF2)</f>
        <v>0</v>
      </c>
      <c r="AG45" s="70">
        <f>SUMIFS(разходи!$L:$L,разходи!$E:$E,'ПП Март'!$C$45,разходи!$M:$M,'ПП Март'!AG2)</f>
        <v>606.45000000000005</v>
      </c>
      <c r="AH45" s="60">
        <f>SUMIFS(разходи!$L:$L,разходи!$E:$E,'ПП Март'!$C$45,разходи!$M:$M,'ПП Март'!AH2)</f>
        <v>0</v>
      </c>
      <c r="AI45" s="60">
        <f>SUMIFS(разходи!$L:$L,разходи!$E:$E,'ПП Март'!$C$45,разходи!$M:$M,'ПП Март'!AI2)</f>
        <v>0</v>
      </c>
      <c r="AJ45" s="61">
        <f t="shared" si="20"/>
        <v>606.45000000000005</v>
      </c>
      <c r="AK45" s="69">
        <f t="shared" si="21"/>
        <v>-606.45000000000005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68"/>
      <c r="E46" s="59">
        <f>SUMIFS(разходи!$L:$L,разходи!$E:$E,'ПП Март'!$C$46,разходи!$M:$M,'ПП Март'!E2)</f>
        <v>0</v>
      </c>
      <c r="F46" s="60">
        <f>SUMIFS(разходи!$L:$L,разходи!$E:$E,'ПП Март'!$C$46,разходи!$M:$M,'ПП Март'!F2)</f>
        <v>0</v>
      </c>
      <c r="G46" s="60">
        <f>SUMIFS(разходи!$L:$L,разходи!$E:$E,'ПП Март'!$C$46,разходи!$M:$M,'ПП Март'!G2)</f>
        <v>0</v>
      </c>
      <c r="H46" s="60">
        <f>SUMIFS(разходи!$L:$L,разходи!$E:$E,'ПП Март'!$C$46,разходи!$M:$M,'ПП Март'!H2)</f>
        <v>0</v>
      </c>
      <c r="I46" s="70">
        <f>SUMIFS(разходи!$L:$L,разходи!$E:$E,'ПП Март'!$C$46,разходи!$M:$M,'ПП Март'!I2)</f>
        <v>0</v>
      </c>
      <c r="J46" s="70">
        <f>SUMIFS(разходи!$L:$L,разходи!$E:$E,'ПП Март'!$C$46,разходи!$M:$M,'ПП Март'!J2)</f>
        <v>0</v>
      </c>
      <c r="K46" s="70">
        <f>SUMIFS(разходи!$L:$L,разходи!$E:$E,'ПП Март'!$C$46,разходи!$M:$M,'ПП Март'!K2)</f>
        <v>0</v>
      </c>
      <c r="L46" s="70">
        <f>SUMIFS(разходи!$L:$L,разходи!$E:$E,'ПП Март'!$C$46,разходи!$M:$M,'ПП Март'!L2)</f>
        <v>0</v>
      </c>
      <c r="M46" s="60">
        <f>SUMIFS(разходи!$L:$L,разходи!$E:$E,'ПП Март'!$C$46,разходи!$M:$M,'ПП Март'!M2)</f>
        <v>0</v>
      </c>
      <c r="N46" s="60">
        <f>SUMIFS(разходи!$L:$L,разходи!$E:$E,'ПП Март'!$C$46,разходи!$M:$M,'ПП Март'!N2)</f>
        <v>0</v>
      </c>
      <c r="O46" s="70">
        <f>SUMIFS(разходи!$L:$L,разходи!$E:$E,'ПП Март'!$C$46,разходи!$M:$M,'ПП Март'!O2)</f>
        <v>0</v>
      </c>
      <c r="P46" s="70">
        <f>SUMIFS(разходи!$L:$L,разходи!$E:$E,'ПП Март'!$C$46,разходи!$M:$M,'ПП Март'!P2)</f>
        <v>0</v>
      </c>
      <c r="Q46" s="70">
        <f>SUMIFS(разходи!$L:$L,разходи!$E:$E,'ПП Март'!$C$46,разходи!$M:$M,'ПП Март'!Q2)</f>
        <v>0</v>
      </c>
      <c r="R46" s="70">
        <f>SUMIFS(разходи!$L:$L,разходи!$E:$E,'ПП Март'!$C$46,разходи!$M:$M,'ПП Март'!R2)</f>
        <v>0</v>
      </c>
      <c r="S46" s="70">
        <f>SUMIFS(разходи!$L:$L,разходи!$E:$E,'ПП Март'!$C$46,разходи!$M:$M,'ПП Март'!S2)</f>
        <v>0</v>
      </c>
      <c r="T46" s="60">
        <f>SUMIFS(разходи!$L:$L,разходи!$E:$E,'ПП Март'!$C$46,разходи!$M:$M,'ПП Март'!T2)</f>
        <v>0</v>
      </c>
      <c r="U46" s="60">
        <f>SUMIFS(разходи!$L:$L,разходи!$E:$E,'ПП Март'!$C$46,разходи!$M:$M,'ПП Март'!U2)</f>
        <v>0</v>
      </c>
      <c r="V46" s="70">
        <f>SUMIFS(разходи!$L:$L,разходи!$E:$E,'ПП Март'!$C$46,разходи!$M:$M,'ПП Март'!V2)</f>
        <v>0</v>
      </c>
      <c r="W46" s="70">
        <f>SUMIFS(разходи!$L:$L,разходи!$E:$E,'ПП Март'!$C$46,разходи!$M:$M,'ПП Март'!W2)</f>
        <v>0</v>
      </c>
      <c r="X46" s="70">
        <f>SUMIFS(разходи!$L:$L,разходи!$E:$E,'ПП Март'!$C$46,разходи!$M:$M,'ПП Март'!X2)</f>
        <v>0</v>
      </c>
      <c r="Y46" s="70">
        <f>SUMIFS(разходи!$L:$L,разходи!$E:$E,'ПП Март'!$C$46,разходи!$M:$M,'ПП Март'!Y2)</f>
        <v>0</v>
      </c>
      <c r="Z46" s="70">
        <f>SUMIFS(разходи!$L:$L,разходи!$E:$E,'ПП Март'!$C$46,разходи!$M:$M,'ПП Март'!Z2)</f>
        <v>0</v>
      </c>
      <c r="AA46" s="60">
        <f>SUMIFS(разходи!$L:$L,разходи!$E:$E,'ПП Март'!$C$46,разходи!$M:$M,'ПП Март'!AA2)</f>
        <v>0</v>
      </c>
      <c r="AB46" s="60">
        <f>SUMIFS(разходи!$L:$L,разходи!$E:$E,'ПП Март'!$C$46,разходи!$M:$M,'ПП Март'!AB2)</f>
        <v>0</v>
      </c>
      <c r="AC46" s="70">
        <f>SUMIFS(разходи!$L:$L,разходи!$E:$E,'ПП Март'!$C$46,разходи!$M:$M,'ПП Март'!AC2)</f>
        <v>0</v>
      </c>
      <c r="AD46" s="70">
        <f>SUMIFS(разходи!$L:$L,разходи!$E:$E,'ПП Март'!$C$46,разходи!$M:$M,'ПП Март'!AD2)</f>
        <v>0</v>
      </c>
      <c r="AE46" s="70">
        <f>SUMIFS(разходи!$L:$L,разходи!$E:$E,'ПП Март'!$C$46,разходи!$M:$M,'ПП Март'!AE2)</f>
        <v>0</v>
      </c>
      <c r="AF46" s="70">
        <f>SUMIFS(разходи!$L:$L,разходи!$E:$E,'ПП Март'!$C$46,разходи!$M:$M,'ПП Март'!AF2)</f>
        <v>0</v>
      </c>
      <c r="AG46" s="70">
        <f>SUMIFS(разходи!$L:$L,разходи!$E:$E,'ПП Март'!$C$46,разходи!$M:$M,'ПП Март'!AG2)</f>
        <v>0</v>
      </c>
      <c r="AH46" s="60">
        <f>SUMIFS(разходи!$L:$L,разходи!$E:$E,'ПП Март'!$C$46,разходи!$M:$M,'ПП Март'!AH2)</f>
        <v>0</v>
      </c>
      <c r="AI46" s="60">
        <f>SUMIFS(разходи!$L:$L,разходи!$E:$E,'ПП Март'!$C$46,разходи!$M:$M,'ПП Март'!AI2)</f>
        <v>0</v>
      </c>
      <c r="AJ46" s="61">
        <f t="shared" si="20"/>
        <v>0</v>
      </c>
      <c r="AK46" s="69">
        <f t="shared" si="21"/>
        <v>0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72"/>
      <c r="E47" s="59">
        <f>SUMIFS(разходи!$L:$L,разходи!$E:$E,'ПП Март'!$C$47,разходи!$M:$M,'ПП Март'!E2)</f>
        <v>0</v>
      </c>
      <c r="F47" s="60">
        <f>SUMIFS(разходи!$L:$L,разходи!$E:$E,'ПП Март'!$C$47,разходи!$M:$M,'ПП Март'!F2)</f>
        <v>0</v>
      </c>
      <c r="G47" s="60">
        <f>SUMIFS(разходи!$L:$L,разходи!$E:$E,'ПП Март'!$C$47,разходи!$M:$M,'ПП Март'!G2)</f>
        <v>0</v>
      </c>
      <c r="H47" s="60">
        <f>SUMIFS(разходи!$L:$L,разходи!$E:$E,'ПП Март'!$C$47,разходи!$M:$M,'ПП Март'!H2)</f>
        <v>0</v>
      </c>
      <c r="I47" s="70">
        <f>SUMIFS(разходи!$L:$L,разходи!$E:$E,'ПП Март'!$C$47,разходи!$M:$M,'ПП Март'!I2)</f>
        <v>0</v>
      </c>
      <c r="J47" s="70">
        <f>SUMIFS(разходи!$L:$L,разходи!$E:$E,'ПП Март'!$C$47,разходи!$M:$M,'ПП Март'!J2)</f>
        <v>0</v>
      </c>
      <c r="K47" s="70">
        <f>SUMIFS(разходи!$L:$L,разходи!$E:$E,'ПП Март'!$C$47,разходи!$M:$M,'ПП Март'!K2)</f>
        <v>0</v>
      </c>
      <c r="L47" s="70">
        <f>SUMIFS(разходи!$L:$L,разходи!$E:$E,'ПП Март'!$C$47,разходи!$M:$M,'ПП Март'!L2)</f>
        <v>0</v>
      </c>
      <c r="M47" s="60">
        <f>SUMIFS(разходи!$L:$L,разходи!$E:$E,'ПП Март'!$C$47,разходи!$M:$M,'ПП Март'!M2)</f>
        <v>0</v>
      </c>
      <c r="N47" s="60">
        <f>SUMIFS(разходи!$L:$L,разходи!$E:$E,'ПП Март'!$C$47,разходи!$M:$M,'ПП Март'!N2)</f>
        <v>0</v>
      </c>
      <c r="O47" s="70">
        <f>SUMIFS(разходи!$L:$L,разходи!$E:$E,'ПП Март'!$C$47,разходи!$M:$M,'ПП Март'!O2)</f>
        <v>0</v>
      </c>
      <c r="P47" s="70">
        <f>SUMIFS(разходи!$L:$L,разходи!$E:$E,'ПП Март'!$C$47,разходи!$M:$M,'ПП Март'!P2)</f>
        <v>0</v>
      </c>
      <c r="Q47" s="70">
        <f>SUMIFS(разходи!$L:$L,разходи!$E:$E,'ПП Март'!$C$47,разходи!$M:$M,'ПП Март'!Q2)</f>
        <v>0</v>
      </c>
      <c r="R47" s="70">
        <f>SUMIFS(разходи!$L:$L,разходи!$E:$E,'ПП Март'!$C$47,разходи!$M:$M,'ПП Март'!R2)</f>
        <v>0</v>
      </c>
      <c r="S47" s="70">
        <f>SUMIFS(разходи!$L:$L,разходи!$E:$E,'ПП Март'!$C$47,разходи!$M:$M,'ПП Март'!S2)</f>
        <v>0</v>
      </c>
      <c r="T47" s="60">
        <f>SUMIFS(разходи!$L:$L,разходи!$E:$E,'ПП Март'!$C$47,разходи!$M:$M,'ПП Март'!T2)</f>
        <v>0</v>
      </c>
      <c r="U47" s="60">
        <f>SUMIFS(разходи!$L:$L,разходи!$E:$E,'ПП Март'!$C$47,разходи!$M:$M,'ПП Март'!U2)</f>
        <v>0</v>
      </c>
      <c r="V47" s="70">
        <f>SUMIFS(разходи!$L:$L,разходи!$E:$E,'ПП Март'!$C$47,разходи!$M:$M,'ПП Март'!V2)</f>
        <v>0</v>
      </c>
      <c r="W47" s="70">
        <f>SUMIFS(разходи!$L:$L,разходи!$E:$E,'ПП Март'!$C$47,разходи!$M:$M,'ПП Март'!W2)</f>
        <v>0</v>
      </c>
      <c r="X47" s="70">
        <f>SUMIFS(разходи!$L:$L,разходи!$E:$E,'ПП Март'!$C$47,разходи!$M:$M,'ПП Март'!X2)</f>
        <v>0</v>
      </c>
      <c r="Y47" s="70">
        <f>SUMIFS(разходи!$L:$L,разходи!$E:$E,'ПП Март'!$C$47,разходи!$M:$M,'ПП Март'!Y2)</f>
        <v>0</v>
      </c>
      <c r="Z47" s="70">
        <f>SUMIFS(разходи!$L:$L,разходи!$E:$E,'ПП Март'!$C$47,разходи!$M:$M,'ПП Март'!Z2)</f>
        <v>0</v>
      </c>
      <c r="AA47" s="60">
        <f>SUMIFS(разходи!$L:$L,разходи!$E:$E,'ПП Март'!$C$47,разходи!$M:$M,'ПП Март'!AA2)</f>
        <v>0</v>
      </c>
      <c r="AB47" s="60">
        <f>SUMIFS(разходи!$L:$L,разходи!$E:$E,'ПП Март'!$C$47,разходи!$M:$M,'ПП Март'!AB2)</f>
        <v>0</v>
      </c>
      <c r="AC47" s="70">
        <f>SUMIFS(разходи!$L:$L,разходи!$E:$E,'ПП Март'!$C$47,разходи!$M:$M,'ПП Март'!AC2)</f>
        <v>0</v>
      </c>
      <c r="AD47" s="70">
        <f>SUMIFS(разходи!$L:$L,разходи!$E:$E,'ПП Март'!$C$47,разходи!$M:$M,'ПП Март'!AD2)</f>
        <v>0</v>
      </c>
      <c r="AE47" s="70">
        <f>SUMIFS(разходи!$L:$L,разходи!$E:$E,'ПП Март'!$C$47,разходи!$M:$M,'ПП Март'!AE2)</f>
        <v>0</v>
      </c>
      <c r="AF47" s="70">
        <f>SUMIFS(разходи!$L:$L,разходи!$E:$E,'ПП Март'!$C$47,разходи!$M:$M,'ПП Март'!AF2)</f>
        <v>0</v>
      </c>
      <c r="AG47" s="70">
        <f>SUMIFS(разходи!$L:$L,разходи!$E:$E,'ПП Март'!$C$47,разходи!$M:$M,'ПП Март'!AG2)</f>
        <v>0</v>
      </c>
      <c r="AH47" s="60">
        <f>SUMIFS(разходи!$L:$L,разходи!$E:$E,'ПП Март'!$C$47,разходи!$M:$M,'ПП Март'!AH2)</f>
        <v>0</v>
      </c>
      <c r="AI47" s="60">
        <f>SUMIFS(разходи!$L:$L,разходи!$E:$E,'ПП Март'!$C$47,разходи!$M:$M,'ПП Март'!AI2)</f>
        <v>0</v>
      </c>
      <c r="AJ47" s="61">
        <f t="shared" si="20"/>
        <v>0</v>
      </c>
      <c r="AK47" s="69">
        <f t="shared" si="21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68">
        <f>SUM(D49:D52)</f>
        <v>24558.912671999999</v>
      </c>
      <c r="E48" s="59">
        <f t="shared" ref="E48:AI48" si="25">SUM(E49:E52)</f>
        <v>0</v>
      </c>
      <c r="F48" s="60">
        <f t="shared" si="25"/>
        <v>0</v>
      </c>
      <c r="G48" s="60">
        <f t="shared" si="25"/>
        <v>0</v>
      </c>
      <c r="H48" s="60">
        <f t="shared" si="25"/>
        <v>0</v>
      </c>
      <c r="I48" s="70">
        <f t="shared" si="25"/>
        <v>0</v>
      </c>
      <c r="J48" s="70">
        <f t="shared" si="25"/>
        <v>0</v>
      </c>
      <c r="K48" s="70">
        <f t="shared" si="25"/>
        <v>0</v>
      </c>
      <c r="L48" s="70">
        <f t="shared" si="25"/>
        <v>0</v>
      </c>
      <c r="M48" s="60">
        <f t="shared" si="25"/>
        <v>0</v>
      </c>
      <c r="N48" s="60">
        <f t="shared" si="25"/>
        <v>7444.3</v>
      </c>
      <c r="O48" s="70">
        <f t="shared" si="25"/>
        <v>0</v>
      </c>
      <c r="P48" s="70">
        <f t="shared" si="25"/>
        <v>0</v>
      </c>
      <c r="Q48" s="70">
        <f t="shared" si="25"/>
        <v>0</v>
      </c>
      <c r="R48" s="70">
        <f t="shared" si="25"/>
        <v>0</v>
      </c>
      <c r="S48" s="70">
        <f t="shared" si="25"/>
        <v>0</v>
      </c>
      <c r="T48" s="60">
        <f t="shared" si="25"/>
        <v>0</v>
      </c>
      <c r="U48" s="60">
        <f t="shared" si="25"/>
        <v>0</v>
      </c>
      <c r="V48" s="70">
        <f t="shared" si="25"/>
        <v>1047.1500000000001</v>
      </c>
      <c r="W48" s="70">
        <f t="shared" si="25"/>
        <v>5083.67</v>
      </c>
      <c r="X48" s="70">
        <f t="shared" si="25"/>
        <v>0</v>
      </c>
      <c r="Y48" s="70">
        <f t="shared" si="25"/>
        <v>0</v>
      </c>
      <c r="Z48" s="70">
        <f t="shared" si="25"/>
        <v>0</v>
      </c>
      <c r="AA48" s="60">
        <f t="shared" si="25"/>
        <v>0</v>
      </c>
      <c r="AB48" s="60">
        <f t="shared" si="25"/>
        <v>0</v>
      </c>
      <c r="AC48" s="70">
        <f t="shared" si="25"/>
        <v>0</v>
      </c>
      <c r="AD48" s="70">
        <f t="shared" si="25"/>
        <v>0</v>
      </c>
      <c r="AE48" s="70">
        <f t="shared" si="25"/>
        <v>0</v>
      </c>
      <c r="AF48" s="70">
        <f t="shared" si="25"/>
        <v>0</v>
      </c>
      <c r="AG48" s="70">
        <f t="shared" si="25"/>
        <v>1643.1</v>
      </c>
      <c r="AH48" s="60">
        <f t="shared" si="25"/>
        <v>0</v>
      </c>
      <c r="AI48" s="60">
        <f t="shared" si="25"/>
        <v>0</v>
      </c>
      <c r="AJ48" s="61">
        <f t="shared" si="20"/>
        <v>15218.220000000001</v>
      </c>
      <c r="AK48" s="69">
        <f t="shared" si="21"/>
        <v>9340.6926719999974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68">
        <v>24558.912671999999</v>
      </c>
      <c r="E49" s="59">
        <f>SUMIFS(разходи!$L:$L,разходи!$E:$E,'ПП Март'!$C$49,разходи!$M:$M,'ПП Март'!E2)</f>
        <v>0</v>
      </c>
      <c r="F49" s="60">
        <f>SUMIFS(разходи!$L:$L,разходи!$E:$E,'ПП Март'!$C$49,разходи!$M:$M,'ПП Март'!F2)</f>
        <v>0</v>
      </c>
      <c r="G49" s="60">
        <f>SUMIFS(разходи!$L:$L,разходи!$E:$E,'ПП Март'!$C$49,разходи!$M:$M,'ПП Март'!G2)</f>
        <v>0</v>
      </c>
      <c r="H49" s="60">
        <f>SUMIFS(разходи!$L:$L,разходи!$E:$E,'ПП Март'!$C$49,разходи!$M:$M,'ПП Март'!H2)</f>
        <v>0</v>
      </c>
      <c r="I49" s="70">
        <f>SUMIFS(разходи!$L:$L,разходи!$E:$E,'ПП Март'!$C$49,разходи!$M:$M,'ПП Март'!I2)</f>
        <v>0</v>
      </c>
      <c r="J49" s="70">
        <f>SUMIFS(разходи!$L:$L,разходи!$E:$E,'ПП Март'!$C$49,разходи!$M:$M,'ПП Март'!J2)</f>
        <v>0</v>
      </c>
      <c r="K49" s="70">
        <f>SUMIFS(разходи!$L:$L,разходи!$E:$E,'ПП Март'!$C$49,разходи!$M:$M,'ПП Март'!K2)</f>
        <v>0</v>
      </c>
      <c r="L49" s="70">
        <f>SUMIFS(разходи!$L:$L,разходи!$E:$E,'ПП Март'!$C$49,разходи!$M:$M,'ПП Март'!L2)</f>
        <v>0</v>
      </c>
      <c r="M49" s="60">
        <f>SUMIFS(разходи!$L:$L,разходи!$E:$E,'ПП Март'!$C$49,разходи!$M:$M,'ПП Март'!M2)</f>
        <v>0</v>
      </c>
      <c r="N49" s="60">
        <f>SUMIFS(разходи!$L:$L,разходи!$E:$E,'ПП Март'!$C$49,разходи!$M:$M,'ПП Март'!N2)</f>
        <v>7444.3</v>
      </c>
      <c r="O49" s="70">
        <f>SUMIFS(разходи!$L:$L,разходи!$E:$E,'ПП Март'!$C$49,разходи!$M:$M,'ПП Март'!O2)</f>
        <v>0</v>
      </c>
      <c r="P49" s="70">
        <f>SUMIFS(разходи!$L:$L,разходи!$E:$E,'ПП Март'!$C$49,разходи!$M:$M,'ПП Март'!P2)</f>
        <v>0</v>
      </c>
      <c r="Q49" s="70">
        <f>SUMIFS(разходи!$L:$L,разходи!$E:$E,'ПП Март'!$C$49,разходи!$M:$M,'ПП Март'!Q2)</f>
        <v>0</v>
      </c>
      <c r="R49" s="70">
        <f>SUMIFS(разходи!$L:$L,разходи!$E:$E,'ПП Март'!$C$49,разходи!$M:$M,'ПП Март'!R2)</f>
        <v>0</v>
      </c>
      <c r="S49" s="70">
        <f>SUMIFS(разходи!$L:$L,разходи!$E:$E,'ПП Март'!$C$49,разходи!$M:$M,'ПП Март'!S2)</f>
        <v>0</v>
      </c>
      <c r="T49" s="60">
        <f>SUMIFS(разходи!$L:$L,разходи!$E:$E,'ПП Март'!$C$49,разходи!$M:$M,'ПП Март'!T2)</f>
        <v>0</v>
      </c>
      <c r="U49" s="60">
        <f>SUMIFS(разходи!$L:$L,разходи!$E:$E,'ПП Март'!$C$49,разходи!$M:$M,'ПП Март'!U2)</f>
        <v>0</v>
      </c>
      <c r="V49" s="70">
        <f>SUMIFS(разходи!$L:$L,разходи!$E:$E,'ПП Март'!$C$49,разходи!$M:$M,'ПП Март'!V2)</f>
        <v>0</v>
      </c>
      <c r="W49" s="70">
        <f>SUMIFS(разходи!$L:$L,разходи!$E:$E,'ПП Март'!$C$49,разходи!$M:$M,'ПП Март'!W2)</f>
        <v>0</v>
      </c>
      <c r="X49" s="70">
        <f>SUMIFS(разходи!$L:$L,разходи!$E:$E,'ПП Март'!$C$49,разходи!$M:$M,'ПП Март'!X2)</f>
        <v>0</v>
      </c>
      <c r="Y49" s="70">
        <f>SUMIFS(разходи!$L:$L,разходи!$E:$E,'ПП Март'!$C$49,разходи!$M:$M,'ПП Март'!Y2)</f>
        <v>0</v>
      </c>
      <c r="Z49" s="70">
        <f>SUMIFS(разходи!$L:$L,разходи!$E:$E,'ПП Март'!$C$49,разходи!$M:$M,'ПП Март'!Z2)</f>
        <v>0</v>
      </c>
      <c r="AA49" s="60">
        <f>SUMIFS(разходи!$L:$L,разходи!$E:$E,'ПП Март'!$C$49,разходи!$M:$M,'ПП Март'!AA2)</f>
        <v>0</v>
      </c>
      <c r="AB49" s="60">
        <f>SUMIFS(разходи!$L:$L,разходи!$E:$E,'ПП Март'!$C$49,разходи!$M:$M,'ПП Март'!AB2)</f>
        <v>0</v>
      </c>
      <c r="AC49" s="70">
        <f>SUMIFS(разходи!$L:$L,разходи!$E:$E,'ПП Март'!$C$49,разходи!$M:$M,'ПП Март'!AC2)</f>
        <v>0</v>
      </c>
      <c r="AD49" s="70">
        <f>SUMIFS(разходи!$L:$L,разходи!$E:$E,'ПП Март'!$C$49,разходи!$M:$M,'ПП Март'!AD2)</f>
        <v>0</v>
      </c>
      <c r="AE49" s="70">
        <f>SUMIFS(разходи!$L:$L,разходи!$E:$E,'ПП Март'!$C$49,разходи!$M:$M,'ПП Март'!AE2)</f>
        <v>0</v>
      </c>
      <c r="AF49" s="70">
        <f>SUMIFS(разходи!$L:$L,разходи!$E:$E,'ПП Март'!$C$49,разходи!$M:$M,'ПП Март'!AF2)</f>
        <v>0</v>
      </c>
      <c r="AG49" s="70">
        <f>SUMIFS(разходи!$L:$L,разходи!$E:$E,'ПП Март'!$C$49,разходи!$M:$M,'ПП Март'!AG2)</f>
        <v>821.65</v>
      </c>
      <c r="AH49" s="60">
        <f>SUMIFS(разходи!$L:$L,разходи!$E:$E,'ПП Март'!$C$49,разходи!$M:$M,'ПП Март'!AH2)</f>
        <v>0</v>
      </c>
      <c r="AI49" s="60">
        <f>SUMIFS(разходи!$L:$L,разходи!$E:$E,'ПП Март'!$C$49,разходи!$M:$M,'ПП Март'!AI2)</f>
        <v>0</v>
      </c>
      <c r="AJ49" s="61">
        <f t="shared" si="20"/>
        <v>8265.9500000000007</v>
      </c>
      <c r="AK49" s="69">
        <f t="shared" si="21"/>
        <v>16292.962671999998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68"/>
      <c r="E50" s="59">
        <f>SUMIFS(разходи!$L:$L,разходи!$E:$E,'ПП Март'!$C$50,разходи!$M:$M,'ПП Март'!E2)</f>
        <v>0</v>
      </c>
      <c r="F50" s="60">
        <f>SUMIFS(разходи!$L:$L,разходи!$E:$E,'ПП Март'!$C$50,разходи!$M:$M,'ПП Март'!F2)</f>
        <v>0</v>
      </c>
      <c r="G50" s="60">
        <f>SUMIFS(разходи!$L:$L,разходи!$E:$E,'ПП Март'!$C$50,разходи!$M:$M,'ПП Март'!G2)</f>
        <v>0</v>
      </c>
      <c r="H50" s="60">
        <f>SUMIFS(разходи!$L:$L,разходи!$E:$E,'ПП Март'!$C$50,разходи!$M:$M,'ПП Март'!H2)</f>
        <v>0</v>
      </c>
      <c r="I50" s="70">
        <f>SUMIFS(разходи!$L:$L,разходи!$E:$E,'ПП Март'!$C$50,разходи!$M:$M,'ПП Март'!I2)</f>
        <v>0</v>
      </c>
      <c r="J50" s="70">
        <f>SUMIFS(разходи!$L:$L,разходи!$E:$E,'ПП Март'!$C$50,разходи!$M:$M,'ПП Март'!J2)</f>
        <v>0</v>
      </c>
      <c r="K50" s="70">
        <f>SUMIFS(разходи!$L:$L,разходи!$E:$E,'ПП Март'!$C$50,разходи!$M:$M,'ПП Март'!K2)</f>
        <v>0</v>
      </c>
      <c r="L50" s="70">
        <f>SUMIFS(разходи!$L:$L,разходи!$E:$E,'ПП Март'!$C$50,разходи!$M:$M,'ПП Март'!L2)</f>
        <v>0</v>
      </c>
      <c r="M50" s="60">
        <f>SUMIFS(разходи!$L:$L,разходи!$E:$E,'ПП Март'!$C$50,разходи!$M:$M,'ПП Март'!M2)</f>
        <v>0</v>
      </c>
      <c r="N50" s="60">
        <f>SUMIFS(разходи!$L:$L,разходи!$E:$E,'ПП Март'!$C$50,разходи!$M:$M,'ПП Март'!N2)</f>
        <v>0</v>
      </c>
      <c r="O50" s="70">
        <f>SUMIFS(разходи!$L:$L,разходи!$E:$E,'ПП Март'!$C$50,разходи!$M:$M,'ПП Март'!O2)</f>
        <v>0</v>
      </c>
      <c r="P50" s="70">
        <f>SUMIFS(разходи!$L:$L,разходи!$E:$E,'ПП Март'!$C$50,разходи!$M:$M,'ПП Март'!P2)</f>
        <v>0</v>
      </c>
      <c r="Q50" s="70">
        <f>SUMIFS(разходи!$L:$L,разходи!$E:$E,'ПП Март'!$C$50,разходи!$M:$M,'ПП Март'!Q2)</f>
        <v>0</v>
      </c>
      <c r="R50" s="70">
        <f>SUMIFS(разходи!$L:$L,разходи!$E:$E,'ПП Март'!$C$50,разходи!$M:$M,'ПП Март'!R2)</f>
        <v>0</v>
      </c>
      <c r="S50" s="70">
        <f>SUMIFS(разходи!$L:$L,разходи!$E:$E,'ПП Март'!$C$50,разходи!$M:$M,'ПП Март'!S2)</f>
        <v>0</v>
      </c>
      <c r="T50" s="60">
        <f>SUMIFS(разходи!$L:$L,разходи!$E:$E,'ПП Март'!$C$50,разходи!$M:$M,'ПП Март'!T2)</f>
        <v>0</v>
      </c>
      <c r="U50" s="60">
        <f>SUMIFS(разходи!$L:$L,разходи!$E:$E,'ПП Март'!$C$50,разходи!$M:$M,'ПП Март'!U2)</f>
        <v>0</v>
      </c>
      <c r="V50" s="70">
        <f>SUMIFS(разходи!$L:$L,разходи!$E:$E,'ПП Март'!$C$50,разходи!$M:$M,'ПП Март'!V2)</f>
        <v>0</v>
      </c>
      <c r="W50" s="70">
        <f>SUMIFS(разходи!$L:$L,разходи!$E:$E,'ПП Март'!$C$50,разходи!$M:$M,'ПП Март'!W2)</f>
        <v>0</v>
      </c>
      <c r="X50" s="70">
        <f>SUMIFS(разходи!$L:$L,разходи!$E:$E,'ПП Март'!$C$50,разходи!$M:$M,'ПП Март'!X2)</f>
        <v>0</v>
      </c>
      <c r="Y50" s="70">
        <f>SUMIFS(разходи!$L:$L,разходи!$E:$E,'ПП Март'!$C$50,разходи!$M:$M,'ПП Март'!Y2)</f>
        <v>0</v>
      </c>
      <c r="Z50" s="70">
        <f>SUMIFS(разходи!$L:$L,разходи!$E:$E,'ПП Март'!$C$50,разходи!$M:$M,'ПП Март'!Z2)</f>
        <v>0</v>
      </c>
      <c r="AA50" s="60">
        <f>SUMIFS(разходи!$L:$L,разходи!$E:$E,'ПП Март'!$C$50,разходи!$M:$M,'ПП Март'!AA2)</f>
        <v>0</v>
      </c>
      <c r="AB50" s="60">
        <f>SUMIFS(разходи!$L:$L,разходи!$E:$E,'ПП Март'!$C$50,разходи!$M:$M,'ПП Март'!AB2)</f>
        <v>0</v>
      </c>
      <c r="AC50" s="70">
        <f>SUMIFS(разходи!$L:$L,разходи!$E:$E,'ПП Март'!$C$50,разходи!$M:$M,'ПП Март'!AC2)</f>
        <v>0</v>
      </c>
      <c r="AD50" s="70">
        <f>SUMIFS(разходи!$L:$L,разходи!$E:$E,'ПП Март'!$C$50,разходи!$M:$M,'ПП Март'!AD2)</f>
        <v>0</v>
      </c>
      <c r="AE50" s="70">
        <f>SUMIFS(разходи!$L:$L,разходи!$E:$E,'ПП Март'!$C$50,разходи!$M:$M,'ПП Март'!AE2)</f>
        <v>0</v>
      </c>
      <c r="AF50" s="70">
        <f>SUMIFS(разходи!$L:$L,разходи!$E:$E,'ПП Март'!$C$50,разходи!$M:$M,'ПП Март'!AF2)</f>
        <v>0</v>
      </c>
      <c r="AG50" s="70">
        <f>SUMIFS(разходи!$L:$L,разходи!$E:$E,'ПП Март'!$C$50,разходи!$M:$M,'ПП Март'!AG2)</f>
        <v>821.45</v>
      </c>
      <c r="AH50" s="60">
        <f>SUMIFS(разходи!$L:$L,разходи!$E:$E,'ПП Март'!$C$50,разходи!$M:$M,'ПП Март'!AH2)</f>
        <v>0</v>
      </c>
      <c r="AI50" s="60">
        <f>SUMIFS(разходи!$L:$L,разходи!$E:$E,'ПП Март'!$C$50,разходи!$M:$M,'ПП Март'!AI2)</f>
        <v>0</v>
      </c>
      <c r="AJ50" s="61">
        <f t="shared" si="20"/>
        <v>821.45</v>
      </c>
      <c r="AK50" s="69">
        <f t="shared" si="21"/>
        <v>-821.45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68"/>
      <c r="E51" s="59">
        <f>SUMIFS(разходи!$L:$L,разходи!$E:$E,'ПП Март'!$C$51,разходи!$M:$M,'ПП Март'!E2)</f>
        <v>0</v>
      </c>
      <c r="F51" s="60">
        <f>SUMIFS(разходи!$L:$L,разходи!$E:$E,'ПП Март'!$C$51,разходи!$M:$M,'ПП Март'!F2)</f>
        <v>0</v>
      </c>
      <c r="G51" s="60">
        <f>SUMIFS(разходи!$L:$L,разходи!$E:$E,'ПП Март'!$C$51,разходи!$M:$M,'ПП Март'!G2)</f>
        <v>0</v>
      </c>
      <c r="H51" s="60">
        <f>SUMIFS(разходи!$L:$L,разходи!$E:$E,'ПП Март'!$C$51,разходи!$M:$M,'ПП Март'!H2)</f>
        <v>0</v>
      </c>
      <c r="I51" s="70">
        <f>SUMIFS(разходи!$L:$L,разходи!$E:$E,'ПП Март'!$C$51,разходи!$M:$M,'ПП Март'!I2)</f>
        <v>0</v>
      </c>
      <c r="J51" s="70">
        <f>SUMIFS(разходи!$L:$L,разходи!$E:$E,'ПП Март'!$C$51,разходи!$M:$M,'ПП Март'!J2)</f>
        <v>0</v>
      </c>
      <c r="K51" s="70">
        <f>SUMIFS(разходи!$L:$L,разходи!$E:$E,'ПП Март'!$C$51,разходи!$M:$M,'ПП Март'!K2)</f>
        <v>0</v>
      </c>
      <c r="L51" s="70">
        <f>SUMIFS(разходи!$L:$L,разходи!$E:$E,'ПП Март'!$C$51,разходи!$M:$M,'ПП Март'!L2)</f>
        <v>0</v>
      </c>
      <c r="M51" s="60">
        <f>SUMIFS(разходи!$L:$L,разходи!$E:$E,'ПП Март'!$C$51,разходи!$M:$M,'ПП Март'!M2)</f>
        <v>0</v>
      </c>
      <c r="N51" s="60">
        <f>SUMIFS(разходи!$L:$L,разходи!$E:$E,'ПП Март'!$C$51,разходи!$M:$M,'ПП Март'!N2)</f>
        <v>0</v>
      </c>
      <c r="O51" s="70">
        <f>SUMIFS(разходи!$L:$L,разходи!$E:$E,'ПП Март'!$C$51,разходи!$M:$M,'ПП Март'!O2)</f>
        <v>0</v>
      </c>
      <c r="P51" s="70">
        <f>SUMIFS(разходи!$L:$L,разходи!$E:$E,'ПП Март'!$C$51,разходи!$M:$M,'ПП Март'!P2)</f>
        <v>0</v>
      </c>
      <c r="Q51" s="70">
        <f>SUMIFS(разходи!$L:$L,разходи!$E:$E,'ПП Март'!$C$51,разходи!$M:$M,'ПП Март'!Q2)</f>
        <v>0</v>
      </c>
      <c r="R51" s="70">
        <f>SUMIFS(разходи!$L:$L,разходи!$E:$E,'ПП Март'!$C$51,разходи!$M:$M,'ПП Март'!R2)</f>
        <v>0</v>
      </c>
      <c r="S51" s="70">
        <f>SUMIFS(разходи!$L:$L,разходи!$E:$E,'ПП Март'!$C$51,разходи!$M:$M,'ПП Март'!S2)</f>
        <v>0</v>
      </c>
      <c r="T51" s="60">
        <f>SUMIFS(разходи!$L:$L,разходи!$E:$E,'ПП Март'!$C$51,разходи!$M:$M,'ПП Март'!T2)</f>
        <v>0</v>
      </c>
      <c r="U51" s="60">
        <f>SUMIFS(разходи!$L:$L,разходи!$E:$E,'ПП Март'!$C$51,разходи!$M:$M,'ПП Март'!U2)</f>
        <v>0</v>
      </c>
      <c r="V51" s="70">
        <f>SUMIFS(разходи!$L:$L,разходи!$E:$E,'ПП Март'!$C$51,разходи!$M:$M,'ПП Март'!V2)</f>
        <v>1047.1500000000001</v>
      </c>
      <c r="W51" s="70">
        <f>SUMIFS(разходи!$L:$L,разходи!$E:$E,'ПП Март'!$C$51,разходи!$M:$M,'ПП Март'!W2)</f>
        <v>5083.67</v>
      </c>
      <c r="X51" s="70">
        <f>SUMIFS(разходи!$L:$L,разходи!$E:$E,'ПП Март'!$C$51,разходи!$M:$M,'ПП Март'!X2)</f>
        <v>0</v>
      </c>
      <c r="Y51" s="70">
        <f>SUMIFS(разходи!$L:$L,разходи!$E:$E,'ПП Март'!$C$51,разходи!$M:$M,'ПП Март'!Y2)</f>
        <v>0</v>
      </c>
      <c r="Z51" s="70">
        <f>SUMIFS(разходи!$L:$L,разходи!$E:$E,'ПП Март'!$C$51,разходи!$M:$M,'ПП Март'!Z2)</f>
        <v>0</v>
      </c>
      <c r="AA51" s="60">
        <f>SUMIFS(разходи!$L:$L,разходи!$E:$E,'ПП Март'!$C$51,разходи!$M:$M,'ПП Март'!AA2)</f>
        <v>0</v>
      </c>
      <c r="AB51" s="60">
        <f>SUMIFS(разходи!$L:$L,разходи!$E:$E,'ПП Март'!$C$51,разходи!$M:$M,'ПП Март'!AB2)</f>
        <v>0</v>
      </c>
      <c r="AC51" s="70">
        <f>SUMIFS(разходи!$L:$L,разходи!$E:$E,'ПП Март'!$C$51,разходи!$M:$M,'ПП Март'!AC2)</f>
        <v>0</v>
      </c>
      <c r="AD51" s="70">
        <f>SUMIFS(разходи!$L:$L,разходи!$E:$E,'ПП Март'!$C$51,разходи!$M:$M,'ПП Март'!AD2)</f>
        <v>0</v>
      </c>
      <c r="AE51" s="70">
        <f>SUMIFS(разходи!$L:$L,разходи!$E:$E,'ПП Март'!$C$51,разходи!$M:$M,'ПП Март'!AE2)</f>
        <v>0</v>
      </c>
      <c r="AF51" s="70">
        <f>SUMIFS(разходи!$L:$L,разходи!$E:$E,'ПП Март'!$C$51,разходи!$M:$M,'ПП Март'!AF2)</f>
        <v>0</v>
      </c>
      <c r="AG51" s="70">
        <f>SUMIFS(разходи!$L:$L,разходи!$E:$E,'ПП Март'!$C$51,разходи!$M:$M,'ПП Март'!AG2)</f>
        <v>0</v>
      </c>
      <c r="AH51" s="60">
        <f>SUMIFS(разходи!$L:$L,разходи!$E:$E,'ПП Март'!$C$51,разходи!$M:$M,'ПП Март'!AH2)</f>
        <v>0</v>
      </c>
      <c r="AI51" s="60">
        <f>SUMIFS(разходи!$L:$L,разходи!$E:$E,'ПП Март'!$C$51,разходи!$M:$M,'ПП Март'!AI2)</f>
        <v>0</v>
      </c>
      <c r="AJ51" s="61">
        <f t="shared" si="20"/>
        <v>6130.82</v>
      </c>
      <c r="AK51" s="69">
        <f t="shared" si="21"/>
        <v>-6130.82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68"/>
      <c r="E52" s="59">
        <f>SUMIFS(разходи!$L:$L,разходи!$E:$E,'ПП Март'!$C$52,разходи!$M:$M,'ПП Март'!E2)</f>
        <v>0</v>
      </c>
      <c r="F52" s="60">
        <f>SUMIFS(разходи!$L:$L,разходи!$E:$E,'ПП Март'!$C$52,разходи!$M:$M,'ПП Март'!F2)</f>
        <v>0</v>
      </c>
      <c r="G52" s="60">
        <f>SUMIFS(разходи!$L:$L,разходи!$E:$E,'ПП Март'!$C$52,разходи!$M:$M,'ПП Март'!G2)</f>
        <v>0</v>
      </c>
      <c r="H52" s="60">
        <f>SUMIFS(разходи!$L:$L,разходи!$E:$E,'ПП Март'!$C$52,разходи!$M:$M,'ПП Март'!H2)</f>
        <v>0</v>
      </c>
      <c r="I52" s="70">
        <f>SUMIFS(разходи!$L:$L,разходи!$E:$E,'ПП Март'!$C$52,разходи!$M:$M,'ПП Март'!I2)</f>
        <v>0</v>
      </c>
      <c r="J52" s="70">
        <f>SUMIFS(разходи!$L:$L,разходи!$E:$E,'ПП Март'!$C$52,разходи!$M:$M,'ПП Март'!J2)</f>
        <v>0</v>
      </c>
      <c r="K52" s="70">
        <f>SUMIFS(разходи!$L:$L,разходи!$E:$E,'ПП Март'!$C$52,разходи!$M:$M,'ПП Март'!K2)</f>
        <v>0</v>
      </c>
      <c r="L52" s="70">
        <f>SUMIFS(разходи!$L:$L,разходи!$E:$E,'ПП Март'!$C$52,разходи!$M:$M,'ПП Март'!L2)</f>
        <v>0</v>
      </c>
      <c r="M52" s="60">
        <f>SUMIFS(разходи!$L:$L,разходи!$E:$E,'ПП Март'!$C$52,разходи!$M:$M,'ПП Март'!M2)</f>
        <v>0</v>
      </c>
      <c r="N52" s="60">
        <f>SUMIFS(разходи!$L:$L,разходи!$E:$E,'ПП Март'!$C$52,разходи!$M:$M,'ПП Март'!N2)</f>
        <v>0</v>
      </c>
      <c r="O52" s="70">
        <f>SUMIFS(разходи!$L:$L,разходи!$E:$E,'ПП Март'!$C$52,разходи!$M:$M,'ПП Март'!O2)</f>
        <v>0</v>
      </c>
      <c r="P52" s="70">
        <f>SUMIFS(разходи!$L:$L,разходи!$E:$E,'ПП Март'!$C$52,разходи!$M:$M,'ПП Март'!P2)</f>
        <v>0</v>
      </c>
      <c r="Q52" s="70">
        <f>SUMIFS(разходи!$L:$L,разходи!$E:$E,'ПП Март'!$C$52,разходи!$M:$M,'ПП Март'!Q2)</f>
        <v>0</v>
      </c>
      <c r="R52" s="70">
        <f>SUMIFS(разходи!$L:$L,разходи!$E:$E,'ПП Март'!$C$52,разходи!$M:$M,'ПП Март'!R2)</f>
        <v>0</v>
      </c>
      <c r="S52" s="70">
        <f>SUMIFS(разходи!$L:$L,разходи!$E:$E,'ПП Март'!$C$52,разходи!$M:$M,'ПП Март'!S2)</f>
        <v>0</v>
      </c>
      <c r="T52" s="60">
        <f>SUMIFS(разходи!$L:$L,разходи!$E:$E,'ПП Март'!$C$52,разходи!$M:$M,'ПП Март'!T2)</f>
        <v>0</v>
      </c>
      <c r="U52" s="60">
        <f>SUMIFS(разходи!$L:$L,разходи!$E:$E,'ПП Март'!$C$52,разходи!$M:$M,'ПП Март'!U2)</f>
        <v>0</v>
      </c>
      <c r="V52" s="70">
        <f>SUMIFS(разходи!$L:$L,разходи!$E:$E,'ПП Март'!$C$52,разходи!$M:$M,'ПП Март'!V2)</f>
        <v>0</v>
      </c>
      <c r="W52" s="70">
        <f>SUMIFS(разходи!$L:$L,разходи!$E:$E,'ПП Март'!$C$52,разходи!$M:$M,'ПП Март'!W2)</f>
        <v>0</v>
      </c>
      <c r="X52" s="70">
        <f>SUMIFS(разходи!$L:$L,разходи!$E:$E,'ПП Март'!$C$52,разходи!$M:$M,'ПП Март'!X2)</f>
        <v>0</v>
      </c>
      <c r="Y52" s="70">
        <f>SUMIFS(разходи!$L:$L,разходи!$E:$E,'ПП Март'!$C$52,разходи!$M:$M,'ПП Март'!Y2)</f>
        <v>0</v>
      </c>
      <c r="Z52" s="70">
        <f>SUMIFS(разходи!$L:$L,разходи!$E:$E,'ПП Март'!$C$52,разходи!$M:$M,'ПП Март'!Z2)</f>
        <v>0</v>
      </c>
      <c r="AA52" s="60">
        <f>SUMIFS(разходи!$L:$L,разходи!$E:$E,'ПП Март'!$C$52,разходи!$M:$M,'ПП Март'!AA2)</f>
        <v>0</v>
      </c>
      <c r="AB52" s="60">
        <f>SUMIFS(разходи!$L:$L,разходи!$E:$E,'ПП Март'!$C$52,разходи!$M:$M,'ПП Март'!AB2)</f>
        <v>0</v>
      </c>
      <c r="AC52" s="70">
        <f>SUMIFS(разходи!$L:$L,разходи!$E:$E,'ПП Март'!$C$52,разходи!$M:$M,'ПП Март'!AC2)</f>
        <v>0</v>
      </c>
      <c r="AD52" s="70">
        <f>SUMIFS(разходи!$L:$L,разходи!$E:$E,'ПП Март'!$C$52,разходи!$M:$M,'ПП Март'!AD2)</f>
        <v>0</v>
      </c>
      <c r="AE52" s="70">
        <f>SUMIFS(разходи!$L:$L,разходи!$E:$E,'ПП Март'!$C$52,разходи!$M:$M,'ПП Март'!AE2)</f>
        <v>0</v>
      </c>
      <c r="AF52" s="70">
        <f>SUMIFS(разходи!$L:$L,разходи!$E:$E,'ПП Март'!$C$52,разходи!$M:$M,'ПП Март'!AF2)</f>
        <v>0</v>
      </c>
      <c r="AG52" s="70">
        <f>SUMIFS(разходи!$L:$L,разходи!$E:$E,'ПП Март'!$C$52,разходи!$M:$M,'ПП Март'!AG2)</f>
        <v>0</v>
      </c>
      <c r="AH52" s="60">
        <f>SUMIFS(разходи!$L:$L,разходи!$E:$E,'ПП Март'!$C$52,разходи!$M:$M,'ПП Март'!AH2)</f>
        <v>0</v>
      </c>
      <c r="AI52" s="60">
        <f>SUMIFS(разходи!$L:$L,разходи!$E:$E,'ПП Март'!$C$52,разходи!$M:$M,'ПП Март'!AI2)</f>
        <v>0</v>
      </c>
      <c r="AJ52" s="61">
        <f t="shared" si="20"/>
        <v>0</v>
      </c>
      <c r="AK52" s="69">
        <f t="shared" si="21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68">
        <f>SUM(D54:D55)</f>
        <v>5000</v>
      </c>
      <c r="E53" s="59">
        <f>SUMIFS(разходи!$L:$L,разходи!$E:$E,'ПП Март'!$C$57,разходи!$M:$M,'ПП Март'!E2)</f>
        <v>0</v>
      </c>
      <c r="F53" s="60">
        <f>SUMIFS(разходи!$L:$L,разходи!$E:$E,'ПП Март'!$C$57,разходи!$M:$M,'ПП Март'!F2)</f>
        <v>0</v>
      </c>
      <c r="G53" s="60">
        <f>SUMIFS(разходи!$L:$L,разходи!$E:$E,'ПП Март'!$C$57,разходи!$M:$M,'ПП Март'!G2)</f>
        <v>0</v>
      </c>
      <c r="H53" s="60">
        <f>SUMIFS(разходи!$L:$L,разходи!$E:$E,'ПП Март'!$C$57,разходи!$M:$M,'ПП Март'!H2)</f>
        <v>0</v>
      </c>
      <c r="I53" s="70">
        <f>SUMIFS(разходи!$L:$L,разходи!$E:$E,'ПП Март'!$C$57,разходи!$M:$M,'ПП Март'!I2)</f>
        <v>0</v>
      </c>
      <c r="J53" s="70">
        <f>SUMIFS(разходи!$L:$L,разходи!$E:$E,'ПП Март'!$C$57,разходи!$M:$M,'ПП Март'!J2)</f>
        <v>0</v>
      </c>
      <c r="K53" s="70">
        <f>SUMIFS(разходи!$L:$L,разходи!$E:$E,'ПП Март'!$C$57,разходи!$M:$M,'ПП Март'!K2)</f>
        <v>0</v>
      </c>
      <c r="L53" s="70">
        <f>SUMIFS(разходи!$L:$L,разходи!$E:$E,'ПП Март'!$C$57,разходи!$M:$M,'ПП Март'!L2)</f>
        <v>0</v>
      </c>
      <c r="M53" s="60">
        <f>SUMIFS(разходи!$L:$L,разходи!$E:$E,'ПП Март'!$C$57,разходи!$M:$M,'ПП Март'!M2)</f>
        <v>0</v>
      </c>
      <c r="N53" s="60">
        <f>SUMIFS(разходи!$L:$L,разходи!$E:$E,'ПП Март'!$C$57,разходи!$M:$M,'ПП Март'!N2)</f>
        <v>0</v>
      </c>
      <c r="O53" s="70">
        <f>SUMIFS(разходи!$L:$L,разходи!$E:$E,'ПП Март'!$C$57,разходи!$M:$M,'ПП Март'!O2)</f>
        <v>0</v>
      </c>
      <c r="P53" s="70">
        <f>SUMIFS(разходи!$L:$L,разходи!$E:$E,'ПП Март'!$C$57,разходи!$M:$M,'ПП Март'!P2)</f>
        <v>0</v>
      </c>
      <c r="Q53" s="70">
        <f>SUMIFS(разходи!$L:$L,разходи!$E:$E,'ПП Март'!$C$57,разходи!$M:$M,'ПП Март'!Q2)</f>
        <v>0</v>
      </c>
      <c r="R53" s="70">
        <f>SUMIFS(разходи!$L:$L,разходи!$E:$E,'ПП Март'!$C$57,разходи!$M:$M,'ПП Март'!R2)</f>
        <v>0</v>
      </c>
      <c r="S53" s="70">
        <f>SUMIFS(разходи!$L:$L,разходи!$E:$E,'ПП Март'!$C$57,разходи!$M:$M,'ПП Март'!S2)</f>
        <v>0</v>
      </c>
      <c r="T53" s="60">
        <f>SUMIFS(разходи!$L:$L,разходи!$E:$E,'ПП Март'!$C$57,разходи!$M:$M,'ПП Март'!T2)</f>
        <v>0</v>
      </c>
      <c r="U53" s="60">
        <f>SUMIFS(разходи!$L:$L,разходи!$E:$E,'ПП Март'!$C$57,разходи!$M:$M,'ПП Март'!U2)</f>
        <v>0</v>
      </c>
      <c r="V53" s="70">
        <f>SUMIFS(разходи!$L:$L,разходи!$E:$E,'ПП Март'!$C$57,разходи!$M:$M,'ПП Март'!V2)</f>
        <v>0</v>
      </c>
      <c r="W53" s="70">
        <f>SUMIFS(разходи!$L:$L,разходи!$E:$E,'ПП Март'!$C$57,разходи!$M:$M,'ПП Март'!W2)</f>
        <v>0</v>
      </c>
      <c r="X53" s="70">
        <f>SUMIFS(разходи!$L:$L,разходи!$E:$E,'ПП Март'!$C$57,разходи!$M:$M,'ПП Март'!X2)</f>
        <v>0</v>
      </c>
      <c r="Y53" s="70">
        <f>SUMIFS(разходи!$L:$L,разходи!$E:$E,'ПП Март'!$C$57,разходи!$M:$M,'ПП Март'!Y2)</f>
        <v>0</v>
      </c>
      <c r="Z53" s="70">
        <f>SUMIFS(разходи!$L:$L,разходи!$E:$E,'ПП Март'!$C$57,разходи!$M:$M,'ПП Март'!Z2)</f>
        <v>0</v>
      </c>
      <c r="AA53" s="60">
        <f>SUMIFS(разходи!$L:$L,разходи!$E:$E,'ПП Март'!$C$57,разходи!$M:$M,'ПП Март'!AA2)</f>
        <v>0</v>
      </c>
      <c r="AB53" s="60">
        <f>SUMIFS(разходи!$L:$L,разходи!$E:$E,'ПП Март'!$C$57,разходи!$M:$M,'ПП Март'!AB2)</f>
        <v>0</v>
      </c>
      <c r="AC53" s="70">
        <f>SUMIFS(разходи!$L:$L,разходи!$E:$E,'ПП Март'!$C$57,разходи!$M:$M,'ПП Март'!AC2)</f>
        <v>0</v>
      </c>
      <c r="AD53" s="70">
        <f>SUMIFS(разходи!$L:$L,разходи!$E:$E,'ПП Март'!$C$57,разходи!$M:$M,'ПП Март'!AD2)</f>
        <v>0</v>
      </c>
      <c r="AE53" s="70">
        <f>SUMIFS(разходи!$L:$L,разходи!$E:$E,'ПП Март'!$C$57,разходи!$M:$M,'ПП Март'!AE2)</f>
        <v>0</v>
      </c>
      <c r="AF53" s="70">
        <f>SUMIFS(разходи!$L:$L,разходи!$E:$E,'ПП Март'!$C$57,разходи!$M:$M,'ПП Март'!AF2)</f>
        <v>0</v>
      </c>
      <c r="AG53" s="70">
        <f>SUMIFS(разходи!$L:$L,разходи!$E:$E,'ПП Март'!$C$57,разходи!$M:$M,'ПП Март'!AG2)</f>
        <v>0</v>
      </c>
      <c r="AH53" s="60">
        <f>SUMIFS(разходи!$L:$L,разходи!$E:$E,'ПП Март'!$C$57,разходи!$M:$M,'ПП Март'!AH2)</f>
        <v>0</v>
      </c>
      <c r="AI53" s="60">
        <f>SUMIFS(разходи!$L:$L,разходи!$E:$E,'ПП Март'!$C$57,разходи!$M:$M,'ПП Март'!AI2)</f>
        <v>0</v>
      </c>
      <c r="AJ53" s="61">
        <f t="shared" si="20"/>
        <v>0</v>
      </c>
      <c r="AK53" s="69">
        <f t="shared" si="21"/>
        <v>5000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68"/>
      <c r="E54" s="59">
        <f>SUMIFS(разходи!$L:$L,разходи!$E:$E,'ПП Март'!$C$54,разходи!$M:$M,'ПП Март'!E2)</f>
        <v>0</v>
      </c>
      <c r="F54" s="60">
        <f>SUMIFS(разходи!$L:$L,разходи!$E:$E,'ПП Март'!$C$54,разходи!$M:$M,'ПП Март'!F2)</f>
        <v>0</v>
      </c>
      <c r="G54" s="60">
        <f>SUMIFS(разходи!$L:$L,разходи!$E:$E,'ПП Март'!$C$54,разходи!$M:$M,'ПП Март'!G2)</f>
        <v>0</v>
      </c>
      <c r="H54" s="60">
        <f>SUMIFS(разходи!$L:$L,разходи!$E:$E,'ПП Март'!$C$54,разходи!$M:$M,'ПП Март'!H2)</f>
        <v>0</v>
      </c>
      <c r="I54" s="70">
        <f>SUMIFS(разходи!$L:$L,разходи!$E:$E,'ПП Март'!$C$54,разходи!$M:$M,'ПП Март'!I2)</f>
        <v>0</v>
      </c>
      <c r="J54" s="70">
        <f>SUMIFS(разходи!$L:$L,разходи!$E:$E,'ПП Март'!$C$54,разходи!$M:$M,'ПП Март'!J2)</f>
        <v>0</v>
      </c>
      <c r="K54" s="70">
        <f>SUMIFS(разходи!$L:$L,разходи!$E:$E,'ПП Март'!$C$54,разходи!$M:$M,'ПП Март'!K2)</f>
        <v>0</v>
      </c>
      <c r="L54" s="70">
        <f>SUMIFS(разходи!$L:$L,разходи!$E:$E,'ПП Март'!$C$54,разходи!$M:$M,'ПП Март'!L2)</f>
        <v>0</v>
      </c>
      <c r="M54" s="60">
        <f>SUMIFS(разходи!$L:$L,разходи!$E:$E,'ПП Март'!$C$54,разходи!$M:$M,'ПП Март'!M2)</f>
        <v>0</v>
      </c>
      <c r="N54" s="60">
        <f>SUMIFS(разходи!$L:$L,разходи!$E:$E,'ПП Март'!$C$54,разходи!$M:$M,'ПП Март'!N2)</f>
        <v>0</v>
      </c>
      <c r="O54" s="70">
        <f>SUMIFS(разходи!$L:$L,разходи!$E:$E,'ПП Март'!$C$54,разходи!$M:$M,'ПП Март'!O2)</f>
        <v>0</v>
      </c>
      <c r="P54" s="70">
        <f>SUMIFS(разходи!$L:$L,разходи!$E:$E,'ПП Март'!$C$54,разходи!$M:$M,'ПП Март'!P2)</f>
        <v>0</v>
      </c>
      <c r="Q54" s="70">
        <f>SUMIFS(разходи!$L:$L,разходи!$E:$E,'ПП Март'!$C$54,разходи!$M:$M,'ПП Март'!Q2)</f>
        <v>0</v>
      </c>
      <c r="R54" s="70">
        <f>SUMIFS(разходи!$L:$L,разходи!$E:$E,'ПП Март'!$C$54,разходи!$M:$M,'ПП Март'!R2)</f>
        <v>0</v>
      </c>
      <c r="S54" s="70">
        <f>SUMIFS(разходи!$L:$L,разходи!$E:$E,'ПП Март'!$C$54,разходи!$M:$M,'ПП Март'!S2)</f>
        <v>0</v>
      </c>
      <c r="T54" s="60">
        <f>SUMIFS(разходи!$L:$L,разходи!$E:$E,'ПП Март'!$C$54,разходи!$M:$M,'ПП Март'!T2)</f>
        <v>0</v>
      </c>
      <c r="U54" s="60">
        <f>SUMIFS(разходи!$L:$L,разходи!$E:$E,'ПП Март'!$C$54,разходи!$M:$M,'ПП Март'!U2)</f>
        <v>0</v>
      </c>
      <c r="V54" s="70">
        <f>SUMIFS(разходи!$L:$L,разходи!$E:$E,'ПП Март'!$C$54,разходи!$M:$M,'ПП Март'!V2)</f>
        <v>0</v>
      </c>
      <c r="W54" s="70">
        <f>SUMIFS(разходи!$L:$L,разходи!$E:$E,'ПП Март'!$C$54,разходи!$M:$M,'ПП Март'!W2)</f>
        <v>0</v>
      </c>
      <c r="X54" s="70">
        <f>SUMIFS(разходи!$L:$L,разходи!$E:$E,'ПП Март'!$C$54,разходи!$M:$M,'ПП Март'!X2)</f>
        <v>0</v>
      </c>
      <c r="Y54" s="70">
        <f>SUMIFS(разходи!$L:$L,разходи!$E:$E,'ПП Март'!$C$54,разходи!$M:$M,'ПП Март'!Y2)</f>
        <v>0</v>
      </c>
      <c r="Z54" s="70">
        <f>SUMIFS(разходи!$L:$L,разходи!$E:$E,'ПП Март'!$C$54,разходи!$M:$M,'ПП Март'!Z2)</f>
        <v>0</v>
      </c>
      <c r="AA54" s="60">
        <f>SUMIFS(разходи!$L:$L,разходи!$E:$E,'ПП Март'!$C$54,разходи!$M:$M,'ПП Март'!AA2)</f>
        <v>0</v>
      </c>
      <c r="AB54" s="60">
        <f>SUMIFS(разходи!$L:$L,разходи!$E:$E,'ПП Март'!$C$54,разходи!$M:$M,'ПП Март'!AB2)</f>
        <v>0</v>
      </c>
      <c r="AC54" s="70">
        <f>SUMIFS(разходи!$L:$L,разходи!$E:$E,'ПП Март'!$C$54,разходи!$M:$M,'ПП Март'!AC2)</f>
        <v>0</v>
      </c>
      <c r="AD54" s="70">
        <f>SUMIFS(разходи!$L:$L,разходи!$E:$E,'ПП Март'!$C$54,разходи!$M:$M,'ПП Март'!AD2)</f>
        <v>0</v>
      </c>
      <c r="AE54" s="70">
        <f>SUMIFS(разходи!$L:$L,разходи!$E:$E,'ПП Март'!$C$54,разходи!$M:$M,'ПП Март'!AE2)</f>
        <v>0</v>
      </c>
      <c r="AF54" s="70">
        <f>SUMIFS(разходи!$L:$L,разходи!$E:$E,'ПП Март'!$C$54,разходи!$M:$M,'ПП Март'!AF2)</f>
        <v>0</v>
      </c>
      <c r="AG54" s="70">
        <f>SUMIFS(разходи!$L:$L,разходи!$E:$E,'ПП Март'!$C$54,разходи!$M:$M,'ПП Март'!AG2)</f>
        <v>0</v>
      </c>
      <c r="AH54" s="60">
        <f>SUMIFS(разходи!$L:$L,разходи!$E:$E,'ПП Март'!$C$54,разходи!$M:$M,'ПП Март'!AH2)</f>
        <v>0</v>
      </c>
      <c r="AI54" s="60">
        <f>SUMIFS(разходи!$L:$L,разходи!$E:$E,'ПП Март'!$C$54,разходи!$M:$M,'ПП Март'!AI2)</f>
        <v>0</v>
      </c>
      <c r="AJ54" s="61">
        <f t="shared" si="20"/>
        <v>0</v>
      </c>
      <c r="AK54" s="69">
        <f t="shared" si="21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68">
        <v>5000</v>
      </c>
      <c r="E55" s="59">
        <f>SUMIFS(разходи!$L:$L,разходи!$E:$E,'ПП Март'!$C$55,разходи!$M:$M,'ПП Март'!E2)</f>
        <v>0</v>
      </c>
      <c r="F55" s="60">
        <f>SUMIFS(разходи!$L:$L,разходи!$E:$E,'ПП Март'!$C$55,разходи!$M:$M,'ПП Март'!F2)</f>
        <v>0</v>
      </c>
      <c r="G55" s="60">
        <f>SUMIFS(разходи!$L:$L,разходи!$E:$E,'ПП Март'!$C$55,разходи!$M:$M,'ПП Март'!G2)</f>
        <v>0</v>
      </c>
      <c r="H55" s="60">
        <f>SUMIFS(разходи!$L:$L,разходи!$E:$E,'ПП Март'!$C$55,разходи!$M:$M,'ПП Март'!H2)</f>
        <v>0</v>
      </c>
      <c r="I55" s="70">
        <f>SUMIFS(разходи!$L:$L,разходи!$E:$E,'ПП Март'!$C$55,разходи!$M:$M,'ПП Март'!I2)</f>
        <v>0</v>
      </c>
      <c r="J55" s="70">
        <f>SUMIFS(разходи!$L:$L,разходи!$E:$E,'ПП Март'!$C$55,разходи!$M:$M,'ПП Март'!J2)</f>
        <v>0</v>
      </c>
      <c r="K55" s="70">
        <f>SUMIFS(разходи!$L:$L,разходи!$E:$E,'ПП Март'!$C$55,разходи!$M:$M,'ПП Март'!K2)</f>
        <v>0</v>
      </c>
      <c r="L55" s="70">
        <f>SUMIFS(разходи!$L:$L,разходи!$E:$E,'ПП Март'!$C$55,разходи!$M:$M,'ПП Март'!L2)</f>
        <v>0</v>
      </c>
      <c r="M55" s="60">
        <f>SUMIFS(разходи!$L:$L,разходи!$E:$E,'ПП Март'!$C$55,разходи!$M:$M,'ПП Март'!M2)</f>
        <v>0</v>
      </c>
      <c r="N55" s="60">
        <f>SUMIFS(разходи!$L:$L,разходи!$E:$E,'ПП Март'!$C$55,разходи!$M:$M,'ПП Март'!N2)</f>
        <v>0</v>
      </c>
      <c r="O55" s="70">
        <f>SUMIFS(разходи!$L:$L,разходи!$E:$E,'ПП Март'!$C$55,разходи!$M:$M,'ПП Март'!O2)</f>
        <v>0</v>
      </c>
      <c r="P55" s="70">
        <f>SUMIFS(разходи!$L:$L,разходи!$E:$E,'ПП Март'!$C$55,разходи!$M:$M,'ПП Март'!P2)</f>
        <v>3327.41</v>
      </c>
      <c r="Q55" s="70">
        <f>SUMIFS(разходи!$L:$L,разходи!$E:$E,'ПП Март'!$C$55,разходи!$M:$M,'ПП Март'!Q2)</f>
        <v>0</v>
      </c>
      <c r="R55" s="70">
        <f>SUMIFS(разходи!$L:$L,разходи!$E:$E,'ПП Март'!$C$55,разходи!$M:$M,'ПП Март'!R2)</f>
        <v>0</v>
      </c>
      <c r="S55" s="70">
        <f>SUMIFS(разходи!$L:$L,разходи!$E:$E,'ПП Март'!$C$55,разходи!$M:$M,'ПП Март'!S2)</f>
        <v>0</v>
      </c>
      <c r="T55" s="60">
        <f>SUMIFS(разходи!$L:$L,разходи!$E:$E,'ПП Март'!$C$55,разходи!$M:$M,'ПП Март'!T2)</f>
        <v>0</v>
      </c>
      <c r="U55" s="60">
        <f>SUMIFS(разходи!$L:$L,разходи!$E:$E,'ПП Март'!$C$55,разходи!$M:$M,'ПП Март'!U2)</f>
        <v>0</v>
      </c>
      <c r="V55" s="70">
        <f>SUMIFS(разходи!$L:$L,разходи!$E:$E,'ПП Март'!$C$55,разходи!$M:$M,'ПП Март'!V2)</f>
        <v>3327.41</v>
      </c>
      <c r="W55" s="70">
        <f>SUMIFS(разходи!$L:$L,разходи!$E:$E,'ПП Март'!$C$55,разходи!$M:$M,'ПП Март'!W2)</f>
        <v>0</v>
      </c>
      <c r="X55" s="70">
        <f>SUMIFS(разходи!$L:$L,разходи!$E:$E,'ПП Март'!$C$55,разходи!$M:$M,'ПП Март'!X2)</f>
        <v>3000.73</v>
      </c>
      <c r="Y55" s="70">
        <f>SUMIFS(разходи!$L:$L,разходи!$E:$E,'ПП Март'!$C$55,разходи!$M:$M,'ПП Март'!Y2)</f>
        <v>0</v>
      </c>
      <c r="Z55" s="70">
        <f>SUMIFS(разходи!$L:$L,разходи!$E:$E,'ПП Март'!$C$55,разходи!$M:$M,'ПП Март'!Z2)</f>
        <v>0</v>
      </c>
      <c r="AA55" s="60">
        <f>SUMIFS(разходи!$L:$L,разходи!$E:$E,'ПП Март'!$C$55,разходи!$M:$M,'ПП Март'!AA2)</f>
        <v>0</v>
      </c>
      <c r="AB55" s="60">
        <f>SUMIFS(разходи!$L:$L,разходи!$E:$E,'ПП Март'!$C$55,разходи!$M:$M,'ПП Март'!AB2)</f>
        <v>0</v>
      </c>
      <c r="AC55" s="70">
        <f>SUMIFS(разходи!$L:$L,разходи!$E:$E,'ПП Март'!$C$55,разходи!$M:$M,'ПП Март'!AC2)</f>
        <v>0</v>
      </c>
      <c r="AD55" s="70">
        <f>SUMIFS(разходи!$L:$L,разходи!$E:$E,'ПП Март'!$C$55,разходи!$M:$M,'ПП Март'!AD2)</f>
        <v>0</v>
      </c>
      <c r="AE55" s="70">
        <f>SUMIFS(разходи!$L:$L,разходи!$E:$E,'ПП Март'!$C$55,разходи!$M:$M,'ПП Март'!AE2)</f>
        <v>0</v>
      </c>
      <c r="AF55" s="70">
        <f>SUMIFS(разходи!$L:$L,разходи!$E:$E,'ПП Март'!$C$55,разходи!$M:$M,'ПП Март'!AF2)</f>
        <v>0</v>
      </c>
      <c r="AG55" s="70">
        <f>SUMIFS(разходи!$L:$L,разходи!$E:$E,'ПП Март'!$C$55,разходи!$M:$M,'ПП Март'!AG2)</f>
        <v>0</v>
      </c>
      <c r="AH55" s="60">
        <f>SUMIFS(разходи!$L:$L,разходи!$E:$E,'ПП Март'!$C$55,разходи!$M:$M,'ПП Март'!AH2)</f>
        <v>0</v>
      </c>
      <c r="AI55" s="60">
        <f>SUMIFS(разходи!$L:$L,разходи!$E:$E,'ПП Март'!$C$55,разходи!$M:$M,'ПП Март'!AI2)</f>
        <v>0</v>
      </c>
      <c r="AJ55" s="61">
        <f t="shared" si="20"/>
        <v>9655.5499999999993</v>
      </c>
      <c r="AK55" s="69">
        <f t="shared" si="21"/>
        <v>-4655.5499999999993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68">
        <v>2000</v>
      </c>
      <c r="E56" s="70">
        <f t="shared" ref="E56:AI56" si="26">SUM(E57:E61)</f>
        <v>0</v>
      </c>
      <c r="F56" s="60">
        <f t="shared" si="26"/>
        <v>0</v>
      </c>
      <c r="G56" s="60">
        <f t="shared" si="26"/>
        <v>0</v>
      </c>
      <c r="H56" s="60">
        <f t="shared" si="26"/>
        <v>0</v>
      </c>
      <c r="I56" s="70">
        <f t="shared" si="26"/>
        <v>0</v>
      </c>
      <c r="J56" s="70">
        <f t="shared" si="26"/>
        <v>0</v>
      </c>
      <c r="K56" s="70">
        <f t="shared" si="26"/>
        <v>0</v>
      </c>
      <c r="L56" s="70">
        <f t="shared" si="26"/>
        <v>0</v>
      </c>
      <c r="M56" s="60">
        <f t="shared" si="26"/>
        <v>0</v>
      </c>
      <c r="N56" s="60">
        <f t="shared" si="26"/>
        <v>0</v>
      </c>
      <c r="O56" s="70">
        <f t="shared" si="26"/>
        <v>0</v>
      </c>
      <c r="P56" s="70">
        <f t="shared" si="26"/>
        <v>0</v>
      </c>
      <c r="Q56" s="70">
        <f t="shared" si="26"/>
        <v>0</v>
      </c>
      <c r="R56" s="70">
        <f t="shared" si="26"/>
        <v>0</v>
      </c>
      <c r="S56" s="70">
        <f t="shared" si="26"/>
        <v>0</v>
      </c>
      <c r="T56" s="60">
        <f t="shared" si="26"/>
        <v>0</v>
      </c>
      <c r="U56" s="60">
        <f t="shared" si="26"/>
        <v>0</v>
      </c>
      <c r="V56" s="70">
        <f t="shared" si="26"/>
        <v>0</v>
      </c>
      <c r="W56" s="70">
        <f t="shared" si="26"/>
        <v>0</v>
      </c>
      <c r="X56" s="70">
        <f t="shared" si="26"/>
        <v>0</v>
      </c>
      <c r="Y56" s="70">
        <f t="shared" si="26"/>
        <v>0</v>
      </c>
      <c r="Z56" s="70">
        <f t="shared" si="26"/>
        <v>0</v>
      </c>
      <c r="AA56" s="60">
        <f t="shared" si="26"/>
        <v>0</v>
      </c>
      <c r="AB56" s="60">
        <f t="shared" si="26"/>
        <v>0</v>
      </c>
      <c r="AC56" s="70">
        <f t="shared" si="26"/>
        <v>0</v>
      </c>
      <c r="AD56" s="70">
        <f t="shared" si="26"/>
        <v>0</v>
      </c>
      <c r="AE56" s="70">
        <f t="shared" si="26"/>
        <v>0</v>
      </c>
      <c r="AF56" s="70">
        <f t="shared" si="26"/>
        <v>0</v>
      </c>
      <c r="AG56" s="70">
        <f t="shared" si="26"/>
        <v>0</v>
      </c>
      <c r="AH56" s="60">
        <f t="shared" si="26"/>
        <v>0</v>
      </c>
      <c r="AI56" s="60">
        <f t="shared" si="26"/>
        <v>0</v>
      </c>
      <c r="AJ56" s="61">
        <f t="shared" si="20"/>
        <v>0</v>
      </c>
      <c r="AK56" s="69">
        <f t="shared" si="21"/>
        <v>2000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68"/>
      <c r="E57" s="70">
        <f>SUMIFS(разходи!$L:$L,разходи!$E:$E,'ПП Март'!$C$57,разходи!$M:$M,'ПП Март'!E2)</f>
        <v>0</v>
      </c>
      <c r="F57" s="60">
        <f>SUMIFS(разходи!$L:$L,разходи!$E:$E,'ПП Март'!$C$57,разходи!$M:$M,'ПП Март'!F2)</f>
        <v>0</v>
      </c>
      <c r="G57" s="60">
        <f>SUMIFS(разходи!$L:$L,разходи!$E:$E,'ПП Март'!$C$57,разходи!$M:$M,'ПП Март'!G2)</f>
        <v>0</v>
      </c>
      <c r="H57" s="60">
        <f>SUMIFS(разходи!$L:$L,разходи!$E:$E,'ПП Март'!$C$57,разходи!$M:$M,'ПП Март'!H2)</f>
        <v>0</v>
      </c>
      <c r="I57" s="70">
        <f>SUMIFS(разходи!$L:$L,разходи!$E:$E,'ПП Март'!$C$57,разходи!$M:$M,'ПП Март'!I2)</f>
        <v>0</v>
      </c>
      <c r="J57" s="70">
        <f>SUMIFS(разходи!$L:$L,разходи!$E:$E,'ПП Март'!$C$57,разходи!$M:$M,'ПП Март'!J2)</f>
        <v>0</v>
      </c>
      <c r="K57" s="70">
        <f>SUMIFS(разходи!$L:$L,разходи!$E:$E,'ПП Март'!$C$57,разходи!$M:$M,'ПП Март'!K2)</f>
        <v>0</v>
      </c>
      <c r="L57" s="70">
        <f>SUMIFS(разходи!$L:$L,разходи!$E:$E,'ПП Март'!$C$57,разходи!$M:$M,'ПП Март'!L2)</f>
        <v>0</v>
      </c>
      <c r="M57" s="60">
        <f>SUMIFS(разходи!$L:$L,разходи!$E:$E,'ПП Март'!$C$57,разходи!$M:$M,'ПП Март'!M2)</f>
        <v>0</v>
      </c>
      <c r="N57" s="60">
        <f>SUMIFS(разходи!$L:$L,разходи!$E:$E,'ПП Март'!$C$57,разходи!$M:$M,'ПП Март'!N2)</f>
        <v>0</v>
      </c>
      <c r="O57" s="70">
        <f>SUMIFS(разходи!$L:$L,разходи!$E:$E,'ПП Март'!$C$57,разходи!$M:$M,'ПП Март'!O2)</f>
        <v>0</v>
      </c>
      <c r="P57" s="70">
        <f>SUMIFS(разходи!$L:$L,разходи!$E:$E,'ПП Март'!$C$57,разходи!$M:$M,'ПП Март'!P2)</f>
        <v>0</v>
      </c>
      <c r="Q57" s="70">
        <f>SUMIFS(разходи!$L:$L,разходи!$E:$E,'ПП Март'!$C$57,разходи!$M:$M,'ПП Март'!Q2)</f>
        <v>0</v>
      </c>
      <c r="R57" s="70">
        <f>SUMIFS(разходи!$L:$L,разходи!$E:$E,'ПП Март'!$C$57,разходи!$M:$M,'ПП Март'!R2)</f>
        <v>0</v>
      </c>
      <c r="S57" s="70">
        <f>SUMIFS(разходи!$L:$L,разходи!$E:$E,'ПП Март'!$C$57,разходи!$M:$M,'ПП Март'!S2)</f>
        <v>0</v>
      </c>
      <c r="T57" s="60">
        <f>SUMIFS(разходи!$L:$L,разходи!$E:$E,'ПП Март'!$C$57,разходи!$M:$M,'ПП Март'!T2)</f>
        <v>0</v>
      </c>
      <c r="U57" s="60">
        <f>SUMIFS(разходи!$L:$L,разходи!$E:$E,'ПП Март'!$C$57,разходи!$M:$M,'ПП Март'!U2)</f>
        <v>0</v>
      </c>
      <c r="V57" s="70">
        <f>SUMIFS(разходи!$L:$L,разходи!$E:$E,'ПП Март'!$C$57,разходи!$M:$M,'ПП Март'!V2)</f>
        <v>0</v>
      </c>
      <c r="W57" s="70">
        <f>SUMIFS(разходи!$L:$L,разходи!$E:$E,'ПП Март'!$C$57,разходи!$M:$M,'ПП Март'!W2)</f>
        <v>0</v>
      </c>
      <c r="X57" s="70">
        <f>SUMIFS(разходи!$L:$L,разходи!$E:$E,'ПП Март'!$C$57,разходи!$M:$M,'ПП Март'!X2)</f>
        <v>0</v>
      </c>
      <c r="Y57" s="70">
        <f>SUMIFS(разходи!$L:$L,разходи!$E:$E,'ПП Март'!$C$57,разходи!$M:$M,'ПП Март'!Y2)</f>
        <v>0</v>
      </c>
      <c r="Z57" s="70">
        <f>SUMIFS(разходи!$L:$L,разходи!$E:$E,'ПП Март'!$C$57,разходи!$M:$M,'ПП Март'!Z2)</f>
        <v>0</v>
      </c>
      <c r="AA57" s="60">
        <f>SUMIFS(разходи!$L:$L,разходи!$E:$E,'ПП Март'!$C$57,разходи!$M:$M,'ПП Март'!AA2)</f>
        <v>0</v>
      </c>
      <c r="AB57" s="60">
        <f>SUMIFS(разходи!$L:$L,разходи!$E:$E,'ПП Март'!$C$57,разходи!$M:$M,'ПП Март'!AB2)</f>
        <v>0</v>
      </c>
      <c r="AC57" s="70">
        <f>SUMIFS(разходи!$L:$L,разходи!$E:$E,'ПП Март'!$C$57,разходи!$M:$M,'ПП Март'!AC2)</f>
        <v>0</v>
      </c>
      <c r="AD57" s="70">
        <f>SUMIFS(разходи!$L:$L,разходи!$E:$E,'ПП Март'!$C$57,разходи!$M:$M,'ПП Март'!AD2)</f>
        <v>0</v>
      </c>
      <c r="AE57" s="70">
        <f>SUMIFS(разходи!$L:$L,разходи!$E:$E,'ПП Март'!$C$57,разходи!$M:$M,'ПП Март'!AE2)</f>
        <v>0</v>
      </c>
      <c r="AF57" s="70">
        <f>SUMIFS(разходи!$L:$L,разходи!$E:$E,'ПП Март'!$C$57,разходи!$M:$M,'ПП Март'!AF2)</f>
        <v>0</v>
      </c>
      <c r="AG57" s="70">
        <f>SUMIFS(разходи!$L:$L,разходи!$E:$E,'ПП Март'!$C$57,разходи!$M:$M,'ПП Март'!AG2)</f>
        <v>0</v>
      </c>
      <c r="AH57" s="60">
        <f>SUMIFS(разходи!$L:$L,разходи!$E:$E,'ПП Март'!$C$57,разходи!$M:$M,'ПП Март'!AH2)</f>
        <v>0</v>
      </c>
      <c r="AI57" s="60">
        <f>SUMIFS(разходи!$L:$L,разходи!$E:$E,'ПП Март'!$C$57,разходи!$M:$M,'ПП Март'!AI2)</f>
        <v>0</v>
      </c>
      <c r="AJ57" s="61">
        <f t="shared" si="20"/>
        <v>0</v>
      </c>
      <c r="AK57" s="69">
        <f t="shared" si="21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68"/>
      <c r="E58" s="70">
        <f>SUMIFS(разходи!$L:$L,разходи!$E:$E,'ПП Март'!$C$58,разходи!$M:$M,'ПП Март'!E2)</f>
        <v>0</v>
      </c>
      <c r="F58" s="60">
        <f>SUMIFS(разходи!$L:$L,разходи!$E:$E,'ПП Март'!$C$58,разходи!$M:$M,'ПП Март'!F2)</f>
        <v>0</v>
      </c>
      <c r="G58" s="60">
        <f>SUMIFS(разходи!$L:$L,разходи!$E:$E,'ПП Март'!$C$58,разходи!$M:$M,'ПП Март'!G2)</f>
        <v>0</v>
      </c>
      <c r="H58" s="60">
        <f>SUMIFS(разходи!$L:$L,разходи!$E:$E,'ПП Март'!$C$58,разходи!$M:$M,'ПП Март'!H2)</f>
        <v>0</v>
      </c>
      <c r="I58" s="70">
        <f>SUMIFS(разходи!$L:$L,разходи!$E:$E,'ПП Март'!$C$58,разходи!$M:$M,'ПП Март'!I2)</f>
        <v>0</v>
      </c>
      <c r="J58" s="70">
        <f>SUMIFS(разходи!$L:$L,разходи!$E:$E,'ПП Март'!$C$58,разходи!$M:$M,'ПП Март'!J2)</f>
        <v>0</v>
      </c>
      <c r="K58" s="70">
        <f>SUMIFS(разходи!$L:$L,разходи!$E:$E,'ПП Март'!$C$58,разходи!$M:$M,'ПП Март'!K2)</f>
        <v>0</v>
      </c>
      <c r="L58" s="70">
        <f>SUMIFS(разходи!$L:$L,разходи!$E:$E,'ПП Март'!$C$58,разходи!$M:$M,'ПП Март'!L2)</f>
        <v>0</v>
      </c>
      <c r="M58" s="60">
        <f>SUMIFS(разходи!$L:$L,разходи!$E:$E,'ПП Март'!$C$58,разходи!$M:$M,'ПП Март'!M2)</f>
        <v>0</v>
      </c>
      <c r="N58" s="60">
        <f>SUMIFS(разходи!$L:$L,разходи!$E:$E,'ПП Март'!$C$58,разходи!$M:$M,'ПП Март'!N2)</f>
        <v>0</v>
      </c>
      <c r="O58" s="70">
        <f>SUMIFS(разходи!$L:$L,разходи!$E:$E,'ПП Март'!$C$58,разходи!$M:$M,'ПП Март'!O2)</f>
        <v>0</v>
      </c>
      <c r="P58" s="70">
        <f>SUMIFS(разходи!$L:$L,разходи!$E:$E,'ПП Март'!$C$58,разходи!$M:$M,'ПП Март'!P2)</f>
        <v>0</v>
      </c>
      <c r="Q58" s="70">
        <f>SUMIFS(разходи!$L:$L,разходи!$E:$E,'ПП Март'!$C$58,разходи!$M:$M,'ПП Март'!Q2)</f>
        <v>0</v>
      </c>
      <c r="R58" s="70">
        <f>SUMIFS(разходи!$L:$L,разходи!$E:$E,'ПП Март'!$C$58,разходи!$M:$M,'ПП Март'!R2)</f>
        <v>0</v>
      </c>
      <c r="S58" s="70">
        <f>SUMIFS(разходи!$L:$L,разходи!$E:$E,'ПП Март'!$C$58,разходи!$M:$M,'ПП Март'!S2)</f>
        <v>0</v>
      </c>
      <c r="T58" s="60">
        <f>SUMIFS(разходи!$L:$L,разходи!$E:$E,'ПП Март'!$C$58,разходи!$M:$M,'ПП Март'!T2)</f>
        <v>0</v>
      </c>
      <c r="U58" s="60">
        <f>SUMIFS(разходи!$L:$L,разходи!$E:$E,'ПП Март'!$C$58,разходи!$M:$M,'ПП Март'!U2)</f>
        <v>0</v>
      </c>
      <c r="V58" s="70">
        <f>SUMIFS(разходи!$L:$L,разходи!$E:$E,'ПП Март'!$C$58,разходи!$M:$M,'ПП Март'!V2)</f>
        <v>0</v>
      </c>
      <c r="W58" s="70">
        <f>SUMIFS(разходи!$L:$L,разходи!$E:$E,'ПП Март'!$C$58,разходи!$M:$M,'ПП Март'!W2)</f>
        <v>0</v>
      </c>
      <c r="X58" s="70">
        <f>SUMIFS(разходи!$L:$L,разходи!$E:$E,'ПП Март'!$C$58,разходи!$M:$M,'ПП Март'!X2)</f>
        <v>0</v>
      </c>
      <c r="Y58" s="70">
        <f>SUMIFS(разходи!$L:$L,разходи!$E:$E,'ПП Март'!$C$58,разходи!$M:$M,'ПП Март'!Y2)</f>
        <v>0</v>
      </c>
      <c r="Z58" s="70">
        <f>SUMIFS(разходи!$L:$L,разходи!$E:$E,'ПП Март'!$C$58,разходи!$M:$M,'ПП Март'!Z2)</f>
        <v>0</v>
      </c>
      <c r="AA58" s="60">
        <f>SUMIFS(разходи!$L:$L,разходи!$E:$E,'ПП Март'!$C$58,разходи!$M:$M,'ПП Март'!AA2)</f>
        <v>0</v>
      </c>
      <c r="AB58" s="60">
        <f>SUMIFS(разходи!$L:$L,разходи!$E:$E,'ПП Март'!$C$58,разходи!$M:$M,'ПП Март'!AB2)</f>
        <v>0</v>
      </c>
      <c r="AC58" s="70">
        <f>SUMIFS(разходи!$L:$L,разходи!$E:$E,'ПП Март'!$C$58,разходи!$M:$M,'ПП Март'!AC2)</f>
        <v>0</v>
      </c>
      <c r="AD58" s="70">
        <f>SUMIFS(разходи!$L:$L,разходи!$E:$E,'ПП Март'!$C$58,разходи!$M:$M,'ПП Март'!AD2)</f>
        <v>0</v>
      </c>
      <c r="AE58" s="70">
        <f>SUMIFS(разходи!$L:$L,разходи!$E:$E,'ПП Март'!$C$58,разходи!$M:$M,'ПП Март'!AE2)</f>
        <v>0</v>
      </c>
      <c r="AF58" s="70">
        <f>SUMIFS(разходи!$L:$L,разходи!$E:$E,'ПП Март'!$C$58,разходи!$M:$M,'ПП Март'!AF2)</f>
        <v>0</v>
      </c>
      <c r="AG58" s="70">
        <f>SUMIFS(разходи!$L:$L,разходи!$E:$E,'ПП Март'!$C$58,разходи!$M:$M,'ПП Март'!AG2)</f>
        <v>0</v>
      </c>
      <c r="AH58" s="60">
        <f>SUMIFS(разходи!$L:$L,разходи!$E:$E,'ПП Март'!$C$58,разходи!$M:$M,'ПП Март'!AH2)</f>
        <v>0</v>
      </c>
      <c r="AI58" s="60">
        <f>SUMIFS(разходи!$L:$L,разходи!$E:$E,'ПП Март'!$C$58,разходи!$M:$M,'ПП Март'!AI2)</f>
        <v>0</v>
      </c>
      <c r="AJ58" s="61">
        <f t="shared" si="20"/>
        <v>0</v>
      </c>
      <c r="AK58" s="69">
        <f t="shared" si="21"/>
        <v>0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68"/>
      <c r="E59" s="70">
        <f>SUMIFS(разходи!$L:$L,разходи!$E:$E,'ПП Март'!$C$59,разходи!$M:$M,'ПП Март'!E2)</f>
        <v>0</v>
      </c>
      <c r="F59" s="60">
        <f>SUMIFS(разходи!$L:$L,разходи!$E:$E,'ПП Март'!$C$59,разходи!$M:$M,'ПП Март'!F2)</f>
        <v>0</v>
      </c>
      <c r="G59" s="60">
        <f>SUMIFS(разходи!$L:$L,разходи!$E:$E,'ПП Март'!$C$59,разходи!$M:$M,'ПП Март'!G2)</f>
        <v>0</v>
      </c>
      <c r="H59" s="60">
        <f>SUMIFS(разходи!$L:$L,разходи!$E:$E,'ПП Март'!$C$59,разходи!$M:$M,'ПП Март'!H2)</f>
        <v>0</v>
      </c>
      <c r="I59" s="70">
        <f>SUMIFS(разходи!$L:$L,разходи!$E:$E,'ПП Март'!$C$59,разходи!$M:$M,'ПП Март'!I2)</f>
        <v>0</v>
      </c>
      <c r="J59" s="70">
        <f>SUMIFS(разходи!$L:$L,разходи!$E:$E,'ПП Март'!$C$59,разходи!$M:$M,'ПП Март'!J2)</f>
        <v>0</v>
      </c>
      <c r="K59" s="70">
        <f>SUMIFS(разходи!$L:$L,разходи!$E:$E,'ПП Март'!$C$59,разходи!$M:$M,'ПП Март'!K2)</f>
        <v>0</v>
      </c>
      <c r="L59" s="70">
        <f>SUMIFS(разходи!$L:$L,разходи!$E:$E,'ПП Март'!$C$59,разходи!$M:$M,'ПП Март'!L2)</f>
        <v>0</v>
      </c>
      <c r="M59" s="60">
        <f>SUMIFS(разходи!$L:$L,разходи!$E:$E,'ПП Март'!$C$59,разходи!$M:$M,'ПП Март'!M2)</f>
        <v>0</v>
      </c>
      <c r="N59" s="60">
        <f>SUMIFS(разходи!$L:$L,разходи!$E:$E,'ПП Март'!$C$59,разходи!$M:$M,'ПП Март'!N2)</f>
        <v>0</v>
      </c>
      <c r="O59" s="70">
        <f>SUMIFS(разходи!$L:$L,разходи!$E:$E,'ПП Март'!$C$59,разходи!$M:$M,'ПП Март'!O2)</f>
        <v>0</v>
      </c>
      <c r="P59" s="70">
        <f>SUMIFS(разходи!$L:$L,разходи!$E:$E,'ПП Март'!$C$59,разходи!$M:$M,'ПП Март'!P2)</f>
        <v>0</v>
      </c>
      <c r="Q59" s="70">
        <f>SUMIFS(разходи!$L:$L,разходи!$E:$E,'ПП Март'!$C$59,разходи!$M:$M,'ПП Март'!Q2)</f>
        <v>0</v>
      </c>
      <c r="R59" s="70">
        <f>SUMIFS(разходи!$L:$L,разходи!$E:$E,'ПП Март'!$C$59,разходи!$M:$M,'ПП Март'!R2)</f>
        <v>0</v>
      </c>
      <c r="S59" s="70">
        <f>SUMIFS(разходи!$L:$L,разходи!$E:$E,'ПП Март'!$C$59,разходи!$M:$M,'ПП Март'!S2)</f>
        <v>0</v>
      </c>
      <c r="T59" s="60">
        <f>SUMIFS(разходи!$L:$L,разходи!$E:$E,'ПП Март'!$C$59,разходи!$M:$M,'ПП Март'!T2)</f>
        <v>0</v>
      </c>
      <c r="U59" s="60">
        <f>SUMIFS(разходи!$L:$L,разходи!$E:$E,'ПП Март'!$C$59,разходи!$M:$M,'ПП Март'!U2)</f>
        <v>0</v>
      </c>
      <c r="V59" s="70">
        <f>SUMIFS(разходи!$L:$L,разходи!$E:$E,'ПП Март'!$C$59,разходи!$M:$M,'ПП Март'!V2)</f>
        <v>0</v>
      </c>
      <c r="W59" s="70">
        <f>SUMIFS(разходи!$L:$L,разходи!$E:$E,'ПП Март'!$C$59,разходи!$M:$M,'ПП Март'!W2)</f>
        <v>0</v>
      </c>
      <c r="X59" s="70">
        <f>SUMIFS(разходи!$L:$L,разходи!$E:$E,'ПП Март'!$C$59,разходи!$M:$M,'ПП Март'!X2)</f>
        <v>0</v>
      </c>
      <c r="Y59" s="70">
        <f>SUMIFS(разходи!$L:$L,разходи!$E:$E,'ПП Март'!$C$59,разходи!$M:$M,'ПП Март'!Y2)</f>
        <v>0</v>
      </c>
      <c r="Z59" s="70">
        <f>SUMIFS(разходи!$L:$L,разходи!$E:$E,'ПП Март'!$C$59,разходи!$M:$M,'ПП Март'!Z2)</f>
        <v>0</v>
      </c>
      <c r="AA59" s="60">
        <f>SUMIFS(разходи!$L:$L,разходи!$E:$E,'ПП Март'!$C$59,разходи!$M:$M,'ПП Март'!AA2)</f>
        <v>0</v>
      </c>
      <c r="AB59" s="60">
        <f>SUMIFS(разходи!$L:$L,разходи!$E:$E,'ПП Март'!$C$59,разходи!$M:$M,'ПП Март'!AB2)</f>
        <v>0</v>
      </c>
      <c r="AC59" s="70">
        <f>SUMIFS(разходи!$L:$L,разходи!$E:$E,'ПП Март'!$C$59,разходи!$M:$M,'ПП Март'!AC2)</f>
        <v>0</v>
      </c>
      <c r="AD59" s="70">
        <f>SUMIFS(разходи!$L:$L,разходи!$E:$E,'ПП Март'!$C$59,разходи!$M:$M,'ПП Март'!AD2)</f>
        <v>0</v>
      </c>
      <c r="AE59" s="70">
        <f>SUMIFS(разходи!$L:$L,разходи!$E:$E,'ПП Март'!$C$59,разходи!$M:$M,'ПП Март'!AE2)</f>
        <v>0</v>
      </c>
      <c r="AF59" s="70">
        <f>SUMIFS(разходи!$L:$L,разходи!$E:$E,'ПП Март'!$C$59,разходи!$M:$M,'ПП Март'!AF2)</f>
        <v>0</v>
      </c>
      <c r="AG59" s="70">
        <f>SUMIFS(разходи!$L:$L,разходи!$E:$E,'ПП Март'!$C$59,разходи!$M:$M,'ПП Март'!AG2)</f>
        <v>0</v>
      </c>
      <c r="AH59" s="60">
        <f>SUMIFS(разходи!$L:$L,разходи!$E:$E,'ПП Март'!$C$59,разходи!$M:$M,'ПП Март'!AH2)</f>
        <v>0</v>
      </c>
      <c r="AI59" s="60">
        <f>SUMIFS(разходи!$L:$L,разходи!$E:$E,'ПП Март'!$C$59,разходи!$M:$M,'ПП Март'!AI2)</f>
        <v>0</v>
      </c>
      <c r="AJ59" s="61">
        <f t="shared" si="20"/>
        <v>0</v>
      </c>
      <c r="AK59" s="69">
        <f t="shared" si="21"/>
        <v>0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68"/>
      <c r="E60" s="70">
        <f>SUMIFS(разходи!$L:$L,разходи!$E:$E,'ПП Март'!$C$60,разходи!$M:$M,'ПП Март'!E2)</f>
        <v>0</v>
      </c>
      <c r="F60" s="60">
        <f>SUMIFS(разходи!$L:$L,разходи!$E:$E,'ПП Март'!$C$60,разходи!$M:$M,'ПП Март'!F2)</f>
        <v>0</v>
      </c>
      <c r="G60" s="60">
        <f>SUMIFS(разходи!$L:$L,разходи!$E:$E,'ПП Март'!$C$60,разходи!$M:$M,'ПП Март'!G2)</f>
        <v>0</v>
      </c>
      <c r="H60" s="60">
        <f>SUMIFS(разходи!$L:$L,разходи!$E:$E,'ПП Март'!$C$60,разходи!$M:$M,'ПП Март'!H2)</f>
        <v>0</v>
      </c>
      <c r="I60" s="70">
        <f>SUMIFS(разходи!$L:$L,разходи!$E:$E,'ПП Март'!$C$60,разходи!$M:$M,'ПП Март'!I2)</f>
        <v>0</v>
      </c>
      <c r="J60" s="70">
        <f>SUMIFS(разходи!$L:$L,разходи!$E:$E,'ПП Март'!$C$60,разходи!$M:$M,'ПП Март'!J2)</f>
        <v>0</v>
      </c>
      <c r="K60" s="70">
        <f>SUMIFS(разходи!$L:$L,разходи!$E:$E,'ПП Март'!$C$60,разходи!$M:$M,'ПП Март'!K2)</f>
        <v>0</v>
      </c>
      <c r="L60" s="70">
        <f>SUMIFS(разходи!$L:$L,разходи!$E:$E,'ПП Март'!$C$60,разходи!$M:$M,'ПП Март'!L2)</f>
        <v>0</v>
      </c>
      <c r="M60" s="60">
        <f>SUMIFS(разходи!$L:$L,разходи!$E:$E,'ПП Март'!$C$60,разходи!$M:$M,'ПП Март'!M2)</f>
        <v>0</v>
      </c>
      <c r="N60" s="60">
        <f>SUMIFS(разходи!$L:$L,разходи!$E:$E,'ПП Март'!$C$60,разходи!$M:$M,'ПП Март'!N2)</f>
        <v>0</v>
      </c>
      <c r="O60" s="70">
        <f>SUMIFS(разходи!$L:$L,разходи!$E:$E,'ПП Март'!$C$60,разходи!$M:$M,'ПП Март'!O2)</f>
        <v>0</v>
      </c>
      <c r="P60" s="70">
        <f>SUMIFS(разходи!$L:$L,разходи!$E:$E,'ПП Март'!$C$60,разходи!$M:$M,'ПП Март'!P2)</f>
        <v>0</v>
      </c>
      <c r="Q60" s="70">
        <f>SUMIFS(разходи!$L:$L,разходи!$E:$E,'ПП Март'!$C$60,разходи!$M:$M,'ПП Март'!Q2)</f>
        <v>0</v>
      </c>
      <c r="R60" s="70">
        <f>SUMIFS(разходи!$L:$L,разходи!$E:$E,'ПП Март'!$C$60,разходи!$M:$M,'ПП Март'!R2)</f>
        <v>0</v>
      </c>
      <c r="S60" s="70">
        <f>SUMIFS(разходи!$L:$L,разходи!$E:$E,'ПП Март'!$C$60,разходи!$M:$M,'ПП Март'!S2)</f>
        <v>0</v>
      </c>
      <c r="T60" s="60">
        <f>SUMIFS(разходи!$L:$L,разходи!$E:$E,'ПП Март'!$C$60,разходи!$M:$M,'ПП Март'!T2)</f>
        <v>0</v>
      </c>
      <c r="U60" s="60">
        <f>SUMIFS(разходи!$L:$L,разходи!$E:$E,'ПП Март'!$C$60,разходи!$M:$M,'ПП Март'!U2)</f>
        <v>0</v>
      </c>
      <c r="V60" s="70">
        <f>SUMIFS(разходи!$L:$L,разходи!$E:$E,'ПП Март'!$C$60,разходи!$M:$M,'ПП Март'!V2)</f>
        <v>0</v>
      </c>
      <c r="W60" s="70">
        <f>SUMIFS(разходи!$L:$L,разходи!$E:$E,'ПП Март'!$C$60,разходи!$M:$M,'ПП Март'!W2)</f>
        <v>0</v>
      </c>
      <c r="X60" s="70">
        <f>SUMIFS(разходи!$L:$L,разходи!$E:$E,'ПП Март'!$C$60,разходи!$M:$M,'ПП Март'!X2)</f>
        <v>0</v>
      </c>
      <c r="Y60" s="70">
        <f>SUMIFS(разходи!$L:$L,разходи!$E:$E,'ПП Март'!$C$60,разходи!$M:$M,'ПП Март'!Y2)</f>
        <v>0</v>
      </c>
      <c r="Z60" s="70">
        <f>SUMIFS(разходи!$L:$L,разходи!$E:$E,'ПП Март'!$C$60,разходи!$M:$M,'ПП Март'!Z2)</f>
        <v>0</v>
      </c>
      <c r="AA60" s="60">
        <f>SUMIFS(разходи!$L:$L,разходи!$E:$E,'ПП Март'!$C$60,разходи!$M:$M,'ПП Март'!AA2)</f>
        <v>0</v>
      </c>
      <c r="AB60" s="60">
        <f>SUMIFS(разходи!$L:$L,разходи!$E:$E,'ПП Март'!$C$60,разходи!$M:$M,'ПП Март'!AB2)</f>
        <v>0</v>
      </c>
      <c r="AC60" s="70">
        <f>SUMIFS(разходи!$L:$L,разходи!$E:$E,'ПП Март'!$C$60,разходи!$M:$M,'ПП Март'!AC2)</f>
        <v>0</v>
      </c>
      <c r="AD60" s="70">
        <f>SUMIFS(разходи!$L:$L,разходи!$E:$E,'ПП Март'!$C$60,разходи!$M:$M,'ПП Март'!AD2)</f>
        <v>0</v>
      </c>
      <c r="AE60" s="70">
        <f>SUMIFS(разходи!$L:$L,разходи!$E:$E,'ПП Март'!$C$60,разходи!$M:$M,'ПП Март'!AE2)</f>
        <v>0</v>
      </c>
      <c r="AF60" s="70">
        <f>SUMIFS(разходи!$L:$L,разходи!$E:$E,'ПП Март'!$C$60,разходи!$M:$M,'ПП Март'!AF2)</f>
        <v>0</v>
      </c>
      <c r="AG60" s="70">
        <f>SUMIFS(разходи!$L:$L,разходи!$E:$E,'ПП Март'!$C$60,разходи!$M:$M,'ПП Март'!AG2)</f>
        <v>0</v>
      </c>
      <c r="AH60" s="60">
        <f>SUMIFS(разходи!$L:$L,разходи!$E:$E,'ПП Март'!$C$60,разходи!$M:$M,'ПП Март'!AH2)</f>
        <v>0</v>
      </c>
      <c r="AI60" s="60">
        <f>SUMIFS(разходи!$L:$L,разходи!$E:$E,'ПП Март'!$C$60,разходи!$M:$M,'ПП Март'!AI2)</f>
        <v>0</v>
      </c>
      <c r="AJ60" s="61">
        <f t="shared" si="20"/>
        <v>0</v>
      </c>
      <c r="AK60" s="69">
        <f t="shared" si="21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68"/>
      <c r="E61" s="70">
        <f>SUMIFS(разходи!$L:$L,разходи!$E:$E,'ПП Март'!$C$61,разходи!$M:$M,'ПП Март'!E2)</f>
        <v>0</v>
      </c>
      <c r="F61" s="60">
        <f>SUMIFS(разходи!$L:$L,разходи!$E:$E,'ПП Март'!$C$61,разходи!$M:$M,'ПП Март'!F2)</f>
        <v>0</v>
      </c>
      <c r="G61" s="60">
        <f>SUMIFS(разходи!$L:$L,разходи!$E:$E,'ПП Март'!$C$61,разходи!$M:$M,'ПП Март'!G2)</f>
        <v>0</v>
      </c>
      <c r="H61" s="60">
        <f>SUMIFS(разходи!$L:$L,разходи!$E:$E,'ПП Март'!$C$61,разходи!$M:$M,'ПП Март'!H2)</f>
        <v>0</v>
      </c>
      <c r="I61" s="70">
        <f>SUMIFS(разходи!$L:$L,разходи!$E:$E,'ПП Март'!$C$61,разходи!$M:$M,'ПП Март'!I2)</f>
        <v>0</v>
      </c>
      <c r="J61" s="70">
        <f>SUMIFS(разходи!$L:$L,разходи!$E:$E,'ПП Март'!$C$61,разходи!$M:$M,'ПП Март'!J2)</f>
        <v>0</v>
      </c>
      <c r="K61" s="70">
        <f>SUMIFS(разходи!$L:$L,разходи!$E:$E,'ПП Март'!$C$61,разходи!$M:$M,'ПП Март'!K2)</f>
        <v>0</v>
      </c>
      <c r="L61" s="70">
        <f>SUMIFS(разходи!$L:$L,разходи!$E:$E,'ПП Март'!$C$61,разходи!$M:$M,'ПП Март'!L2)</f>
        <v>0</v>
      </c>
      <c r="M61" s="60">
        <f>SUMIFS(разходи!$L:$L,разходи!$E:$E,'ПП Март'!$C$61,разходи!$M:$M,'ПП Март'!M2)</f>
        <v>0</v>
      </c>
      <c r="N61" s="60">
        <f>SUMIFS(разходи!$L:$L,разходи!$E:$E,'ПП Март'!$C$61,разходи!$M:$M,'ПП Март'!N2)</f>
        <v>0</v>
      </c>
      <c r="O61" s="70">
        <f>SUMIFS(разходи!$L:$L,разходи!$E:$E,'ПП Март'!$C$61,разходи!$M:$M,'ПП Март'!O2)</f>
        <v>0</v>
      </c>
      <c r="P61" s="70">
        <f>SUMIFS(разходи!$L:$L,разходи!$E:$E,'ПП Март'!$C$61,разходи!$M:$M,'ПП Март'!P2)</f>
        <v>0</v>
      </c>
      <c r="Q61" s="70">
        <f>SUMIFS(разходи!$L:$L,разходи!$E:$E,'ПП Март'!$C$61,разходи!$M:$M,'ПП Март'!Q2)</f>
        <v>0</v>
      </c>
      <c r="R61" s="70">
        <f>SUMIFS(разходи!$L:$L,разходи!$E:$E,'ПП Март'!$C$61,разходи!$M:$M,'ПП Март'!R2)</f>
        <v>0</v>
      </c>
      <c r="S61" s="70">
        <f>SUMIFS(разходи!$L:$L,разходи!$E:$E,'ПП Март'!$C$61,разходи!$M:$M,'ПП Март'!S2)</f>
        <v>0</v>
      </c>
      <c r="T61" s="60">
        <f>SUMIFS(разходи!$L:$L,разходи!$E:$E,'ПП Март'!$C$61,разходи!$M:$M,'ПП Март'!T2)</f>
        <v>0</v>
      </c>
      <c r="U61" s="60">
        <f>SUMIFS(разходи!$L:$L,разходи!$E:$E,'ПП Март'!$C$61,разходи!$M:$M,'ПП Март'!U2)</f>
        <v>0</v>
      </c>
      <c r="V61" s="70">
        <f>SUMIFS(разходи!$L:$L,разходи!$E:$E,'ПП Март'!$C$61,разходи!$M:$M,'ПП Март'!V2)</f>
        <v>0</v>
      </c>
      <c r="W61" s="70">
        <f>SUMIFS(разходи!$L:$L,разходи!$E:$E,'ПП Март'!$C$61,разходи!$M:$M,'ПП Март'!W2)</f>
        <v>0</v>
      </c>
      <c r="X61" s="70">
        <f>SUMIFS(разходи!$L:$L,разходи!$E:$E,'ПП Март'!$C$61,разходи!$M:$M,'ПП Март'!X2)</f>
        <v>0</v>
      </c>
      <c r="Y61" s="70">
        <f>SUMIFS(разходи!$L:$L,разходи!$E:$E,'ПП Март'!$C$61,разходи!$M:$M,'ПП Март'!Y2)</f>
        <v>0</v>
      </c>
      <c r="Z61" s="70">
        <f>SUMIFS(разходи!$L:$L,разходи!$E:$E,'ПП Март'!$C$61,разходи!$M:$M,'ПП Март'!Z2)</f>
        <v>0</v>
      </c>
      <c r="AA61" s="60">
        <f>SUMIFS(разходи!$L:$L,разходи!$E:$E,'ПП Март'!$C$61,разходи!$M:$M,'ПП Март'!AA2)</f>
        <v>0</v>
      </c>
      <c r="AB61" s="60">
        <f>SUMIFS(разходи!$L:$L,разходи!$E:$E,'ПП Март'!$C$61,разходи!$M:$M,'ПП Март'!AB2)</f>
        <v>0</v>
      </c>
      <c r="AC61" s="70">
        <f>SUMIFS(разходи!$L:$L,разходи!$E:$E,'ПП Март'!$C$61,разходи!$M:$M,'ПП Март'!AC2)</f>
        <v>0</v>
      </c>
      <c r="AD61" s="70">
        <f>SUMIFS(разходи!$L:$L,разходи!$E:$E,'ПП Март'!$C$61,разходи!$M:$M,'ПП Март'!AD2)</f>
        <v>0</v>
      </c>
      <c r="AE61" s="70">
        <f>SUMIFS(разходи!$L:$L,разходи!$E:$E,'ПП Март'!$C$61,разходи!$M:$M,'ПП Март'!AE2)</f>
        <v>0</v>
      </c>
      <c r="AF61" s="70">
        <f>SUMIFS(разходи!$L:$L,разходи!$E:$E,'ПП Март'!$C$61,разходи!$M:$M,'ПП Март'!AF2)</f>
        <v>0</v>
      </c>
      <c r="AG61" s="70">
        <f>SUMIFS(разходи!$L:$L,разходи!$E:$E,'ПП Март'!$C$61,разходи!$M:$M,'ПП Март'!AG2)</f>
        <v>0</v>
      </c>
      <c r="AH61" s="60">
        <f>SUMIFS(разходи!$L:$L,разходи!$E:$E,'ПП Март'!$C$61,разходи!$M:$M,'ПП Март'!AH2)</f>
        <v>0</v>
      </c>
      <c r="AI61" s="60">
        <f>SUMIFS(разходи!$L:$L,разходи!$E:$E,'ПП Март'!$C$61,разходи!$M:$M,'ПП Март'!AI2)</f>
        <v>0</v>
      </c>
      <c r="AJ61" s="61">
        <f t="shared" si="20"/>
        <v>0</v>
      </c>
      <c r="AK61" s="69">
        <f t="shared" si="21"/>
        <v>0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68">
        <v>31000</v>
      </c>
      <c r="E62" s="70">
        <f t="shared" ref="E62:AI62" si="27">SUM(E63:E65)</f>
        <v>0</v>
      </c>
      <c r="F62" s="60">
        <f t="shared" si="27"/>
        <v>0</v>
      </c>
      <c r="G62" s="60">
        <f t="shared" si="27"/>
        <v>0</v>
      </c>
      <c r="H62" s="60">
        <f t="shared" si="27"/>
        <v>0</v>
      </c>
      <c r="I62" s="70">
        <f t="shared" si="27"/>
        <v>0</v>
      </c>
      <c r="J62" s="70">
        <f t="shared" si="27"/>
        <v>0</v>
      </c>
      <c r="K62" s="70">
        <f t="shared" si="27"/>
        <v>0</v>
      </c>
      <c r="L62" s="70">
        <f t="shared" si="27"/>
        <v>0</v>
      </c>
      <c r="M62" s="60">
        <f t="shared" si="27"/>
        <v>0</v>
      </c>
      <c r="N62" s="60">
        <f t="shared" si="27"/>
        <v>0</v>
      </c>
      <c r="O62" s="70">
        <f t="shared" si="27"/>
        <v>0</v>
      </c>
      <c r="P62" s="70">
        <f t="shared" si="27"/>
        <v>0</v>
      </c>
      <c r="Q62" s="70">
        <f t="shared" si="27"/>
        <v>0</v>
      </c>
      <c r="R62" s="70">
        <f t="shared" si="27"/>
        <v>0</v>
      </c>
      <c r="S62" s="70">
        <f t="shared" si="27"/>
        <v>0</v>
      </c>
      <c r="T62" s="60">
        <f t="shared" si="27"/>
        <v>0</v>
      </c>
      <c r="U62" s="60">
        <f t="shared" si="27"/>
        <v>0</v>
      </c>
      <c r="V62" s="70">
        <f t="shared" si="27"/>
        <v>0</v>
      </c>
      <c r="W62" s="70">
        <f t="shared" si="27"/>
        <v>0</v>
      </c>
      <c r="X62" s="70">
        <f t="shared" si="27"/>
        <v>0</v>
      </c>
      <c r="Y62" s="70">
        <f t="shared" si="27"/>
        <v>0</v>
      </c>
      <c r="Z62" s="70">
        <f t="shared" si="27"/>
        <v>0</v>
      </c>
      <c r="AA62" s="60">
        <f t="shared" si="27"/>
        <v>0</v>
      </c>
      <c r="AB62" s="60">
        <f t="shared" si="27"/>
        <v>0</v>
      </c>
      <c r="AC62" s="70">
        <f t="shared" si="27"/>
        <v>0</v>
      </c>
      <c r="AD62" s="70">
        <f t="shared" si="27"/>
        <v>0</v>
      </c>
      <c r="AE62" s="70">
        <f t="shared" si="27"/>
        <v>0</v>
      </c>
      <c r="AF62" s="70">
        <f t="shared" si="27"/>
        <v>0</v>
      </c>
      <c r="AG62" s="70">
        <f t="shared" si="27"/>
        <v>23806.58</v>
      </c>
      <c r="AH62" s="60">
        <f t="shared" si="27"/>
        <v>0</v>
      </c>
      <c r="AI62" s="60">
        <f t="shared" si="27"/>
        <v>0</v>
      </c>
      <c r="AJ62" s="61">
        <f t="shared" si="20"/>
        <v>23806.58</v>
      </c>
      <c r="AK62" s="69">
        <f t="shared" si="21"/>
        <v>7193.4199999999983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68"/>
      <c r="E63" s="70">
        <f>SUMIFS(разходи!$L:$L,разходи!$E:$E,'ПП Март'!$C$63,разходи!$M:$M,'ПП Март'!E2)</f>
        <v>0</v>
      </c>
      <c r="F63" s="60">
        <f>SUMIFS(разходи!$L:$L,разходи!$E:$E,'ПП Март'!$C$63,разходи!$M:$M,'ПП Март'!F2)</f>
        <v>0</v>
      </c>
      <c r="G63" s="60">
        <f>SUMIFS(разходи!$L:$L,разходи!$E:$E,'ПП Март'!$C$63,разходи!$M:$M,'ПП Март'!G2)</f>
        <v>0</v>
      </c>
      <c r="H63" s="60">
        <f>SUMIFS(разходи!$L:$L,разходи!$E:$E,'ПП Март'!$C$63,разходи!$M:$M,'ПП Март'!H2)</f>
        <v>0</v>
      </c>
      <c r="I63" s="70">
        <f>SUMIFS(разходи!$L:$L,разходи!$E:$E,'ПП Март'!$C$63,разходи!$M:$M,'ПП Март'!I2)</f>
        <v>0</v>
      </c>
      <c r="J63" s="70">
        <f>SUMIFS(разходи!$L:$L,разходи!$E:$E,'ПП Март'!$C$63,разходи!$M:$M,'ПП Март'!J2)</f>
        <v>0</v>
      </c>
      <c r="K63" s="70">
        <f>SUMIFS(разходи!$L:$L,разходи!$E:$E,'ПП Март'!$C$63,разходи!$M:$M,'ПП Март'!K2)</f>
        <v>0</v>
      </c>
      <c r="L63" s="70">
        <f>SUMIFS(разходи!$L:$L,разходи!$E:$E,'ПП Март'!$C$63,разходи!$M:$M,'ПП Март'!L2)</f>
        <v>0</v>
      </c>
      <c r="M63" s="60">
        <f>SUMIFS(разходи!$L:$L,разходи!$E:$E,'ПП Март'!$C$63,разходи!$M:$M,'ПП Март'!M2)</f>
        <v>0</v>
      </c>
      <c r="N63" s="60">
        <f>SUMIFS(разходи!$L:$L,разходи!$E:$E,'ПП Март'!$C$63,разходи!$M:$M,'ПП Март'!N2)</f>
        <v>0</v>
      </c>
      <c r="O63" s="70">
        <f>SUMIFS(разходи!$L:$L,разходи!$E:$E,'ПП Март'!$C$63,разходи!$M:$M,'ПП Март'!O2)</f>
        <v>0</v>
      </c>
      <c r="P63" s="70">
        <f>SUMIFS(разходи!$L:$L,разходи!$E:$E,'ПП Март'!$C$63,разходи!$M:$M,'ПП Март'!P2)</f>
        <v>0</v>
      </c>
      <c r="Q63" s="70">
        <f>SUMIFS(разходи!$L:$L,разходи!$E:$E,'ПП Март'!$C$63,разходи!$M:$M,'ПП Март'!Q2)</f>
        <v>0</v>
      </c>
      <c r="R63" s="70">
        <f>SUMIFS(разходи!$L:$L,разходи!$E:$E,'ПП Март'!$C$63,разходи!$M:$M,'ПП Март'!R2)</f>
        <v>0</v>
      </c>
      <c r="S63" s="70">
        <f>SUMIFS(разходи!$L:$L,разходи!$E:$E,'ПП Март'!$C$63,разходи!$M:$M,'ПП Март'!S2)</f>
        <v>0</v>
      </c>
      <c r="T63" s="60">
        <f>SUMIFS(разходи!$L:$L,разходи!$E:$E,'ПП Март'!$C$63,разходи!$M:$M,'ПП Март'!T2)</f>
        <v>0</v>
      </c>
      <c r="U63" s="60">
        <f>SUMIFS(разходи!$L:$L,разходи!$E:$E,'ПП Март'!$C$63,разходи!$M:$M,'ПП Март'!U2)</f>
        <v>0</v>
      </c>
      <c r="V63" s="70">
        <f>SUMIFS(разходи!$L:$L,разходи!$E:$E,'ПП Март'!$C$63,разходи!$M:$M,'ПП Март'!V2)</f>
        <v>0</v>
      </c>
      <c r="W63" s="70">
        <f>SUMIFS(разходи!$L:$L,разходи!$E:$E,'ПП Март'!$C$63,разходи!$M:$M,'ПП Март'!W2)</f>
        <v>0</v>
      </c>
      <c r="X63" s="70">
        <f>SUMIFS(разходи!$L:$L,разходи!$E:$E,'ПП Март'!$C$63,разходи!$M:$M,'ПП Март'!X2)</f>
        <v>0</v>
      </c>
      <c r="Y63" s="70">
        <f>SUMIFS(разходи!$L:$L,разходи!$E:$E,'ПП Март'!$C$63,разходи!$M:$M,'ПП Март'!Y2)</f>
        <v>0</v>
      </c>
      <c r="Z63" s="70">
        <f>SUMIFS(разходи!$L:$L,разходи!$E:$E,'ПП Март'!$C$63,разходи!$M:$M,'ПП Март'!Z2)</f>
        <v>0</v>
      </c>
      <c r="AA63" s="60">
        <f>SUMIFS(разходи!$L:$L,разходи!$E:$E,'ПП Март'!$C$63,разходи!$M:$M,'ПП Март'!AA2)</f>
        <v>0</v>
      </c>
      <c r="AB63" s="60">
        <f>SUMIFS(разходи!$L:$L,разходи!$E:$E,'ПП Март'!$C$63,разходи!$M:$M,'ПП Март'!AB2)</f>
        <v>0</v>
      </c>
      <c r="AC63" s="70">
        <f>SUMIFS(разходи!$L:$L,разходи!$E:$E,'ПП Март'!$C$63,разходи!$M:$M,'ПП Март'!AC2)</f>
        <v>0</v>
      </c>
      <c r="AD63" s="70">
        <f>SUMIFS(разходи!$L:$L,разходи!$E:$E,'ПП Март'!$C$63,разходи!$M:$M,'ПП Март'!AD2)</f>
        <v>0</v>
      </c>
      <c r="AE63" s="70">
        <f>SUMIFS(разходи!$L:$L,разходи!$E:$E,'ПП Март'!$C$63,разходи!$M:$M,'ПП Март'!AE2)</f>
        <v>0</v>
      </c>
      <c r="AF63" s="70">
        <f>SUMIFS(разходи!$L:$L,разходи!$E:$E,'ПП Март'!$C$63,разходи!$M:$M,'ПП Март'!AF2)</f>
        <v>0</v>
      </c>
      <c r="AG63" s="70">
        <f>SUMIFS(разходи!$L:$L,разходи!$E:$E,'ПП Март'!$C$63,разходи!$M:$M,'ПП Март'!AG2)</f>
        <v>0</v>
      </c>
      <c r="AH63" s="60">
        <f>SUMIFS(разходи!$L:$L,разходи!$E:$E,'ПП Март'!$C$63,разходи!$M:$M,'ПП Март'!AH2)</f>
        <v>0</v>
      </c>
      <c r="AI63" s="60">
        <f>SUMIFS(разходи!$L:$L,разходи!$E:$E,'ПП Март'!$C$63,разходи!$M:$M,'ПП Март'!AI2)</f>
        <v>0</v>
      </c>
      <c r="AJ63" s="61">
        <f t="shared" si="20"/>
        <v>0</v>
      </c>
      <c r="AK63" s="69">
        <f t="shared" si="21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68"/>
      <c r="E64" s="70">
        <f>SUMIFS(разходи!$L:$L,разходи!$E:$E,'ПП Март'!$C$64,разходи!$M:$M,'ПП Март'!E2)</f>
        <v>0</v>
      </c>
      <c r="F64" s="60">
        <f>SUMIFS(разходи!$L:$L,разходи!$E:$E,'ПП Март'!$C$64,разходи!$M:$M,'ПП Март'!F2)</f>
        <v>0</v>
      </c>
      <c r="G64" s="60">
        <f>SUMIFS(разходи!$L:$L,разходи!$E:$E,'ПП Март'!$C$64,разходи!$M:$M,'ПП Март'!G2)</f>
        <v>0</v>
      </c>
      <c r="H64" s="60">
        <f>SUMIFS(разходи!$L:$L,разходи!$E:$E,'ПП Март'!$C$64,разходи!$M:$M,'ПП Март'!H2)</f>
        <v>0</v>
      </c>
      <c r="I64" s="70">
        <f>SUMIFS(разходи!$L:$L,разходи!$E:$E,'ПП Март'!$C$64,разходи!$M:$M,'ПП Март'!I2)</f>
        <v>0</v>
      </c>
      <c r="J64" s="70">
        <f>SUMIFS(разходи!$L:$L,разходи!$E:$E,'ПП Март'!$C$64,разходи!$M:$M,'ПП Март'!J2)</f>
        <v>0</v>
      </c>
      <c r="K64" s="70">
        <f>SUMIFS(разходи!$L:$L,разходи!$E:$E,'ПП Март'!$C$64,разходи!$M:$M,'ПП Март'!K2)</f>
        <v>0</v>
      </c>
      <c r="L64" s="70">
        <f>SUMIFS(разходи!$L:$L,разходи!$E:$E,'ПП Март'!$C$64,разходи!$M:$M,'ПП Март'!L2)</f>
        <v>0</v>
      </c>
      <c r="M64" s="60">
        <f>SUMIFS(разходи!$L:$L,разходи!$E:$E,'ПП Март'!$C$64,разходи!$M:$M,'ПП Март'!M2)</f>
        <v>0</v>
      </c>
      <c r="N64" s="60">
        <f>SUMIFS(разходи!$L:$L,разходи!$E:$E,'ПП Март'!$C$64,разходи!$M:$M,'ПП Март'!N2)</f>
        <v>0</v>
      </c>
      <c r="O64" s="70">
        <f>SUMIFS(разходи!$L:$L,разходи!$E:$E,'ПП Март'!$C$64,разходи!$M:$M,'ПП Март'!O2)</f>
        <v>0</v>
      </c>
      <c r="P64" s="70">
        <f>SUMIFS(разходи!$L:$L,разходи!$E:$E,'ПП Март'!$C$64,разходи!$M:$M,'ПП Март'!P2)</f>
        <v>0</v>
      </c>
      <c r="Q64" s="70">
        <f>SUMIFS(разходи!$L:$L,разходи!$E:$E,'ПП Март'!$C$64,разходи!$M:$M,'ПП Март'!Q2)</f>
        <v>0</v>
      </c>
      <c r="R64" s="70">
        <f>SUMIFS(разходи!$L:$L,разходи!$E:$E,'ПП Март'!$C$64,разходи!$M:$M,'ПП Март'!R2)</f>
        <v>0</v>
      </c>
      <c r="S64" s="70">
        <f>SUMIFS(разходи!$L:$L,разходи!$E:$E,'ПП Март'!$C$64,разходи!$M:$M,'ПП Март'!S2)</f>
        <v>0</v>
      </c>
      <c r="T64" s="60">
        <f>SUMIFS(разходи!$L:$L,разходи!$E:$E,'ПП Март'!$C$64,разходи!$M:$M,'ПП Март'!T2)</f>
        <v>0</v>
      </c>
      <c r="U64" s="60">
        <f>SUMIFS(разходи!$L:$L,разходи!$E:$E,'ПП Март'!$C$64,разходи!$M:$M,'ПП Март'!U2)</f>
        <v>0</v>
      </c>
      <c r="V64" s="70">
        <f>SUMIFS(разходи!$L:$L,разходи!$E:$E,'ПП Март'!$C$64,разходи!$M:$M,'ПП Март'!V2)</f>
        <v>0</v>
      </c>
      <c r="W64" s="70">
        <f>SUMIFS(разходи!$L:$L,разходи!$E:$E,'ПП Март'!$C$64,разходи!$M:$M,'ПП Март'!W2)</f>
        <v>0</v>
      </c>
      <c r="X64" s="70">
        <f>SUMIFS(разходи!$L:$L,разходи!$E:$E,'ПП Март'!$C$64,разходи!$M:$M,'ПП Март'!X2)</f>
        <v>0</v>
      </c>
      <c r="Y64" s="70">
        <f>SUMIFS(разходи!$L:$L,разходи!$E:$E,'ПП Март'!$C$64,разходи!$M:$M,'ПП Март'!Y2)</f>
        <v>0</v>
      </c>
      <c r="Z64" s="70">
        <f>SUMIFS(разходи!$L:$L,разходи!$E:$E,'ПП Март'!$C$64,разходи!$M:$M,'ПП Март'!Z2)</f>
        <v>0</v>
      </c>
      <c r="AA64" s="60">
        <f>SUMIFS(разходи!$L:$L,разходи!$E:$E,'ПП Март'!$C$64,разходи!$M:$M,'ПП Март'!AA2)</f>
        <v>0</v>
      </c>
      <c r="AB64" s="60">
        <f>SUMIFS(разходи!$L:$L,разходи!$E:$E,'ПП Март'!$C$64,разходи!$M:$M,'ПП Март'!AB2)</f>
        <v>0</v>
      </c>
      <c r="AC64" s="70">
        <f>SUMIFS(разходи!$L:$L,разходи!$E:$E,'ПП Март'!$C$64,разходи!$M:$M,'ПП Март'!AC2)</f>
        <v>0</v>
      </c>
      <c r="AD64" s="70">
        <f>SUMIFS(разходи!$L:$L,разходи!$E:$E,'ПП Март'!$C$64,разходи!$M:$M,'ПП Март'!AD2)</f>
        <v>0</v>
      </c>
      <c r="AE64" s="70">
        <f>SUMIFS(разходи!$L:$L,разходи!$E:$E,'ПП Март'!$C$64,разходи!$M:$M,'ПП Март'!AE2)</f>
        <v>0</v>
      </c>
      <c r="AF64" s="70">
        <f>SUMIFS(разходи!$L:$L,разходи!$E:$E,'ПП Март'!$C$64,разходи!$M:$M,'ПП Март'!AF2)</f>
        <v>0</v>
      </c>
      <c r="AG64" s="70">
        <f>SUMIFS(разходи!$L:$L,разходи!$E:$E,'ПП Март'!$C$64,разходи!$M:$M,'ПП Март'!AG2)</f>
        <v>23806.58</v>
      </c>
      <c r="AH64" s="60">
        <f>SUMIFS(разходи!$L:$L,разходи!$E:$E,'ПП Март'!$C$64,разходи!$M:$M,'ПП Март'!AH2)</f>
        <v>0</v>
      </c>
      <c r="AI64" s="60">
        <f>SUMIFS(разходи!$L:$L,разходи!$E:$E,'ПП Март'!$C$64,разходи!$M:$M,'ПП Март'!AI2)</f>
        <v>0</v>
      </c>
      <c r="AJ64" s="61">
        <f t="shared" si="20"/>
        <v>23806.58</v>
      </c>
      <c r="AK64" s="69">
        <f t="shared" si="21"/>
        <v>-23806.58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68"/>
      <c r="E65" s="70">
        <f>SUMIFS(разходи!$L:$L,разходи!$E:$E,'ПП Март'!$C$65,разходи!$M:$M,'ПП Март'!E2)</f>
        <v>0</v>
      </c>
      <c r="F65" s="60">
        <f>SUMIFS(разходи!$L:$L,разходи!$E:$E,'ПП Март'!$C$65,разходи!$M:$M,'ПП Март'!F2)</f>
        <v>0</v>
      </c>
      <c r="G65" s="60">
        <f>SUMIFS(разходи!$L:$L,разходи!$E:$E,'ПП Март'!$C$65,разходи!$M:$M,'ПП Март'!G2)</f>
        <v>0</v>
      </c>
      <c r="H65" s="60">
        <f>SUMIFS(разходи!$L:$L,разходи!$E:$E,'ПП Март'!$C$65,разходи!$M:$M,'ПП Март'!H2)</f>
        <v>0</v>
      </c>
      <c r="I65" s="70">
        <f>SUMIFS(разходи!$L:$L,разходи!$E:$E,'ПП Март'!$C$65,разходи!$M:$M,'ПП Март'!I2)</f>
        <v>0</v>
      </c>
      <c r="J65" s="70">
        <f>SUMIFS(разходи!$L:$L,разходи!$E:$E,'ПП Март'!$C$65,разходи!$M:$M,'ПП Март'!J2)</f>
        <v>0</v>
      </c>
      <c r="K65" s="70">
        <f>SUMIFS(разходи!$L:$L,разходи!$E:$E,'ПП Март'!$C$65,разходи!$M:$M,'ПП Март'!K2)</f>
        <v>0</v>
      </c>
      <c r="L65" s="70">
        <f>SUMIFS(разходи!$L:$L,разходи!$E:$E,'ПП Март'!$C$65,разходи!$M:$M,'ПП Март'!L2)</f>
        <v>0</v>
      </c>
      <c r="M65" s="60">
        <f>SUMIFS(разходи!$L:$L,разходи!$E:$E,'ПП Март'!$C$65,разходи!$M:$M,'ПП Март'!M2)</f>
        <v>0</v>
      </c>
      <c r="N65" s="60">
        <f>SUMIFS(разходи!$L:$L,разходи!$E:$E,'ПП Март'!$C$65,разходи!$M:$M,'ПП Март'!N2)</f>
        <v>0</v>
      </c>
      <c r="O65" s="70">
        <f>SUMIFS(разходи!$L:$L,разходи!$E:$E,'ПП Март'!$C$65,разходи!$M:$M,'ПП Март'!O2)</f>
        <v>0</v>
      </c>
      <c r="P65" s="70">
        <f>SUMIFS(разходи!$L:$L,разходи!$E:$E,'ПП Март'!$C$65,разходи!$M:$M,'ПП Март'!P2)</f>
        <v>0</v>
      </c>
      <c r="Q65" s="70">
        <f>SUMIFS(разходи!$L:$L,разходи!$E:$E,'ПП Март'!$C$65,разходи!$M:$M,'ПП Март'!Q2)</f>
        <v>0</v>
      </c>
      <c r="R65" s="70">
        <f>SUMIFS(разходи!$L:$L,разходи!$E:$E,'ПП Март'!$C$65,разходи!$M:$M,'ПП Март'!R2)</f>
        <v>0</v>
      </c>
      <c r="S65" s="70">
        <f>SUMIFS(разходи!$L:$L,разходи!$E:$E,'ПП Март'!$C$65,разходи!$M:$M,'ПП Март'!S2)</f>
        <v>0</v>
      </c>
      <c r="T65" s="60">
        <f>SUMIFS(разходи!$L:$L,разходи!$E:$E,'ПП Март'!$C$65,разходи!$M:$M,'ПП Март'!T2)</f>
        <v>0</v>
      </c>
      <c r="U65" s="60">
        <f>SUMIFS(разходи!$L:$L,разходи!$E:$E,'ПП Март'!$C$65,разходи!$M:$M,'ПП Март'!U2)</f>
        <v>0</v>
      </c>
      <c r="V65" s="70">
        <f>SUMIFS(разходи!$L:$L,разходи!$E:$E,'ПП Март'!$C$65,разходи!$M:$M,'ПП Март'!V2)</f>
        <v>0</v>
      </c>
      <c r="W65" s="70">
        <f>SUMIFS(разходи!$L:$L,разходи!$E:$E,'ПП Март'!$C$65,разходи!$M:$M,'ПП Март'!W2)</f>
        <v>0</v>
      </c>
      <c r="X65" s="70">
        <f>SUMIFS(разходи!$L:$L,разходи!$E:$E,'ПП Март'!$C$65,разходи!$M:$M,'ПП Март'!X2)</f>
        <v>0</v>
      </c>
      <c r="Y65" s="70">
        <f>SUMIFS(разходи!$L:$L,разходи!$E:$E,'ПП Март'!$C$65,разходи!$M:$M,'ПП Март'!Y2)</f>
        <v>0</v>
      </c>
      <c r="Z65" s="70">
        <f>SUMIFS(разходи!$L:$L,разходи!$E:$E,'ПП Март'!$C$65,разходи!$M:$M,'ПП Март'!Z2)</f>
        <v>0</v>
      </c>
      <c r="AA65" s="60">
        <f>SUMIFS(разходи!$L:$L,разходи!$E:$E,'ПП Март'!$C$65,разходи!$M:$M,'ПП Март'!AA2)</f>
        <v>0</v>
      </c>
      <c r="AB65" s="60">
        <f>SUMIFS(разходи!$L:$L,разходи!$E:$E,'ПП Март'!$C$65,разходи!$M:$M,'ПП Март'!AB2)</f>
        <v>0</v>
      </c>
      <c r="AC65" s="70">
        <f>SUMIFS(разходи!$L:$L,разходи!$E:$E,'ПП Март'!$C$65,разходи!$M:$M,'ПП Март'!AC2)</f>
        <v>0</v>
      </c>
      <c r="AD65" s="70">
        <f>SUMIFS(разходи!$L:$L,разходи!$E:$E,'ПП Март'!$C$65,разходи!$M:$M,'ПП Март'!AD2)</f>
        <v>0</v>
      </c>
      <c r="AE65" s="70">
        <f>SUMIFS(разходи!$L:$L,разходи!$E:$E,'ПП Март'!$C$65,разходи!$M:$M,'ПП Март'!AE2)</f>
        <v>0</v>
      </c>
      <c r="AF65" s="70">
        <f>SUMIFS(разходи!$L:$L,разходи!$E:$E,'ПП Март'!$C$65,разходи!$M:$M,'ПП Март'!AF2)</f>
        <v>0</v>
      </c>
      <c r="AG65" s="70">
        <f>SUMIFS(разходи!$L:$L,разходи!$E:$E,'ПП Март'!$C$65,разходи!$M:$M,'ПП Март'!AG2)</f>
        <v>0</v>
      </c>
      <c r="AH65" s="60">
        <f>SUMIFS(разходи!$L:$L,разходи!$E:$E,'ПП Март'!$C$65,разходи!$M:$M,'ПП Март'!AH2)</f>
        <v>0</v>
      </c>
      <c r="AI65" s="60">
        <f>SUMIFS(разходи!$L:$L,разходи!$E:$E,'ПП Март'!$C$65,разходи!$M:$M,'ПП Март'!AI2)</f>
        <v>0</v>
      </c>
      <c r="AJ65" s="61">
        <f t="shared" si="20"/>
        <v>0</v>
      </c>
      <c r="AK65" s="69">
        <f t="shared" si="21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8">D3-D23</f>
        <v>16126401.686807241</v>
      </c>
      <c r="E66" s="54">
        <f t="shared" si="28"/>
        <v>-66737.010000000024</v>
      </c>
      <c r="F66" s="54">
        <f t="shared" si="28"/>
        <v>0</v>
      </c>
      <c r="G66" s="54">
        <f t="shared" si="28"/>
        <v>0</v>
      </c>
      <c r="H66" s="54">
        <f t="shared" si="28"/>
        <v>2187490.048</v>
      </c>
      <c r="I66" s="54">
        <f t="shared" si="28"/>
        <v>2739926.8680000002</v>
      </c>
      <c r="J66" s="54">
        <f t="shared" si="28"/>
        <v>0</v>
      </c>
      <c r="K66" s="54">
        <f t="shared" si="28"/>
        <v>198366.804</v>
      </c>
      <c r="L66" s="54">
        <f t="shared" si="28"/>
        <v>0</v>
      </c>
      <c r="M66" s="54">
        <f t="shared" si="28"/>
        <v>0</v>
      </c>
      <c r="N66" s="54">
        <f t="shared" si="28"/>
        <v>-33964.300000000003</v>
      </c>
      <c r="O66" s="54">
        <f t="shared" si="28"/>
        <v>-38416.97</v>
      </c>
      <c r="P66" s="54">
        <f t="shared" si="28"/>
        <v>-135851.51</v>
      </c>
      <c r="Q66" s="54">
        <f t="shared" si="28"/>
        <v>-45867.6</v>
      </c>
      <c r="R66" s="54">
        <f t="shared" si="28"/>
        <v>-93138.27</v>
      </c>
      <c r="S66" s="54">
        <f t="shared" si="28"/>
        <v>-357658.86000000004</v>
      </c>
      <c r="T66" s="54">
        <f t="shared" si="28"/>
        <v>0</v>
      </c>
      <c r="U66" s="54">
        <f t="shared" si="28"/>
        <v>0</v>
      </c>
      <c r="V66" s="54">
        <f t="shared" si="28"/>
        <v>-283557.06</v>
      </c>
      <c r="W66" s="54">
        <f t="shared" si="28"/>
        <v>3291.76</v>
      </c>
      <c r="X66" s="54">
        <f t="shared" si="28"/>
        <v>40449.226000000002</v>
      </c>
      <c r="Y66" s="54">
        <f t="shared" si="28"/>
        <v>28884.59599999999</v>
      </c>
      <c r="Z66" s="54">
        <f t="shared" si="28"/>
        <v>-59291.786000000007</v>
      </c>
      <c r="AA66" s="54">
        <f t="shared" si="28"/>
        <v>0</v>
      </c>
      <c r="AB66" s="54">
        <f t="shared" si="28"/>
        <v>0</v>
      </c>
      <c r="AC66" s="54">
        <f t="shared" si="28"/>
        <v>-62760</v>
      </c>
      <c r="AD66" s="54">
        <f t="shared" si="28"/>
        <v>-124325.6</v>
      </c>
      <c r="AE66" s="54">
        <f t="shared" si="28"/>
        <v>1930150.9300000002</v>
      </c>
      <c r="AF66" s="54">
        <f t="shared" si="28"/>
        <v>1868432.3</v>
      </c>
      <c r="AG66" s="54">
        <f t="shared" si="28"/>
        <v>-77107.41</v>
      </c>
      <c r="AH66" s="54">
        <f t="shared" si="28"/>
        <v>0</v>
      </c>
      <c r="AI66" s="54">
        <f t="shared" si="28"/>
        <v>0</v>
      </c>
      <c r="AJ66" s="54">
        <f t="shared" si="20"/>
        <v>7618316.1559999995</v>
      </c>
      <c r="AK66" s="54">
        <f t="shared" si="21"/>
        <v>8508085.5308072418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B6E9-4522-40F6-B325-117974A718B7}">
  <sheetPr>
    <tabColor theme="7" tint="0.79998168889431442"/>
  </sheetPr>
  <dimension ref="A1:AJ67"/>
  <sheetViews>
    <sheetView zoomScale="70" zoomScaleNormal="70" workbookViewId="0">
      <pane xSplit="4" ySplit="2" topLeftCell="U32" activePane="bottomRight" state="frozen"/>
      <selection pane="topRight" activeCell="E1" sqref="E1"/>
      <selection pane="bottomLeft" activeCell="A3" sqref="A3"/>
      <selection pane="bottomRight" activeCell="C50" sqref="C50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7" width="15.28515625" style="43" customWidth="1"/>
    <col min="18" max="18" width="19.5703125" style="43" customWidth="1"/>
    <col min="19" max="19" width="22.140625" style="14" bestFit="1" customWidth="1"/>
    <col min="20" max="20" width="20.140625" style="14" customWidth="1"/>
    <col min="21" max="21" width="14.140625" style="14" customWidth="1"/>
    <col min="22" max="22" width="13.85546875" style="14" customWidth="1"/>
    <col min="23" max="23" width="14.7109375" style="14" customWidth="1"/>
    <col min="24" max="24" width="14.28515625" style="14" customWidth="1"/>
    <col min="25" max="25" width="14" style="14" customWidth="1"/>
    <col min="26" max="26" width="13.85546875" style="14" customWidth="1"/>
    <col min="27" max="27" width="13.42578125" style="14" customWidth="1"/>
    <col min="28" max="28" width="13.5703125" style="14" customWidth="1"/>
    <col min="29" max="29" width="13.42578125" style="14" customWidth="1"/>
    <col min="30" max="30" width="16.42578125" style="14" bestFit="1" customWidth="1"/>
    <col min="31" max="31" width="13.85546875" style="14" customWidth="1"/>
    <col min="32" max="32" width="13.42578125" style="14" customWidth="1"/>
    <col min="33" max="33" width="13.5703125" style="14" customWidth="1"/>
    <col min="34" max="34" width="13.7109375" style="14" customWidth="1"/>
    <col min="35" max="35" width="21.28515625" style="30" bestFit="1" customWidth="1"/>
    <col min="36" max="36" width="30.28515625" style="14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18">
        <v>45383</v>
      </c>
      <c r="F2" s="18">
        <v>45384</v>
      </c>
      <c r="G2" s="18">
        <v>45385</v>
      </c>
      <c r="H2" s="18">
        <v>45386</v>
      </c>
      <c r="I2" s="18">
        <v>45387</v>
      </c>
      <c r="J2" s="31">
        <v>45388</v>
      </c>
      <c r="K2" s="31">
        <v>45389</v>
      </c>
      <c r="L2" s="18">
        <v>45390</v>
      </c>
      <c r="M2" s="18">
        <v>45391</v>
      </c>
      <c r="N2" s="18">
        <v>45392</v>
      </c>
      <c r="O2" s="18">
        <v>45393</v>
      </c>
      <c r="P2" s="18">
        <v>45394</v>
      </c>
      <c r="Q2" s="31">
        <v>45395</v>
      </c>
      <c r="R2" s="31">
        <v>45396</v>
      </c>
      <c r="S2" s="18">
        <v>45397</v>
      </c>
      <c r="T2" s="18">
        <v>45398</v>
      </c>
      <c r="U2" s="18">
        <v>45399</v>
      </c>
      <c r="V2" s="18">
        <v>45400</v>
      </c>
      <c r="W2" s="18">
        <v>45401</v>
      </c>
      <c r="X2" s="31">
        <v>45402</v>
      </c>
      <c r="Y2" s="31">
        <v>45403</v>
      </c>
      <c r="Z2" s="18">
        <v>45404</v>
      </c>
      <c r="AA2" s="18">
        <v>45405</v>
      </c>
      <c r="AB2" s="18">
        <v>45406</v>
      </c>
      <c r="AC2" s="18">
        <v>45407</v>
      </c>
      <c r="AD2" s="18">
        <v>45408</v>
      </c>
      <c r="AE2" s="31">
        <v>45409</v>
      </c>
      <c r="AF2" s="31">
        <v>45410</v>
      </c>
      <c r="AG2" s="18">
        <v>45411</v>
      </c>
      <c r="AH2" s="18">
        <v>45412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0">SUM(D4,D11)</f>
        <v>13841187.261919999</v>
      </c>
      <c r="E3" s="54">
        <f t="shared" si="0"/>
        <v>39632</v>
      </c>
      <c r="F3" s="54">
        <f t="shared" si="0"/>
        <v>52.359999999996774</v>
      </c>
      <c r="G3" s="54">
        <f t="shared" si="0"/>
        <v>17564.529999999995</v>
      </c>
      <c r="H3" s="54">
        <f t="shared" si="0"/>
        <v>97062.06</v>
      </c>
      <c r="I3" s="54">
        <f t="shared" si="0"/>
        <v>75183.760000000009</v>
      </c>
      <c r="J3" s="54">
        <f t="shared" si="0"/>
        <v>0</v>
      </c>
      <c r="K3" s="54">
        <f t="shared" si="0"/>
        <v>0</v>
      </c>
      <c r="L3" s="54">
        <f t="shared" si="0"/>
        <v>821886.79</v>
      </c>
      <c r="M3" s="54">
        <f t="shared" si="0"/>
        <v>5011.4299999999994</v>
      </c>
      <c r="N3" s="54">
        <f t="shared" si="0"/>
        <v>118925.08</v>
      </c>
      <c r="O3" s="54">
        <f t="shared" si="0"/>
        <v>0</v>
      </c>
      <c r="P3" s="54">
        <f t="shared" si="0"/>
        <v>990014.04999999993</v>
      </c>
      <c r="Q3" s="54">
        <f t="shared" si="0"/>
        <v>0</v>
      </c>
      <c r="R3" s="54">
        <f t="shared" si="0"/>
        <v>0</v>
      </c>
      <c r="S3" s="54">
        <f t="shared" si="0"/>
        <v>185253.024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1321721.5080000001</v>
      </c>
      <c r="AE3" s="54">
        <f t="shared" si="0"/>
        <v>0</v>
      </c>
      <c r="AF3" s="54">
        <f t="shared" si="0"/>
        <v>0</v>
      </c>
      <c r="AG3" s="54">
        <f t="shared" si="0"/>
        <v>495170.43599999999</v>
      </c>
      <c r="AH3" s="54">
        <f t="shared" si="0"/>
        <v>0</v>
      </c>
      <c r="AI3" s="54">
        <f t="shared" ref="AI3:AI34" si="1">SUM(E3:AH3)</f>
        <v>4167477.0279999999</v>
      </c>
      <c r="AJ3" s="54">
        <f t="shared" ref="AJ3:AJ34" si="2">+D3-AI3</f>
        <v>9673710.2339200005</v>
      </c>
    </row>
    <row r="4" spans="1:36" s="4" customFormat="1" ht="20.100000000000001" customHeight="1" x14ac:dyDescent="0.3">
      <c r="B4" s="5" t="s">
        <v>848</v>
      </c>
      <c r="C4" s="6" t="s">
        <v>849</v>
      </c>
      <c r="D4" s="55">
        <f t="shared" ref="D4" si="3">SUM(D5,D9,D10)</f>
        <v>13711661.133919999</v>
      </c>
      <c r="E4" s="55">
        <f>SUM(E5,E9,E10)</f>
        <v>39632</v>
      </c>
      <c r="F4" s="73">
        <f>SUM(F5,F9,F10)</f>
        <v>-366.90000000000322</v>
      </c>
      <c r="G4" s="73">
        <f>SUM(G5,G9,G10)</f>
        <v>15691.249999999996</v>
      </c>
      <c r="H4" s="73">
        <f>+H5+H9+H10</f>
        <v>92890.27</v>
      </c>
      <c r="I4" s="55">
        <f t="shared" ref="I4:AH4" si="4">SUM(I5,I9,I10)</f>
        <v>75148.23000000001</v>
      </c>
      <c r="J4" s="77">
        <f t="shared" si="4"/>
        <v>0</v>
      </c>
      <c r="K4" s="77">
        <f t="shared" si="4"/>
        <v>0</v>
      </c>
      <c r="L4" s="55">
        <f t="shared" si="4"/>
        <v>783999.1</v>
      </c>
      <c r="M4" s="73">
        <f t="shared" si="4"/>
        <v>4743.2999999999993</v>
      </c>
      <c r="N4" s="73">
        <f t="shared" si="4"/>
        <v>111744.07</v>
      </c>
      <c r="O4" s="55">
        <f t="shared" si="4"/>
        <v>0</v>
      </c>
      <c r="P4" s="55">
        <f t="shared" si="4"/>
        <v>890390.79999999993</v>
      </c>
      <c r="Q4" s="77">
        <f t="shared" si="4"/>
        <v>0</v>
      </c>
      <c r="R4" s="77">
        <f t="shared" si="4"/>
        <v>0</v>
      </c>
      <c r="S4" s="55">
        <f t="shared" si="4"/>
        <v>109660.62</v>
      </c>
      <c r="T4" s="73">
        <f t="shared" si="4"/>
        <v>0</v>
      </c>
      <c r="U4" s="73">
        <f t="shared" si="4"/>
        <v>0</v>
      </c>
      <c r="V4" s="55">
        <f t="shared" si="4"/>
        <v>0</v>
      </c>
      <c r="W4" s="55">
        <f t="shared" si="4"/>
        <v>0</v>
      </c>
      <c r="X4" s="77">
        <f t="shared" si="4"/>
        <v>0</v>
      </c>
      <c r="Y4" s="77">
        <f t="shared" si="4"/>
        <v>0</v>
      </c>
      <c r="Z4" s="55">
        <f t="shared" si="4"/>
        <v>0</v>
      </c>
      <c r="AA4" s="73">
        <f t="shared" si="4"/>
        <v>0</v>
      </c>
      <c r="AB4" s="73">
        <f t="shared" si="4"/>
        <v>0</v>
      </c>
      <c r="AC4" s="55">
        <f t="shared" si="4"/>
        <v>0</v>
      </c>
      <c r="AD4" s="55">
        <f t="shared" si="4"/>
        <v>1321721.5080000001</v>
      </c>
      <c r="AE4" s="77">
        <f t="shared" si="4"/>
        <v>0</v>
      </c>
      <c r="AF4" s="77">
        <f t="shared" si="4"/>
        <v>0</v>
      </c>
      <c r="AG4" s="55">
        <f t="shared" si="4"/>
        <v>423544.25999999995</v>
      </c>
      <c r="AH4" s="73">
        <f t="shared" si="4"/>
        <v>0</v>
      </c>
      <c r="AI4" s="57">
        <f t="shared" si="1"/>
        <v>3868798.5080000004</v>
      </c>
      <c r="AJ4" s="58">
        <f t="shared" si="2"/>
        <v>9842862.6259199977</v>
      </c>
    </row>
    <row r="5" spans="1:36" s="4" customFormat="1" ht="20.100000000000001" customHeight="1" x14ac:dyDescent="0.3">
      <c r="B5" s="7">
        <v>1</v>
      </c>
      <c r="C5" s="8" t="s">
        <v>850</v>
      </c>
      <c r="D5" s="59">
        <f>SUM(D6:D8)</f>
        <v>13699061.133919999</v>
      </c>
      <c r="E5" s="59">
        <f t="shared" ref="E5" si="5">SUM(E6:E8)</f>
        <v>0</v>
      </c>
      <c r="F5" s="74">
        <f>SUM(F6:F8)</f>
        <v>-366.90000000000322</v>
      </c>
      <c r="G5" s="74">
        <f>SUM(G6:G8)</f>
        <v>15691.249999999996</v>
      </c>
      <c r="H5" s="74">
        <f>+H6+H7+H8</f>
        <v>75777.39</v>
      </c>
      <c r="I5" s="59">
        <f t="shared" ref="I5:AH5" si="6">SUM(I6:I8)</f>
        <v>63481.830000000009</v>
      </c>
      <c r="J5" s="76">
        <f t="shared" si="6"/>
        <v>0</v>
      </c>
      <c r="K5" s="76">
        <f t="shared" si="6"/>
        <v>0</v>
      </c>
      <c r="L5" s="59">
        <f t="shared" si="6"/>
        <v>766353.1</v>
      </c>
      <c r="M5" s="74">
        <f t="shared" si="6"/>
        <v>4743.2999999999993</v>
      </c>
      <c r="N5" s="74">
        <f t="shared" si="6"/>
        <v>111744.07</v>
      </c>
      <c r="O5" s="59">
        <f t="shared" si="6"/>
        <v>0</v>
      </c>
      <c r="P5" s="59">
        <f t="shared" si="6"/>
        <v>890390.79999999993</v>
      </c>
      <c r="Q5" s="76">
        <f t="shared" si="6"/>
        <v>0</v>
      </c>
      <c r="R5" s="76">
        <f t="shared" si="6"/>
        <v>0</v>
      </c>
      <c r="S5" s="59">
        <f t="shared" si="6"/>
        <v>109660.62</v>
      </c>
      <c r="T5" s="74">
        <f t="shared" si="6"/>
        <v>0</v>
      </c>
      <c r="U5" s="74">
        <f t="shared" si="6"/>
        <v>0</v>
      </c>
      <c r="V5" s="59">
        <f t="shared" si="6"/>
        <v>0</v>
      </c>
      <c r="W5" s="59">
        <f t="shared" si="6"/>
        <v>0</v>
      </c>
      <c r="X5" s="76">
        <f t="shared" si="6"/>
        <v>0</v>
      </c>
      <c r="Y5" s="76">
        <f t="shared" si="6"/>
        <v>0</v>
      </c>
      <c r="Z5" s="59">
        <f t="shared" si="6"/>
        <v>0</v>
      </c>
      <c r="AA5" s="74">
        <f t="shared" si="6"/>
        <v>0</v>
      </c>
      <c r="AB5" s="74">
        <f t="shared" si="6"/>
        <v>0</v>
      </c>
      <c r="AC5" s="59">
        <f t="shared" si="6"/>
        <v>0</v>
      </c>
      <c r="AD5" s="59">
        <f t="shared" si="6"/>
        <v>1318991.5080000001</v>
      </c>
      <c r="AE5" s="76">
        <f t="shared" si="6"/>
        <v>0</v>
      </c>
      <c r="AF5" s="76">
        <f t="shared" si="6"/>
        <v>0</v>
      </c>
      <c r="AG5" s="59">
        <f t="shared" si="6"/>
        <v>415434.62399999995</v>
      </c>
      <c r="AH5" s="74">
        <f t="shared" si="6"/>
        <v>0</v>
      </c>
      <c r="AI5" s="61">
        <f t="shared" si="1"/>
        <v>3771901.5920000002</v>
      </c>
      <c r="AJ5" s="62">
        <f t="shared" si="2"/>
        <v>9927159.5419199988</v>
      </c>
    </row>
    <row r="6" spans="1:36" s="23" customFormat="1" ht="20.100000000000001" customHeight="1" outlineLevel="1" x14ac:dyDescent="0.3">
      <c r="B6" s="24"/>
      <c r="C6" s="25" t="s">
        <v>851</v>
      </c>
      <c r="D6" s="63">
        <v>9052869.15264</v>
      </c>
      <c r="E6" s="64"/>
      <c r="F6" s="75"/>
      <c r="G6" s="75"/>
      <c r="H6" s="75"/>
      <c r="I6" s="64"/>
      <c r="J6" s="78"/>
      <c r="K6" s="78"/>
      <c r="L6" s="64"/>
      <c r="M6" s="75"/>
      <c r="N6" s="75"/>
      <c r="O6" s="64"/>
      <c r="P6" s="64"/>
      <c r="Q6" s="78"/>
      <c r="R6" s="78"/>
      <c r="S6" s="64"/>
      <c r="T6" s="75"/>
      <c r="U6" s="75"/>
      <c r="V6" s="64"/>
      <c r="W6" s="64"/>
      <c r="X6" s="78"/>
      <c r="Y6" s="78"/>
      <c r="Z6" s="64"/>
      <c r="AA6" s="75"/>
      <c r="AB6" s="75"/>
      <c r="AC6" s="64"/>
      <c r="AD6" s="64"/>
      <c r="AE6" s="78"/>
      <c r="AF6" s="78"/>
      <c r="AG6" s="64"/>
      <c r="AH6" s="75"/>
      <c r="AI6" s="66">
        <f t="shared" si="1"/>
        <v>0</v>
      </c>
      <c r="AJ6" s="67">
        <f t="shared" si="2"/>
        <v>9052869.15264</v>
      </c>
    </row>
    <row r="7" spans="1:36" s="21" customFormat="1" ht="20.100000000000001" customHeight="1" outlineLevel="1" x14ac:dyDescent="0.3">
      <c r="B7" s="22"/>
      <c r="C7" s="8" t="s">
        <v>53</v>
      </c>
      <c r="D7" s="68">
        <v>4467149.9812799999</v>
      </c>
      <c r="E7" s="59">
        <f>SUMIFS(приходи!$L:$L,приходи!$E:$E,'ПП Април'!$C$7,приходи!$M:$M,'ПП Април'!E2)</f>
        <v>0</v>
      </c>
      <c r="F7" s="74">
        <f>SUMIFS(приходи!$L:$L,приходи!$E:$E,'ПП Април'!$C$7,приходи!$M:$M,'ПП Април'!F2)</f>
        <v>0</v>
      </c>
      <c r="G7" s="74">
        <f>SUMIFS(приходи!$L:$L,приходи!$E:$E,'ПП Април'!$C$7,приходи!$M:$M,'ПП Април'!G2)</f>
        <v>0</v>
      </c>
      <c r="H7" s="74">
        <f>SUMIFS(приходи!$L:$L,приходи!$E:$E,'ПП Април'!$C$7,приходи!$M:$M,'ПП Април'!H2)</f>
        <v>0</v>
      </c>
      <c r="I7" s="59">
        <f>SUMIFS(приходи!$L:$L,приходи!$E:$E,'ПП Април'!$C$7,приходи!$M:$M,'ПП Април'!I2)</f>
        <v>0</v>
      </c>
      <c r="J7" s="76">
        <f>SUMIFS(приходи!$L:$L,приходи!$E:$E,'ПП Април'!$C$7,приходи!$M:$M,'ПП Април'!J2)</f>
        <v>0</v>
      </c>
      <c r="K7" s="76">
        <f>SUMIFS(приходи!$L:$L,приходи!$E:$E,'ПП Април'!$C$7,приходи!$M:$M,'ПП Април'!K2)</f>
        <v>0</v>
      </c>
      <c r="L7" s="59">
        <f>SUMIFS(приходи!$L:$L,приходи!$E:$E,'ПП Април'!$C$7,приходи!$M:$M,'ПП Април'!L2)</f>
        <v>765050.36</v>
      </c>
      <c r="M7" s="74">
        <f>SUMIFS(приходи!$L:$L,приходи!$E:$E,'ПП Април'!$C$7,приходи!$M:$M,'ПП Април'!M2)</f>
        <v>0</v>
      </c>
      <c r="N7" s="74">
        <f>SUMIFS(приходи!$L:$L,приходи!$E:$E,'ПП Април'!$C$7,приходи!$M:$M,'ПП Април'!N2)</f>
        <v>97485.74</v>
      </c>
      <c r="O7" s="59">
        <f>SUMIFS(приходи!$L:$L,приходи!$E:$E,'ПП Април'!$C$7,приходи!$M:$M,'ПП Април'!O2)</f>
        <v>0</v>
      </c>
      <c r="P7" s="59">
        <f>SUMIFS(приходи!$L:$L,приходи!$E:$E,'ПП Април'!$C$7,приходи!$M:$M,'ПП Април'!P2)</f>
        <v>890390.79999999993</v>
      </c>
      <c r="Q7" s="76">
        <f>SUMIFS(приходи!$L:$L,приходи!$E:$E,'ПП Април'!$C$7,приходи!$M:$M,'ПП Април'!Q2)</f>
        <v>0</v>
      </c>
      <c r="R7" s="76">
        <f>SUMIFS(приходи!$L:$L,приходи!$E:$E,'ПП Април'!$C$7,приходи!$M:$M,'ПП Април'!R2)</f>
        <v>0</v>
      </c>
      <c r="S7" s="59">
        <f>SUMIFS(приходи!$L:$L,приходи!$E:$E,'ПП Април'!$C$7,приходи!$M:$M,'ПП Април'!S2)</f>
        <v>16060.367999999999</v>
      </c>
      <c r="T7" s="74">
        <f>SUMIFS(приходи!$L:$L,приходи!$E:$E,'ПП Април'!$C$7,приходи!$M:$M,'ПП Април'!T2)</f>
        <v>0</v>
      </c>
      <c r="U7" s="74">
        <f>SUMIFS(приходи!$L:$L,приходи!$E:$E,'ПП Април'!$C$7,приходи!$M:$M,'ПП Април'!U2)</f>
        <v>0</v>
      </c>
      <c r="V7" s="59">
        <f>SUMIFS(приходи!$L:$L,приходи!$E:$E,'ПП Април'!$C$7,приходи!$M:$M,'ПП Април'!V2)</f>
        <v>0</v>
      </c>
      <c r="W7" s="59">
        <f>SUMIFS(приходи!$L:$L,приходи!$E:$E,'ПП Април'!$C$7,приходи!$M:$M,'ПП Април'!W2)</f>
        <v>0</v>
      </c>
      <c r="X7" s="76">
        <f>SUMIFS(приходи!$L:$L,приходи!$E:$E,'ПП Април'!$C$7,приходи!$M:$M,'ПП Април'!X2)</f>
        <v>0</v>
      </c>
      <c r="Y7" s="76">
        <f>SUMIFS(приходи!$L:$L,приходи!$E:$E,'ПП Април'!$C$7,приходи!$M:$M,'ПП Април'!Y2)</f>
        <v>0</v>
      </c>
      <c r="Z7" s="59">
        <f>SUMIFS(приходи!$L:$L,приходи!$E:$E,'ПП Април'!$C$7,приходи!$M:$M,'ПП Април'!Z2)</f>
        <v>0</v>
      </c>
      <c r="AA7" s="74">
        <f>SUMIFS(приходи!$L:$L,приходи!$E:$E,'ПП Април'!$C$7,приходи!$M:$M,'ПП Април'!AA2)</f>
        <v>0</v>
      </c>
      <c r="AB7" s="74">
        <f>SUMIFS(приходи!$L:$L,приходи!$E:$E,'ПП Април'!$C$7,приходи!$M:$M,'ПП Април'!AB2)</f>
        <v>0</v>
      </c>
      <c r="AC7" s="59">
        <f>SUMIFS(приходи!$L:$L,приходи!$E:$E,'ПП Април'!$C$7,приходи!$M:$M,'ПП Април'!AC2)</f>
        <v>0</v>
      </c>
      <c r="AD7" s="59">
        <f>SUMIFS(приходи!$L:$L,приходи!$E:$E,'ПП Април'!$C$7,приходи!$M:$M,'ПП Април'!AD2)</f>
        <v>1225391.2560000001</v>
      </c>
      <c r="AE7" s="76">
        <f>SUMIFS(приходи!$L:$L,приходи!$E:$E,'ПП Април'!$C$7,приходи!$M:$M,'ПП Април'!AE2)</f>
        <v>0</v>
      </c>
      <c r="AF7" s="76">
        <f>SUMIFS(приходи!$L:$L,приходи!$E:$E,'ПП Април'!$C$7,приходи!$M:$M,'ПП Април'!AF2)</f>
        <v>0</v>
      </c>
      <c r="AG7" s="59">
        <f>SUMIFS(приходи!$L:$L,приходи!$E:$E,'ПП Април'!$C$7,приходи!$M:$M,'ПП Април'!AG2)</f>
        <v>369191.99999999994</v>
      </c>
      <c r="AH7" s="74">
        <f>SUMIFS(приходи!$L:$L,приходи!$E:$E,'ПП Април'!$C$7,приходи!$M:$M,'ПП Април'!AH2)</f>
        <v>0</v>
      </c>
      <c r="AI7" s="61">
        <f t="shared" si="1"/>
        <v>3363570.5240000002</v>
      </c>
      <c r="AJ7" s="69">
        <f t="shared" si="2"/>
        <v>1103579.4572799997</v>
      </c>
    </row>
    <row r="8" spans="1:36" s="21" customFormat="1" ht="20.100000000000001" customHeight="1" outlineLevel="1" x14ac:dyDescent="0.3">
      <c r="B8" s="22"/>
      <c r="C8" s="8" t="s">
        <v>33</v>
      </c>
      <c r="D8" s="68">
        <v>179042</v>
      </c>
      <c r="E8" s="59">
        <f>SUMIFS(приходи!$L:$L,приходи!$E:$E,'ПП Април'!$C$8,приходи!$M:$M,'ПП Април'!E2)</f>
        <v>0</v>
      </c>
      <c r="F8" s="74">
        <f>SUMIFS(приходи!$L:$L,приходи!$E:$E,'ПП Април'!$C$8,приходи!$M:$M,'ПП Април'!F2)</f>
        <v>-366.90000000000322</v>
      </c>
      <c r="G8" s="74">
        <f>SUMIFS(приходи!$L:$L,приходи!$E:$E,'ПП Април'!$C$8,приходи!$M:$M,'ПП Април'!G2)</f>
        <v>15691.249999999996</v>
      </c>
      <c r="H8" s="74">
        <f>SUMIFS(приходи!$L:$L,приходи!$E:$E,'ПП Април'!$C$8,приходи!$M:$M,'ПП Април'!H2)</f>
        <v>75777.39</v>
      </c>
      <c r="I8" s="59">
        <f>SUMIFS(приходи!$L:$L,приходи!$E:$E,'ПП Април'!$C$8,приходи!$M:$M,'ПП Април'!I2)</f>
        <v>63481.830000000009</v>
      </c>
      <c r="J8" s="76">
        <f>SUMIFS(приходи!$L:$L,приходи!$E:$E,'ПП Април'!$C$8,приходи!$M:$M,'ПП Април'!J2)</f>
        <v>0</v>
      </c>
      <c r="K8" s="76">
        <f>SUMIFS(приходи!$L:$L,приходи!$E:$E,'ПП Април'!$C$8,приходи!$M:$M,'ПП Април'!K2)</f>
        <v>0</v>
      </c>
      <c r="L8" s="59">
        <f>SUMIFS(приходи!$L:$L,приходи!$E:$E,'ПП Април'!$C$8,приходи!$M:$M,'ПП Април'!L2)</f>
        <v>1302.74</v>
      </c>
      <c r="M8" s="74">
        <f>SUMIFS(приходи!$L:$L,приходи!$E:$E,'ПП Април'!$C$8,приходи!$M:$M,'ПП Април'!M2)</f>
        <v>4743.2999999999993</v>
      </c>
      <c r="N8" s="74">
        <f>SUMIFS(приходи!$L:$L,приходи!$E:$E,'ПП Април'!$C$8,приходи!$M:$M,'ПП Април'!N2)</f>
        <v>14258.329999999998</v>
      </c>
      <c r="O8" s="59">
        <f>SUMIFS(приходи!$L:$L,приходи!$E:$E,'ПП Април'!$C$8,приходи!$M:$M,'ПП Април'!O2)</f>
        <v>0</v>
      </c>
      <c r="P8" s="59">
        <f>SUMIFS(приходи!$L:$L,приходи!$E:$E,'ПП Април'!$C$8,приходи!$M:$M,'ПП Април'!P2)</f>
        <v>0</v>
      </c>
      <c r="Q8" s="76">
        <f>SUMIFS(приходи!$L:$L,приходи!$E:$E,'ПП Април'!$C$8,приходи!$M:$M,'ПП Април'!Q2)</f>
        <v>0</v>
      </c>
      <c r="R8" s="76">
        <f>SUMIFS(приходи!$L:$L,приходи!$E:$E,'ПП Април'!$C$8,приходи!$M:$M,'ПП Април'!R2)</f>
        <v>0</v>
      </c>
      <c r="S8" s="59">
        <f>SUMIFS(приходи!$L:$L,приходи!$E:$E,'ПП Април'!$C$8,приходи!$M:$M,'ПП Април'!S2)</f>
        <v>93600.251999999993</v>
      </c>
      <c r="T8" s="74">
        <f>SUMIFS(приходи!$L:$L,приходи!$E:$E,'ПП Април'!$C$8,приходи!$M:$M,'ПП Април'!T2)</f>
        <v>0</v>
      </c>
      <c r="U8" s="74">
        <f>SUMIFS(приходи!$L:$L,приходи!$E:$E,'ПП Април'!$C$8,приходи!$M:$M,'ПП Април'!U2)</f>
        <v>0</v>
      </c>
      <c r="V8" s="59">
        <f>SUMIFS(приходи!$L:$L,приходи!$E:$E,'ПП Април'!$C$8,приходи!$M:$M,'ПП Април'!V2)</f>
        <v>0</v>
      </c>
      <c r="W8" s="59">
        <f>SUMIFS(приходи!$L:$L,приходи!$E:$E,'ПП Април'!$C$8,приходи!$M:$M,'ПП Април'!W2)</f>
        <v>0</v>
      </c>
      <c r="X8" s="76">
        <f>SUMIFS(приходи!$L:$L,приходи!$E:$E,'ПП Април'!$C$8,приходи!$M:$M,'ПП Април'!X2)</f>
        <v>0</v>
      </c>
      <c r="Y8" s="76">
        <f>SUMIFS(приходи!$L:$L,приходи!$E:$E,'ПП Април'!$C$8,приходи!$M:$M,'ПП Април'!Y2)</f>
        <v>0</v>
      </c>
      <c r="Z8" s="59">
        <f>SUMIFS(приходи!$L:$L,приходи!$E:$E,'ПП Април'!$C$8,приходи!$M:$M,'ПП Април'!Z2)</f>
        <v>0</v>
      </c>
      <c r="AA8" s="74">
        <f>SUMIFS(приходи!$L:$L,приходи!$E:$E,'ПП Април'!$C$8,приходи!$M:$M,'ПП Април'!AA2)</f>
        <v>0</v>
      </c>
      <c r="AB8" s="74">
        <f>SUMIFS(приходи!$L:$L,приходи!$E:$E,'ПП Април'!$C$8,приходи!$M:$M,'ПП Април'!AB2)</f>
        <v>0</v>
      </c>
      <c r="AC8" s="59">
        <f>SUMIFS(приходи!$L:$L,приходи!$E:$E,'ПП Април'!$C$8,приходи!$M:$M,'ПП Април'!AC2)</f>
        <v>0</v>
      </c>
      <c r="AD8" s="59">
        <f>SUMIFS(приходи!$L:$L,приходи!$E:$E,'ПП Април'!$C$8,приходи!$M:$M,'ПП Април'!AD2)</f>
        <v>93600.252000000008</v>
      </c>
      <c r="AE8" s="76">
        <f>SUMIFS(приходи!$L:$L,приходи!$E:$E,'ПП Април'!$C$8,приходи!$M:$M,'ПП Април'!AE2)</f>
        <v>0</v>
      </c>
      <c r="AF8" s="76">
        <f>SUMIFS(приходи!$L:$L,приходи!$E:$E,'ПП Април'!$C$8,приходи!$M:$M,'ПП Април'!AF2)</f>
        <v>0</v>
      </c>
      <c r="AG8" s="59">
        <f>SUMIFS(приходи!$L:$L,приходи!$E:$E,'ПП Април'!$C$8,приходи!$M:$M,'ПП Април'!AG2)</f>
        <v>46242.623999999996</v>
      </c>
      <c r="AH8" s="74">
        <f>SUMIFS(приходи!$L:$L,приходи!$E:$E,'ПП Април'!$C$8,приходи!$M:$M,'ПП Април'!AH2)</f>
        <v>0</v>
      </c>
      <c r="AI8" s="61">
        <f t="shared" si="1"/>
        <v>408331.06800000003</v>
      </c>
      <c r="AJ8" s="69">
        <f t="shared" si="2"/>
        <v>-229289.06800000003</v>
      </c>
    </row>
    <row r="9" spans="1:36" s="4" customFormat="1" ht="20.100000000000001" customHeight="1" x14ac:dyDescent="0.3">
      <c r="B9" s="7">
        <v>2</v>
      </c>
      <c r="C9" s="8" t="s">
        <v>36</v>
      </c>
      <c r="D9" s="68"/>
      <c r="E9" s="59">
        <f>SUMIFS(приходи!$L:$L,приходи!$E:$E,'ПП Април'!$C$9,приходи!$M:$M,'ПП Април'!E2)</f>
        <v>39632</v>
      </c>
      <c r="F9" s="74">
        <f>SUMIFS(приходи!$L:$L,приходи!$E:$E,'ПП Април'!$C$9,приходи!$M:$M,'ПП Април'!F2)</f>
        <v>0</v>
      </c>
      <c r="G9" s="74">
        <f>SUMIFS(приходи!$L:$L,приходи!$E:$E,'ПП Април'!$C$9,приходи!$M:$M,'ПП Април'!G2)</f>
        <v>0</v>
      </c>
      <c r="H9" s="74">
        <f>SUMIFS(приходи!$L:$L,приходи!$E:$E,'ПП Април'!$C$9,приходи!$M:$M,'ПП Април'!H2)</f>
        <v>0</v>
      </c>
      <c r="I9" s="59">
        <f>SUMIFS(приходи!$L:$L,приходи!$E:$E,'ПП Април'!$C$9,приходи!$M:$M,'ПП Април'!I2)</f>
        <v>11666.4</v>
      </c>
      <c r="J9" s="76">
        <f>SUMIFS(приходи!$L:$L,приходи!$E:$E,'ПП Април'!$C$9,приходи!$M:$M,'ПП Април'!J2)</f>
        <v>0</v>
      </c>
      <c r="K9" s="76">
        <f>SUMIFS(приходи!$L:$L,приходи!$E:$E,'ПП Април'!$C$9,приходи!$M:$M,'ПП Април'!K2)</f>
        <v>0</v>
      </c>
      <c r="L9" s="59">
        <f>SUMIFS(приходи!$L:$L,приходи!$E:$E,'ПП Април'!$C$9,приходи!$M:$M,'ПП Април'!L2)</f>
        <v>17646</v>
      </c>
      <c r="M9" s="74">
        <f>SUMIFS(приходи!$L:$L,приходи!$E:$E,'ПП Април'!$C$9,приходи!$M:$M,'ПП Април'!M2)</f>
        <v>0</v>
      </c>
      <c r="N9" s="74">
        <f>SUMIFS(приходи!$L:$L,приходи!$E:$E,'ПП Април'!$C$9,приходи!$M:$M,'ПП Април'!N2)</f>
        <v>0</v>
      </c>
      <c r="O9" s="59">
        <f>SUMIFS(приходи!$L:$L,приходи!$E:$E,'ПП Април'!$C$9,приходи!$M:$M,'ПП Април'!O2)</f>
        <v>0</v>
      </c>
      <c r="P9" s="59">
        <f>SUMIFS(приходи!$L:$L,приходи!$E:$E,'ПП Април'!$C$9,приходи!$M:$M,'ПП Април'!P2)</f>
        <v>0</v>
      </c>
      <c r="Q9" s="76">
        <f>SUMIFS(приходи!$L:$L,приходи!$E:$E,'ПП Април'!$C$9,приходи!$M:$M,'ПП Април'!Q2)</f>
        <v>0</v>
      </c>
      <c r="R9" s="76">
        <f>SUMIFS(приходи!$L:$L,приходи!$E:$E,'ПП Април'!$C$9,приходи!$M:$M,'ПП Април'!R2)</f>
        <v>0</v>
      </c>
      <c r="S9" s="59">
        <f>SUMIFS(приходи!$L:$L,приходи!$E:$E,'ПП Април'!$C$9,приходи!$M:$M,'ПП Април'!S2)</f>
        <v>0</v>
      </c>
      <c r="T9" s="74">
        <f>SUMIFS(приходи!$L:$L,приходи!$E:$E,'ПП Април'!$C$9,приходи!$M:$M,'ПП Април'!T2)</f>
        <v>0</v>
      </c>
      <c r="U9" s="74">
        <f>SUMIFS(приходи!$L:$L,приходи!$E:$E,'ПП Април'!$C$9,приходи!$M:$M,'ПП Април'!U2)</f>
        <v>0</v>
      </c>
      <c r="V9" s="59">
        <f>SUMIFS(приходи!$L:$L,приходи!$E:$E,'ПП Април'!$C$9,приходи!$M:$M,'ПП Април'!V2)</f>
        <v>0</v>
      </c>
      <c r="W9" s="59">
        <f>SUMIFS(приходи!$L:$L,приходи!$E:$E,'ПП Април'!$C$9,приходи!$M:$M,'ПП Април'!W2)</f>
        <v>0</v>
      </c>
      <c r="X9" s="76">
        <f>SUMIFS(приходи!$L:$L,приходи!$E:$E,'ПП Април'!$C$9,приходи!$M:$M,'ПП Април'!X2)</f>
        <v>0</v>
      </c>
      <c r="Y9" s="76">
        <f>SUMIFS(приходи!$L:$L,приходи!$E:$E,'ПП Април'!$C$9,приходи!$M:$M,'ПП Април'!Y2)</f>
        <v>0</v>
      </c>
      <c r="Z9" s="59">
        <f>SUMIFS(приходи!$L:$L,приходи!$E:$E,'ПП Април'!$C$9,приходи!$M:$M,'ПП Април'!Z2)</f>
        <v>0</v>
      </c>
      <c r="AA9" s="74">
        <f>SUMIFS(приходи!$L:$L,приходи!$E:$E,'ПП Април'!$C$9,приходи!$M:$M,'ПП Април'!AA2)</f>
        <v>0</v>
      </c>
      <c r="AB9" s="74">
        <f>SUMIFS(приходи!$L:$L,приходи!$E:$E,'ПП Април'!$C$9,приходи!$M:$M,'ПП Април'!AB2)</f>
        <v>0</v>
      </c>
      <c r="AC9" s="59">
        <f>SUMIFS(приходи!$L:$L,приходи!$E:$E,'ПП Април'!$C$9,приходи!$M:$M,'ПП Април'!AC2)</f>
        <v>0</v>
      </c>
      <c r="AD9" s="59">
        <f>SUMIFS(приходи!$L:$L,приходи!$E:$E,'ПП Април'!$C$9,приходи!$M:$M,'ПП Април'!AD2)</f>
        <v>2730</v>
      </c>
      <c r="AE9" s="76">
        <f>SUMIFS(приходи!$L:$L,приходи!$E:$E,'ПП Април'!$C$9,приходи!$M:$M,'ПП Април'!AE2)</f>
        <v>0</v>
      </c>
      <c r="AF9" s="76">
        <f>SUMIFS(приходи!$L:$L,приходи!$E:$E,'ПП Април'!$C$9,приходи!$M:$M,'ПП Април'!AF2)</f>
        <v>0</v>
      </c>
      <c r="AG9" s="59">
        <f>SUMIFS(приходи!$L:$L,приходи!$E:$E,'ПП Април'!$C$9,приходи!$M:$M,'ПП Април'!AG2)</f>
        <v>0</v>
      </c>
      <c r="AH9" s="74">
        <f>SUMIFS(приходи!$L:$L,приходи!$E:$E,'ПП Април'!$C$9,приходи!$M:$M,'ПП Април'!AH2)</f>
        <v>0</v>
      </c>
      <c r="AI9" s="61">
        <f t="shared" si="1"/>
        <v>71674.399999999994</v>
      </c>
      <c r="AJ9" s="69">
        <f t="shared" si="2"/>
        <v>-71674.399999999994</v>
      </c>
    </row>
    <row r="10" spans="1:36" s="4" customFormat="1" ht="20.100000000000001" customHeight="1" x14ac:dyDescent="0.3">
      <c r="B10" s="7">
        <v>3</v>
      </c>
      <c r="C10" s="8" t="s">
        <v>119</v>
      </c>
      <c r="D10" s="68">
        <v>12600</v>
      </c>
      <c r="E10" s="59">
        <f>SUMIFS(приходи!$L:$L,приходи!$E:$E,'ПП Април'!$C$10,приходи!$M:$M,'ПП Април'!E2)</f>
        <v>0</v>
      </c>
      <c r="F10" s="74">
        <f>SUMIFS(приходи!$L:$L,приходи!$E:$E,'ПП Април'!$C$10,приходи!$M:$M,'ПП Април'!F2)</f>
        <v>0</v>
      </c>
      <c r="G10" s="74">
        <f>SUMIFS(приходи!$L:$L,приходи!$E:$E,'ПП Април'!$C$10,приходи!$M:$M,'ПП Април'!G2)</f>
        <v>0</v>
      </c>
      <c r="H10" s="74">
        <f>SUMIFS(приходи!$L:$L,приходи!$E:$E,'ПП Април'!$C$10,приходи!$M:$M,'ПП Април'!H2)</f>
        <v>17112.88</v>
      </c>
      <c r="I10" s="59">
        <f>SUMIFS(приходи!$L:$L,приходи!$E:$E,'ПП Април'!$C$10,приходи!$M:$M,'ПП Април'!I2)</f>
        <v>0</v>
      </c>
      <c r="J10" s="76">
        <f>SUMIFS(приходи!$L:$L,приходи!$E:$E,'ПП Април'!$C$10,приходи!$M:$M,'ПП Април'!J2)</f>
        <v>0</v>
      </c>
      <c r="K10" s="76">
        <f>SUMIFS(приходи!$L:$L,приходи!$E:$E,'ПП Април'!$C$10,приходи!$M:$M,'ПП Април'!K2)</f>
        <v>0</v>
      </c>
      <c r="L10" s="59">
        <f>SUMIFS(приходи!$L:$L,приходи!$E:$E,'ПП Април'!$C$10,приходи!$M:$M,'ПП Април'!L2)</f>
        <v>0</v>
      </c>
      <c r="M10" s="74">
        <f>SUMIFS(приходи!$L:$L,приходи!$E:$E,'ПП Април'!$C$10,приходи!$M:$M,'ПП Април'!M2)</f>
        <v>0</v>
      </c>
      <c r="N10" s="74">
        <f>SUMIFS(приходи!$L:$L,приходи!$E:$E,'ПП Април'!$C$10,приходи!$M:$M,'ПП Април'!N2)</f>
        <v>0</v>
      </c>
      <c r="O10" s="59">
        <f>SUMIFS(приходи!$L:$L,приходи!$E:$E,'ПП Април'!$C$10,приходи!$M:$M,'ПП Април'!O2)</f>
        <v>0</v>
      </c>
      <c r="P10" s="59">
        <f>SUMIFS(приходи!$L:$L,приходи!$E:$E,'ПП Април'!$C$10,приходи!$M:$M,'ПП Април'!P2)</f>
        <v>0</v>
      </c>
      <c r="Q10" s="76">
        <f>SUMIFS(приходи!$L:$L,приходи!$E:$E,'ПП Април'!$C$10,приходи!$M:$M,'ПП Април'!Q2)</f>
        <v>0</v>
      </c>
      <c r="R10" s="76">
        <f>SUMIFS(приходи!$L:$L,приходи!$E:$E,'ПП Април'!$C$10,приходи!$M:$M,'ПП Април'!R2)</f>
        <v>0</v>
      </c>
      <c r="S10" s="59">
        <f>SUMIFS(приходи!$L:$L,приходи!$E:$E,'ПП Април'!$C$10,приходи!$M:$M,'ПП Април'!S2)</f>
        <v>0</v>
      </c>
      <c r="T10" s="74">
        <f>SUMIFS(приходи!$L:$L,приходи!$E:$E,'ПП Април'!$C$10,приходи!$M:$M,'ПП Април'!T2)</f>
        <v>0</v>
      </c>
      <c r="U10" s="74">
        <f>SUMIFS(приходи!$L:$L,приходи!$E:$E,'ПП Април'!$C$10,приходи!$M:$M,'ПП Април'!U2)</f>
        <v>0</v>
      </c>
      <c r="V10" s="59">
        <f>SUMIFS(приходи!$L:$L,приходи!$E:$E,'ПП Април'!$C$10,приходи!$M:$M,'ПП Април'!V2)</f>
        <v>0</v>
      </c>
      <c r="W10" s="59">
        <f>SUMIFS(приходи!$L:$L,приходи!$E:$E,'ПП Април'!$C$10,приходи!$M:$M,'ПП Април'!W2)</f>
        <v>0</v>
      </c>
      <c r="X10" s="76">
        <f>SUMIFS(приходи!$L:$L,приходи!$E:$E,'ПП Април'!$C$10,приходи!$M:$M,'ПП Април'!X2)</f>
        <v>0</v>
      </c>
      <c r="Y10" s="76">
        <f>SUMIFS(приходи!$L:$L,приходи!$E:$E,'ПП Април'!$C$10,приходи!$M:$M,'ПП Април'!Y2)</f>
        <v>0</v>
      </c>
      <c r="Z10" s="59">
        <f>SUMIFS(приходи!$L:$L,приходи!$E:$E,'ПП Април'!$C$10,приходи!$M:$M,'ПП Април'!Z2)</f>
        <v>0</v>
      </c>
      <c r="AA10" s="74">
        <f>SUMIFS(приходи!$L:$L,приходи!$E:$E,'ПП Април'!$C$10,приходи!$M:$M,'ПП Април'!AA2)</f>
        <v>0</v>
      </c>
      <c r="AB10" s="74">
        <f>SUMIFS(приходи!$L:$L,приходи!$E:$E,'ПП Април'!$C$10,приходи!$M:$M,'ПП Април'!AB2)</f>
        <v>0</v>
      </c>
      <c r="AC10" s="59">
        <f>SUMIFS(приходи!$L:$L,приходи!$E:$E,'ПП Април'!$C$10,приходи!$M:$M,'ПП Април'!AC2)</f>
        <v>0</v>
      </c>
      <c r="AD10" s="59">
        <f>SUMIFS(приходи!$L:$L,приходи!$E:$E,'ПП Април'!$C$10,приходи!$M:$M,'ПП Април'!AD2)</f>
        <v>0</v>
      </c>
      <c r="AE10" s="76">
        <f>SUMIFS(приходи!$L:$L,приходи!$E:$E,'ПП Април'!$C$10,приходи!$M:$M,'ПП Април'!AE2)</f>
        <v>0</v>
      </c>
      <c r="AF10" s="76">
        <f>SUMIFS(приходи!$L:$L,приходи!$E:$E,'ПП Април'!$C$10,приходи!$M:$M,'ПП Април'!AF2)</f>
        <v>0</v>
      </c>
      <c r="AG10" s="59">
        <f>SUMIFS(приходи!$L:$L,приходи!$E:$E,'ПП Април'!$C$10,приходи!$M:$M,'ПП Април'!AG2)</f>
        <v>8109.6359999999995</v>
      </c>
      <c r="AH10" s="74">
        <f>SUMIFS(приходи!$L:$L,приходи!$E:$E,'ПП Април'!$C$10,приходи!$M:$M,'ПП Април'!AH2)</f>
        <v>0</v>
      </c>
      <c r="AI10" s="61">
        <f t="shared" si="1"/>
        <v>25222.516</v>
      </c>
      <c r="AJ10" s="69">
        <f t="shared" si="2"/>
        <v>-12622.516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55">
        <f t="shared" ref="D11:AH11" si="7">SUM(D12:D13,D20,D21,D22)</f>
        <v>129526.128</v>
      </c>
      <c r="E11" s="55">
        <f t="shared" si="7"/>
        <v>0</v>
      </c>
      <c r="F11" s="73">
        <f t="shared" si="7"/>
        <v>419.26</v>
      </c>
      <c r="G11" s="73">
        <f t="shared" si="7"/>
        <v>1873.28</v>
      </c>
      <c r="H11" s="73">
        <f t="shared" si="7"/>
        <v>4171.79</v>
      </c>
      <c r="I11" s="55">
        <f t="shared" si="7"/>
        <v>35.53</v>
      </c>
      <c r="J11" s="77">
        <f t="shared" si="7"/>
        <v>0</v>
      </c>
      <c r="K11" s="77">
        <f t="shared" si="7"/>
        <v>0</v>
      </c>
      <c r="L11" s="55">
        <f t="shared" si="7"/>
        <v>37887.69</v>
      </c>
      <c r="M11" s="73">
        <f t="shared" si="7"/>
        <v>268.13</v>
      </c>
      <c r="N11" s="73">
        <f t="shared" si="7"/>
        <v>7181.01</v>
      </c>
      <c r="O11" s="55">
        <f t="shared" si="7"/>
        <v>0</v>
      </c>
      <c r="P11" s="55">
        <f t="shared" si="7"/>
        <v>99623.249999999985</v>
      </c>
      <c r="Q11" s="77">
        <f t="shared" si="7"/>
        <v>0</v>
      </c>
      <c r="R11" s="77">
        <f t="shared" si="7"/>
        <v>0</v>
      </c>
      <c r="S11" s="55">
        <f t="shared" si="7"/>
        <v>75592.40400000001</v>
      </c>
      <c r="T11" s="73">
        <f t="shared" si="7"/>
        <v>0</v>
      </c>
      <c r="U11" s="73">
        <f t="shared" si="7"/>
        <v>0</v>
      </c>
      <c r="V11" s="55">
        <f t="shared" si="7"/>
        <v>0</v>
      </c>
      <c r="W11" s="55">
        <f t="shared" si="7"/>
        <v>0</v>
      </c>
      <c r="X11" s="77">
        <f t="shared" si="7"/>
        <v>0</v>
      </c>
      <c r="Y11" s="77">
        <f t="shared" si="7"/>
        <v>0</v>
      </c>
      <c r="Z11" s="55">
        <f t="shared" si="7"/>
        <v>0</v>
      </c>
      <c r="AA11" s="73">
        <f t="shared" si="7"/>
        <v>0</v>
      </c>
      <c r="AB11" s="73">
        <f t="shared" si="7"/>
        <v>0</v>
      </c>
      <c r="AC11" s="55">
        <f t="shared" si="7"/>
        <v>0</v>
      </c>
      <c r="AD11" s="55">
        <f t="shared" si="7"/>
        <v>0</v>
      </c>
      <c r="AE11" s="77">
        <f t="shared" si="7"/>
        <v>0</v>
      </c>
      <c r="AF11" s="77">
        <f t="shared" si="7"/>
        <v>0</v>
      </c>
      <c r="AG11" s="55">
        <f t="shared" si="7"/>
        <v>71626.176000000007</v>
      </c>
      <c r="AH11" s="73">
        <f t="shared" si="7"/>
        <v>0</v>
      </c>
      <c r="AI11" s="57">
        <f t="shared" si="1"/>
        <v>298678.52</v>
      </c>
      <c r="AJ11" s="58">
        <f t="shared" si="2"/>
        <v>-169152.39200000002</v>
      </c>
    </row>
    <row r="12" spans="1:36" s="4" customFormat="1" ht="20.100000000000001" customHeight="1" x14ac:dyDescent="0.3">
      <c r="B12" s="7">
        <v>1</v>
      </c>
      <c r="C12" s="8" t="s">
        <v>58</v>
      </c>
      <c r="D12" s="68"/>
      <c r="E12" s="59">
        <f>SUMIFS(приходи!$L:$L,приходи!$E:$E,'ПП Април'!$C$12,приходи!$M:$M,'ПП Април'!E2)</f>
        <v>0</v>
      </c>
      <c r="F12" s="74">
        <f>SUMIFS(приходи!$L:$L,приходи!$E:$E,'ПП Април'!$C$12,приходи!$M:$M,'ПП Април'!F2)</f>
        <v>393.94</v>
      </c>
      <c r="G12" s="74">
        <f>SUMIFS(приходи!$L:$L,приходи!$E:$E,'ПП Април'!$C$12,приходи!$M:$M,'ПП Април'!G2)</f>
        <v>1295.29</v>
      </c>
      <c r="H12" s="74">
        <f>SUMIFS(приходи!$L:$L,приходи!$E:$E,'ПП Април'!$C$12,приходи!$M:$M,'ПП Април'!H2)</f>
        <v>4171.79</v>
      </c>
      <c r="I12" s="70">
        <f>SUMIFS(приходи!$L:$L,приходи!$E:$E,'ПП Април'!$C$12,приходи!$M:$M,'ПП Април'!I2)</f>
        <v>35.53</v>
      </c>
      <c r="J12" s="76">
        <f>SUMIFS(приходи!$L:$L,приходи!$E:$E,'ПП Април'!$C$12,приходи!$M:$M,'ПП Април'!J2)</f>
        <v>0</v>
      </c>
      <c r="K12" s="76">
        <f>SUMIFS(приходи!$L:$L,приходи!$E:$E,'ПП Април'!$C$12,приходи!$M:$M,'ПП Април'!K2)</f>
        <v>0</v>
      </c>
      <c r="L12" s="70">
        <f>SUMIFS(приходи!$L:$L,приходи!$E:$E,'ПП Април'!$C$12,приходи!$M:$M,'ПП Април'!L2)</f>
        <v>36318.71</v>
      </c>
      <c r="M12" s="74">
        <f>SUMIFS(приходи!$L:$L,приходи!$E:$E,'ПП Април'!$C$12,приходи!$M:$M,'ПП Април'!M2)</f>
        <v>264.94</v>
      </c>
      <c r="N12" s="74">
        <f>SUMIFS(приходи!$L:$L,приходи!$E:$E,'ПП Април'!$C$12,приходи!$M:$M,'ПП Април'!N2)</f>
        <v>4681.6099999999997</v>
      </c>
      <c r="O12" s="70">
        <f>SUMIFS(приходи!$L:$L,приходи!$E:$E,'ПП Април'!$C$12,приходи!$M:$M,'ПП Април'!O2)</f>
        <v>0</v>
      </c>
      <c r="P12" s="70">
        <f>SUMIFS(приходи!$L:$L,приходи!$E:$E,'ПП Април'!$C$12,приходи!$M:$M,'ПП Април'!P2)</f>
        <v>58624.06</v>
      </c>
      <c r="Q12" s="76">
        <f>SUMIFS(приходи!$L:$L,приходи!$E:$E,'ПП Април'!$C$12,приходи!$M:$M,'ПП Април'!Q2)</f>
        <v>0</v>
      </c>
      <c r="R12" s="76">
        <f>SUMIFS(приходи!$L:$L,приходи!$E:$E,'ПП Април'!$C$12,приходи!$M:$M,'ПП Април'!R2)</f>
        <v>0</v>
      </c>
      <c r="S12" s="70">
        <f>SUMIFS(приходи!$L:$L,приходи!$E:$E,'ПП Април'!$C$12,приходи!$M:$M,'ПП Април'!S2)</f>
        <v>0</v>
      </c>
      <c r="T12" s="74">
        <f>SUMIFS(приходи!$L:$L,приходи!$E:$E,'ПП Април'!$C$12,приходи!$M:$M,'ПП Април'!T2)</f>
        <v>0</v>
      </c>
      <c r="U12" s="74">
        <f>SUMIFS(приходи!$L:$L,приходи!$E:$E,'ПП Април'!$C$12,приходи!$M:$M,'ПП Април'!U2)</f>
        <v>0</v>
      </c>
      <c r="V12" s="70">
        <f>SUMIFS(приходи!$L:$L,приходи!$E:$E,'ПП Април'!$C$12,приходи!$M:$M,'ПП Април'!V2)</f>
        <v>0</v>
      </c>
      <c r="W12" s="70">
        <f>SUMIFS(приходи!$L:$L,приходи!$E:$E,'ПП Април'!$C$12,приходи!$M:$M,'ПП Април'!W2)</f>
        <v>0</v>
      </c>
      <c r="X12" s="76">
        <f>SUMIFS(приходи!$L:$L,приходи!$E:$E,'ПП Април'!$C$12,приходи!$M:$M,'ПП Април'!X2)</f>
        <v>0</v>
      </c>
      <c r="Y12" s="76">
        <f>SUMIFS(приходи!$L:$L,приходи!$E:$E,'ПП Април'!$C$12,приходи!$M:$M,'ПП Април'!Y2)</f>
        <v>0</v>
      </c>
      <c r="Z12" s="70">
        <f>SUMIFS(приходи!$L:$L,приходи!$E:$E,'ПП Април'!$C$12,приходи!$M:$M,'ПП Април'!Z2)</f>
        <v>0</v>
      </c>
      <c r="AA12" s="74">
        <f>SUMIFS(приходи!$L:$L,приходи!$E:$E,'ПП Април'!$C$12,приходи!$M:$M,'ПП Април'!AA2)</f>
        <v>0</v>
      </c>
      <c r="AB12" s="74">
        <f>SUMIFS(приходи!$L:$L,приходи!$E:$E,'ПП Април'!$C$12,приходи!$M:$M,'ПП Април'!AB2)</f>
        <v>0</v>
      </c>
      <c r="AC12" s="70">
        <f>SUMIFS(приходи!$L:$L,приходи!$E:$E,'ПП Април'!$C$12,приходи!$M:$M,'ПП Април'!AC2)</f>
        <v>0</v>
      </c>
      <c r="AD12" s="70">
        <f>SUMIFS(приходи!$L:$L,приходи!$E:$E,'ПП Април'!$C$12,приходи!$M:$M,'ПП Април'!AD2)</f>
        <v>0</v>
      </c>
      <c r="AE12" s="76">
        <f>SUMIFS(приходи!$L:$L,приходи!$E:$E,'ПП Април'!$C$12,приходи!$M:$M,'ПП Април'!AE2)</f>
        <v>0</v>
      </c>
      <c r="AF12" s="76">
        <f>SUMIFS(приходи!$L:$L,приходи!$E:$E,'ПП Април'!$C$12,приходи!$M:$M,'ПП Април'!AF2)</f>
        <v>0</v>
      </c>
      <c r="AG12" s="70">
        <f>SUMIFS(приходи!$L:$L,приходи!$E:$E,'ПП Април'!$C$12,приходи!$M:$M,'ПП Април'!AG2)</f>
        <v>23837.520000000008</v>
      </c>
      <c r="AH12" s="74">
        <f>SUMIFS(приходи!$L:$L,приходи!$E:$E,'ПП Април'!$C$12,приходи!$M:$M,'ПП Април'!AH2)</f>
        <v>0</v>
      </c>
      <c r="AI12" s="61">
        <f t="shared" si="1"/>
        <v>129623.39</v>
      </c>
      <c r="AJ12" s="69">
        <f t="shared" si="2"/>
        <v>-129623.39</v>
      </c>
    </row>
    <row r="13" spans="1:36" s="4" customFormat="1" ht="20.100000000000001" customHeight="1" x14ac:dyDescent="0.3">
      <c r="B13" s="7">
        <v>2</v>
      </c>
      <c r="C13" s="8" t="s">
        <v>854</v>
      </c>
      <c r="D13" s="70">
        <f t="shared" ref="D13" si="8">SUM(D14:D18)</f>
        <v>0</v>
      </c>
      <c r="E13" s="70">
        <f t="shared" ref="E13:AH13" si="9">SUM(E14:E19)</f>
        <v>0</v>
      </c>
      <c r="F13" s="74">
        <f t="shared" si="9"/>
        <v>25.32</v>
      </c>
      <c r="G13" s="74">
        <f t="shared" si="9"/>
        <v>577.99</v>
      </c>
      <c r="H13" s="74">
        <f t="shared" si="9"/>
        <v>0</v>
      </c>
      <c r="I13" s="70">
        <f t="shared" si="9"/>
        <v>0</v>
      </c>
      <c r="J13" s="76">
        <f t="shared" si="9"/>
        <v>0</v>
      </c>
      <c r="K13" s="76">
        <f t="shared" si="9"/>
        <v>0</v>
      </c>
      <c r="L13" s="70">
        <f t="shared" si="9"/>
        <v>1568.98</v>
      </c>
      <c r="M13" s="74">
        <f t="shared" si="9"/>
        <v>3.19</v>
      </c>
      <c r="N13" s="74">
        <f t="shared" si="9"/>
        <v>2499.4</v>
      </c>
      <c r="O13" s="70">
        <f t="shared" si="9"/>
        <v>0</v>
      </c>
      <c r="P13" s="70">
        <f t="shared" si="9"/>
        <v>34900.539999999994</v>
      </c>
      <c r="Q13" s="76">
        <f t="shared" si="9"/>
        <v>0</v>
      </c>
      <c r="R13" s="76">
        <f t="shared" si="9"/>
        <v>0</v>
      </c>
      <c r="S13" s="70">
        <f t="shared" si="9"/>
        <v>75592.40400000001</v>
      </c>
      <c r="T13" s="74">
        <f t="shared" si="9"/>
        <v>0</v>
      </c>
      <c r="U13" s="74">
        <f t="shared" si="9"/>
        <v>0</v>
      </c>
      <c r="V13" s="70">
        <f t="shared" si="9"/>
        <v>0</v>
      </c>
      <c r="W13" s="70">
        <f t="shared" si="9"/>
        <v>0</v>
      </c>
      <c r="X13" s="76">
        <f t="shared" si="9"/>
        <v>0</v>
      </c>
      <c r="Y13" s="76">
        <f t="shared" si="9"/>
        <v>0</v>
      </c>
      <c r="Z13" s="70">
        <f t="shared" si="9"/>
        <v>0</v>
      </c>
      <c r="AA13" s="74">
        <f t="shared" si="9"/>
        <v>0</v>
      </c>
      <c r="AB13" s="74">
        <f t="shared" si="9"/>
        <v>0</v>
      </c>
      <c r="AC13" s="70">
        <f t="shared" si="9"/>
        <v>0</v>
      </c>
      <c r="AD13" s="70">
        <f t="shared" si="9"/>
        <v>0</v>
      </c>
      <c r="AE13" s="76">
        <f t="shared" si="9"/>
        <v>0</v>
      </c>
      <c r="AF13" s="76">
        <f t="shared" si="9"/>
        <v>0</v>
      </c>
      <c r="AG13" s="70">
        <f t="shared" si="9"/>
        <v>46833.78</v>
      </c>
      <c r="AH13" s="74">
        <f t="shared" si="9"/>
        <v>0</v>
      </c>
      <c r="AI13" s="61">
        <f t="shared" si="1"/>
        <v>162001.60399999999</v>
      </c>
      <c r="AJ13" s="62">
        <f t="shared" si="2"/>
        <v>-162001.60399999999</v>
      </c>
    </row>
    <row r="14" spans="1:36" s="21" customFormat="1" ht="20.100000000000001" customHeight="1" outlineLevel="1" x14ac:dyDescent="0.3">
      <c r="B14" s="22"/>
      <c r="C14" s="8" t="s">
        <v>76</v>
      </c>
      <c r="D14" s="68"/>
      <c r="E14" s="59">
        <f>SUMIFS(приходи!$L:$L,приходи!$E:$E,'ПП Април'!$C$14,приходи!$M:$M,'ПП Април'!E2)</f>
        <v>0</v>
      </c>
      <c r="F14" s="74">
        <f>SUMIFS(приходи!$L:$L,приходи!$E:$E,'ПП Април'!$C$14,приходи!$M:$M,'ПП Април'!F2)</f>
        <v>0</v>
      </c>
      <c r="G14" s="74">
        <f>SUMIFS(приходи!$L:$L,приходи!$E:$E,'ПП Април'!$C$14,приходи!$M:$M,'ПП Април'!G2)</f>
        <v>0</v>
      </c>
      <c r="H14" s="74">
        <f>SUMIFS(приходи!$L:$L,приходи!$E:$E,'ПП Април'!$C$14,приходи!$M:$M,'ПП Април'!H2)</f>
        <v>0</v>
      </c>
      <c r="I14" s="59">
        <f>SUMIFS(приходи!$L:$L,приходи!$E:$E,'ПП Април'!$C$14,приходи!$M:$M,'ПП Април'!I2)</f>
        <v>0</v>
      </c>
      <c r="J14" s="76">
        <f>SUMIFS(приходи!$L:$L,приходи!$E:$E,'ПП Април'!$C$14,приходи!$M:$M,'ПП Април'!J2)</f>
        <v>0</v>
      </c>
      <c r="K14" s="76">
        <f>SUMIFS(приходи!$L:$L,приходи!$E:$E,'ПП Април'!$C$14,приходи!$M:$M,'ПП Април'!K2)</f>
        <v>0</v>
      </c>
      <c r="L14" s="59">
        <f>SUMIFS(приходи!$L:$L,приходи!$E:$E,'ПП Април'!$C$14,приходи!$M:$M,'ПП Април'!L2)</f>
        <v>0</v>
      </c>
      <c r="M14" s="74">
        <f>SUMIFS(приходи!$L:$L,приходи!$E:$E,'ПП Април'!$C$14,приходи!$M:$M,'ПП Април'!M2)</f>
        <v>0</v>
      </c>
      <c r="N14" s="74">
        <f>SUMIFS(приходи!$L:$L,приходи!$E:$E,'ПП Април'!$C$14,приходи!$M:$M,'ПП Април'!N2)</f>
        <v>0</v>
      </c>
      <c r="O14" s="59">
        <f>SUMIFS(приходи!$L:$L,приходи!$E:$E,'ПП Април'!$C$14,приходи!$M:$M,'ПП Април'!O2)</f>
        <v>0</v>
      </c>
      <c r="P14" s="59">
        <f>SUMIFS(приходи!$L:$L,приходи!$E:$E,'ПП Април'!$C$14,приходи!$M:$M,'ПП Април'!P2)</f>
        <v>0</v>
      </c>
      <c r="Q14" s="76">
        <f>SUMIFS(приходи!$L:$L,приходи!$E:$E,'ПП Април'!$C$14,приходи!$M:$M,'ПП Април'!Q2)</f>
        <v>0</v>
      </c>
      <c r="R14" s="76">
        <f>SUMIFS(приходи!$L:$L,приходи!$E:$E,'ПП Април'!$C$14,приходи!$M:$M,'ПП Април'!R2)</f>
        <v>0</v>
      </c>
      <c r="S14" s="59">
        <f>SUMIFS(приходи!$L:$L,приходи!$E:$E,'ПП Април'!$C$14,приходи!$M:$M,'ПП Април'!S2)</f>
        <v>46818.228000000003</v>
      </c>
      <c r="T14" s="74">
        <f>SUMIFS(приходи!$L:$L,приходи!$E:$E,'ПП Април'!$C$14,приходи!$M:$M,'ПП Април'!T2)</f>
        <v>0</v>
      </c>
      <c r="U14" s="74">
        <f>SUMIFS(приходи!$L:$L,приходи!$E:$E,'ПП Април'!$C$14,приходи!$M:$M,'ПП Април'!U2)</f>
        <v>0</v>
      </c>
      <c r="V14" s="59">
        <f>SUMIFS(приходи!$L:$L,приходи!$E:$E,'ПП Април'!$C$14,приходи!$M:$M,'ПП Април'!V2)</f>
        <v>0</v>
      </c>
      <c r="W14" s="59">
        <f>SUMIFS(приходи!$L:$L,приходи!$E:$E,'ПП Април'!$C$14,приходи!$M:$M,'ПП Април'!W2)</f>
        <v>0</v>
      </c>
      <c r="X14" s="76">
        <f>SUMIFS(приходи!$L:$L,приходи!$E:$E,'ПП Април'!$C$14,приходи!$M:$M,'ПП Април'!X2)</f>
        <v>0</v>
      </c>
      <c r="Y14" s="76">
        <f>SUMIFS(приходи!$L:$L,приходи!$E:$E,'ПП Април'!$C$14,приходи!$M:$M,'ПП Април'!Y2)</f>
        <v>0</v>
      </c>
      <c r="Z14" s="59">
        <f>SUMIFS(приходи!$L:$L,приходи!$E:$E,'ПП Април'!$C$14,приходи!$M:$M,'ПП Април'!Z2)</f>
        <v>0</v>
      </c>
      <c r="AA14" s="74">
        <f>SUMIFS(приходи!$L:$L,приходи!$E:$E,'ПП Април'!$C$14,приходи!$M:$M,'ПП Април'!AA2)</f>
        <v>0</v>
      </c>
      <c r="AB14" s="74">
        <f>SUMIFS(приходи!$L:$L,приходи!$E:$E,'ПП Април'!$C$14,приходи!$M:$M,'ПП Април'!AB2)</f>
        <v>0</v>
      </c>
      <c r="AC14" s="59">
        <f>SUMIFS(приходи!$L:$L,приходи!$E:$E,'ПП Април'!$C$14,приходи!$M:$M,'ПП Април'!AC2)</f>
        <v>0</v>
      </c>
      <c r="AD14" s="59">
        <f>SUMIFS(приходи!$L:$L,приходи!$E:$E,'ПП Април'!$C$14,приходи!$M:$M,'ПП Април'!AD2)</f>
        <v>0</v>
      </c>
      <c r="AE14" s="76">
        <f>SUMIFS(приходи!$L:$L,приходи!$E:$E,'ПП Април'!$C$14,приходи!$M:$M,'ПП Април'!AE2)</f>
        <v>0</v>
      </c>
      <c r="AF14" s="76">
        <f>SUMIFS(приходи!$L:$L,приходи!$E:$E,'ПП Април'!$C$14,приходи!$M:$M,'ПП Април'!AF2)</f>
        <v>0</v>
      </c>
      <c r="AG14" s="59">
        <f>SUMIFS(приходи!$L:$L,приходи!$E:$E,'ПП Април'!$C$14,приходи!$M:$M,'ПП Април'!AG2)</f>
        <v>0</v>
      </c>
      <c r="AH14" s="74">
        <f>SUMIFS(приходи!$L:$L,приходи!$E:$E,'ПП Април'!$C$14,приходи!$M:$M,'ПП Април'!AH2)</f>
        <v>0</v>
      </c>
      <c r="AI14" s="61">
        <f t="shared" si="1"/>
        <v>46818.228000000003</v>
      </c>
      <c r="AJ14" s="69">
        <f t="shared" si="2"/>
        <v>-46818.228000000003</v>
      </c>
    </row>
    <row r="15" spans="1:36" s="21" customFormat="1" ht="20.100000000000001" customHeight="1" outlineLevel="1" x14ac:dyDescent="0.3">
      <c r="B15" s="22"/>
      <c r="C15" s="8" t="s">
        <v>71</v>
      </c>
      <c r="D15" s="68"/>
      <c r="E15" s="59">
        <f>SUMIFS(приходи!$L:$L,приходи!$E:$E,'ПП Април'!$C$15,приходи!$M:$M,'ПП Април'!E2)</f>
        <v>0</v>
      </c>
      <c r="F15" s="74">
        <f>SUMIFS(приходи!$L:$L,приходи!$E:$E,'ПП Април'!$C$15,приходи!$M:$M,'ПП Април'!F2)</f>
        <v>0</v>
      </c>
      <c r="G15" s="74">
        <f>SUMIFS(приходи!$L:$L,приходи!$E:$E,'ПП Април'!$C$15,приходи!$M:$M,'ПП Април'!G2)</f>
        <v>0</v>
      </c>
      <c r="H15" s="74">
        <f>SUMIFS(приходи!$L:$L,приходи!$E:$E,'ПП Април'!$C$15,приходи!$M:$M,'ПП Април'!H2)</f>
        <v>0</v>
      </c>
      <c r="I15" s="59">
        <f>SUMIFS(приходи!$L:$L,приходи!$E:$E,'ПП Април'!$C$15,приходи!$M:$M,'ПП Април'!I2)</f>
        <v>0</v>
      </c>
      <c r="J15" s="76">
        <f>SUMIFS(приходи!$L:$L,приходи!$E:$E,'ПП Април'!$C$15,приходи!$M:$M,'ПП Април'!J2)</f>
        <v>0</v>
      </c>
      <c r="K15" s="76">
        <f>SUMIFS(приходи!$L:$L,приходи!$E:$E,'ПП Април'!$C$15,приходи!$M:$M,'ПП Април'!K2)</f>
        <v>0</v>
      </c>
      <c r="L15" s="59">
        <f>SUMIFS(приходи!$L:$L,приходи!$E:$E,'ПП Април'!$C$15,приходи!$M:$M,'ПП Април'!L2)</f>
        <v>0</v>
      </c>
      <c r="M15" s="74">
        <f>SUMIFS(приходи!$L:$L,приходи!$E:$E,'ПП Април'!$C$15,приходи!$M:$M,'ПП Април'!M2)</f>
        <v>0</v>
      </c>
      <c r="N15" s="74">
        <f>SUMIFS(приходи!$L:$L,приходи!$E:$E,'ПП Април'!$C$15,приходи!$M:$M,'ПП Април'!N2)</f>
        <v>0</v>
      </c>
      <c r="O15" s="59">
        <f>SUMIFS(приходи!$L:$L,приходи!$E:$E,'ПП Април'!$C$15,приходи!$M:$M,'ПП Април'!O2)</f>
        <v>0</v>
      </c>
      <c r="P15" s="59">
        <f>SUMIFS(приходи!$L:$L,приходи!$E:$E,'ПП Април'!$C$15,приходи!$M:$M,'ПП Април'!P2)</f>
        <v>0</v>
      </c>
      <c r="Q15" s="76">
        <f>SUMIFS(приходи!$L:$L,приходи!$E:$E,'ПП Април'!$C$15,приходи!$M:$M,'ПП Април'!Q2)</f>
        <v>0</v>
      </c>
      <c r="R15" s="76">
        <f>SUMIFS(приходи!$L:$L,приходи!$E:$E,'ПП Април'!$C$15,приходи!$M:$M,'ПП Април'!R2)</f>
        <v>0</v>
      </c>
      <c r="S15" s="59">
        <f>SUMIFS(приходи!$L:$L,приходи!$E:$E,'ПП Април'!$C$15,приходи!$M:$M,'ПП Април'!S2)</f>
        <v>0</v>
      </c>
      <c r="T15" s="74">
        <f>SUMIFS(приходи!$L:$L,приходи!$E:$E,'ПП Април'!$C$15,приходи!$M:$M,'ПП Април'!T2)</f>
        <v>0</v>
      </c>
      <c r="U15" s="74">
        <f>SUMIFS(приходи!$L:$L,приходи!$E:$E,'ПП Април'!$C$15,приходи!$M:$M,'ПП Април'!U2)</f>
        <v>0</v>
      </c>
      <c r="V15" s="59">
        <f>SUMIFS(приходи!$L:$L,приходи!$E:$E,'ПП Април'!$C$15,приходи!$M:$M,'ПП Април'!V2)</f>
        <v>0</v>
      </c>
      <c r="W15" s="59">
        <f>SUMIFS(приходи!$L:$L,приходи!$E:$E,'ПП Април'!$C$15,приходи!$M:$M,'ПП Април'!W2)</f>
        <v>0</v>
      </c>
      <c r="X15" s="76">
        <f>SUMIFS(приходи!$L:$L,приходи!$E:$E,'ПП Април'!$C$15,приходи!$M:$M,'ПП Април'!X2)</f>
        <v>0</v>
      </c>
      <c r="Y15" s="76">
        <f>SUMIFS(приходи!$L:$L,приходи!$E:$E,'ПП Април'!$C$15,приходи!$M:$M,'ПП Април'!Y2)</f>
        <v>0</v>
      </c>
      <c r="Z15" s="59">
        <f>SUMIFS(приходи!$L:$L,приходи!$E:$E,'ПП Април'!$C$15,приходи!$M:$M,'ПП Април'!Z2)</f>
        <v>0</v>
      </c>
      <c r="AA15" s="74">
        <f>SUMIFS(приходи!$L:$L,приходи!$E:$E,'ПП Април'!$C$15,приходи!$M:$M,'ПП Април'!AA2)</f>
        <v>0</v>
      </c>
      <c r="AB15" s="74">
        <f>SUMIFS(приходи!$L:$L,приходи!$E:$E,'ПП Април'!$C$15,приходи!$M:$M,'ПП Април'!AB2)</f>
        <v>0</v>
      </c>
      <c r="AC15" s="59">
        <f>SUMIFS(приходи!$L:$L,приходи!$E:$E,'ПП Април'!$C$15,приходи!$M:$M,'ПП Април'!AC2)</f>
        <v>0</v>
      </c>
      <c r="AD15" s="59">
        <f>SUMIFS(приходи!$L:$L,приходи!$E:$E,'ПП Април'!$C$15,приходи!$M:$M,'ПП Април'!AD2)</f>
        <v>0</v>
      </c>
      <c r="AE15" s="76">
        <f>SUMIFS(приходи!$L:$L,приходи!$E:$E,'ПП Април'!$C$15,приходи!$M:$M,'ПП Април'!AE2)</f>
        <v>0</v>
      </c>
      <c r="AF15" s="76">
        <f>SUMIFS(приходи!$L:$L,приходи!$E:$E,'ПП Април'!$C$15,приходи!$M:$M,'ПП Април'!AF2)</f>
        <v>0</v>
      </c>
      <c r="AG15" s="59">
        <f>SUMIFS(приходи!$L:$L,приходи!$E:$E,'ПП Април'!$C$15,приходи!$M:$M,'ПП Април'!AG2)</f>
        <v>0</v>
      </c>
      <c r="AH15" s="74">
        <f>SUMIFS(приходи!$L:$L,приходи!$E:$E,'ПП Април'!$C$15,приходи!$M:$M,'ПП Април'!AH2)</f>
        <v>0</v>
      </c>
      <c r="AI15" s="61">
        <f t="shared" si="1"/>
        <v>0</v>
      </c>
      <c r="AJ15" s="69">
        <f t="shared" si="2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68"/>
      <c r="E16" s="59">
        <f>SUMIFS(приходи!$L:$L,приходи!$E:$E,'ПП Април'!$C$16,приходи!$M:$M,'ПП Април'!E2)</f>
        <v>0</v>
      </c>
      <c r="F16" s="74">
        <f>SUMIFS(приходи!$L:$L,приходи!$E:$E,'ПП Април'!$C$16,приходи!$M:$M,'ПП Април'!F2)</f>
        <v>0</v>
      </c>
      <c r="G16" s="74">
        <f>SUMIFS(приходи!$L:$L,приходи!$E:$E,'ПП Април'!$C$16,приходи!$M:$M,'ПП Април'!G2)</f>
        <v>0</v>
      </c>
      <c r="H16" s="74">
        <f>SUMIFS(приходи!$L:$L,приходи!$E:$E,'ПП Април'!$C$16,приходи!$M:$M,'ПП Април'!H2)</f>
        <v>0</v>
      </c>
      <c r="I16" s="59">
        <f>SUMIFS(приходи!$L:$L,приходи!$E:$E,'ПП Април'!$C$16,приходи!$M:$M,'ПП Април'!I2)</f>
        <v>0</v>
      </c>
      <c r="J16" s="76">
        <f>SUMIFS(приходи!$L:$L,приходи!$E:$E,'ПП Април'!$C$16,приходи!$M:$M,'ПП Април'!J2)</f>
        <v>0</v>
      </c>
      <c r="K16" s="76">
        <f>SUMIFS(приходи!$L:$L,приходи!$E:$E,'ПП Април'!$C$16,приходи!$M:$M,'ПП Април'!K2)</f>
        <v>0</v>
      </c>
      <c r="L16" s="59">
        <f>SUMIFS(приходи!$L:$L,приходи!$E:$E,'ПП Април'!$C$16,приходи!$M:$M,'ПП Април'!L2)</f>
        <v>0</v>
      </c>
      <c r="M16" s="74">
        <f>SUMIFS(приходи!$L:$L,приходи!$E:$E,'ПП Април'!$C$16,приходи!$M:$M,'ПП Април'!M2)</f>
        <v>0</v>
      </c>
      <c r="N16" s="74">
        <f>SUMIFS(приходи!$L:$L,приходи!$E:$E,'ПП Април'!$C$16,приходи!$M:$M,'ПП Април'!N2)</f>
        <v>0</v>
      </c>
      <c r="O16" s="59">
        <f>SUMIFS(приходи!$L:$L,приходи!$E:$E,'ПП Април'!$C$16,приходи!$M:$M,'ПП Април'!O2)</f>
        <v>0</v>
      </c>
      <c r="P16" s="59">
        <f>SUMIFS(приходи!$L:$L,приходи!$E:$E,'ПП Април'!$C$16,приходи!$M:$M,'ПП Април'!P2)</f>
        <v>0</v>
      </c>
      <c r="Q16" s="76">
        <f>SUMIFS(приходи!$L:$L,приходи!$E:$E,'ПП Април'!$C$16,приходи!$M:$M,'ПП Април'!Q2)</f>
        <v>0</v>
      </c>
      <c r="R16" s="76">
        <f>SUMIFS(приходи!$L:$L,приходи!$E:$E,'ПП Април'!$C$16,приходи!$M:$M,'ПП Април'!R2)</f>
        <v>0</v>
      </c>
      <c r="S16" s="59">
        <f>SUMIFS(приходи!$L:$L,приходи!$E:$E,'ПП Април'!$C$16,приходи!$M:$M,'ПП Април'!S2)</f>
        <v>28774.175999999999</v>
      </c>
      <c r="T16" s="74">
        <f>SUMIFS(приходи!$L:$L,приходи!$E:$E,'ПП Април'!$C$16,приходи!$M:$M,'ПП Април'!T2)</f>
        <v>0</v>
      </c>
      <c r="U16" s="74">
        <f>SUMIFS(приходи!$L:$L,приходи!$E:$E,'ПП Април'!$C$16,приходи!$M:$M,'ПП Април'!U2)</f>
        <v>0</v>
      </c>
      <c r="V16" s="59">
        <f>SUMIFS(приходи!$L:$L,приходи!$E:$E,'ПП Април'!$C$16,приходи!$M:$M,'ПП Април'!V2)</f>
        <v>0</v>
      </c>
      <c r="W16" s="59">
        <f>SUMIFS(приходи!$L:$L,приходи!$E:$E,'ПП Април'!$C$16,приходи!$M:$M,'ПП Април'!W2)</f>
        <v>0</v>
      </c>
      <c r="X16" s="76">
        <f>SUMIFS(приходи!$L:$L,приходи!$E:$E,'ПП Април'!$C$16,приходи!$M:$M,'ПП Април'!X2)</f>
        <v>0</v>
      </c>
      <c r="Y16" s="76">
        <f>SUMIFS(приходи!$L:$L,приходи!$E:$E,'ПП Април'!$C$16,приходи!$M:$M,'ПП Април'!Y2)</f>
        <v>0</v>
      </c>
      <c r="Z16" s="59">
        <f>SUMIFS(приходи!$L:$L,приходи!$E:$E,'ПП Април'!$C$16,приходи!$M:$M,'ПП Април'!Z2)</f>
        <v>0</v>
      </c>
      <c r="AA16" s="74">
        <f>SUMIFS(приходи!$L:$L,приходи!$E:$E,'ПП Април'!$C$16,приходи!$M:$M,'ПП Април'!AA2)</f>
        <v>0</v>
      </c>
      <c r="AB16" s="74">
        <f>SUMIFS(приходи!$L:$L,приходи!$E:$E,'ПП Април'!$C$16,приходи!$M:$M,'ПП Април'!AB2)</f>
        <v>0</v>
      </c>
      <c r="AC16" s="59">
        <f>SUMIFS(приходи!$L:$L,приходи!$E:$E,'ПП Април'!$C$16,приходи!$M:$M,'ПП Април'!AC2)</f>
        <v>0</v>
      </c>
      <c r="AD16" s="59">
        <f>SUMIFS(приходи!$L:$L,приходи!$E:$E,'ПП Април'!$C$16,приходи!$M:$M,'ПП Април'!AD2)</f>
        <v>0</v>
      </c>
      <c r="AE16" s="76">
        <f>SUMIFS(приходи!$L:$L,приходи!$E:$E,'ПП Април'!$C$16,приходи!$M:$M,'ПП Април'!AE2)</f>
        <v>0</v>
      </c>
      <c r="AF16" s="76">
        <f>SUMIFS(приходи!$L:$L,приходи!$E:$E,'ПП Април'!$C$16,приходи!$M:$M,'ПП Април'!AF2)</f>
        <v>0</v>
      </c>
      <c r="AG16" s="59">
        <f>SUMIFS(приходи!$L:$L,приходи!$E:$E,'ПП Април'!$C$16,приходи!$M:$M,'ПП Април'!AG2)</f>
        <v>0</v>
      </c>
      <c r="AH16" s="74">
        <f>SUMIFS(приходи!$L:$L,приходи!$E:$E,'ПП Април'!$C$16,приходи!$M:$M,'ПП Април'!AH2)</f>
        <v>0</v>
      </c>
      <c r="AI16" s="61">
        <f t="shared" si="1"/>
        <v>28774.175999999999</v>
      </c>
      <c r="AJ16" s="69">
        <f t="shared" si="2"/>
        <v>-28774.175999999999</v>
      </c>
    </row>
    <row r="17" spans="1:36" s="21" customFormat="1" ht="20.100000000000001" customHeight="1" outlineLevel="1" x14ac:dyDescent="0.3">
      <c r="B17" s="22"/>
      <c r="C17" s="8" t="s">
        <v>57</v>
      </c>
      <c r="D17" s="68"/>
      <c r="E17" s="59">
        <f>SUMIFS(приходи!$L:$L,приходи!$E:$E,'ПП Април'!$C$17,приходи!$M:$M,'ПП Април'!E2)</f>
        <v>0</v>
      </c>
      <c r="F17" s="74">
        <f>SUMIFS(приходи!$L:$L,приходи!$E:$E,'ПП Април'!$C$17,приходи!$M:$M,'ПП Април'!F2)</f>
        <v>0</v>
      </c>
      <c r="G17" s="74">
        <f>SUMIFS(приходи!$L:$L,приходи!$E:$E,'ПП Април'!$C$17,приходи!$M:$M,'ПП Април'!G2)</f>
        <v>0</v>
      </c>
      <c r="H17" s="74">
        <f>SUMIFS(приходи!$L:$L,приходи!$E:$E,'ПП Април'!$C$17,приходи!$M:$M,'ПП Април'!H2)</f>
        <v>0</v>
      </c>
      <c r="I17" s="59">
        <f>SUMIFS(приходи!$L:$L,приходи!$E:$E,'ПП Април'!$C$17,приходи!$M:$M,'ПП Април'!I2)</f>
        <v>0</v>
      </c>
      <c r="J17" s="76">
        <f>SUMIFS(приходи!$L:$L,приходи!$E:$E,'ПП Април'!$C$17,приходи!$M:$M,'ПП Април'!J2)</f>
        <v>0</v>
      </c>
      <c r="K17" s="76">
        <f>SUMIFS(приходи!$L:$L,приходи!$E:$E,'ПП Април'!$C$17,приходи!$M:$M,'ПП Април'!K2)</f>
        <v>0</v>
      </c>
      <c r="L17" s="59">
        <f>SUMIFS(приходи!$L:$L,приходи!$E:$E,'ПП Април'!$C$17,приходи!$M:$M,'ПП Април'!L2)</f>
        <v>0</v>
      </c>
      <c r="M17" s="74">
        <f>SUMIFS(приходи!$L:$L,приходи!$E:$E,'ПП Април'!$C$17,приходи!$M:$M,'ПП Април'!M2)</f>
        <v>0</v>
      </c>
      <c r="N17" s="74">
        <f>SUMIFS(приходи!$L:$L,приходи!$E:$E,'ПП Април'!$C$17,приходи!$M:$M,'ПП Април'!N2)</f>
        <v>0</v>
      </c>
      <c r="O17" s="59">
        <f>SUMIFS(приходи!$L:$L,приходи!$E:$E,'ПП Април'!$C$17,приходи!$M:$M,'ПП Април'!O2)</f>
        <v>0</v>
      </c>
      <c r="P17" s="59">
        <f>SUMIFS(приходи!$L:$L,приходи!$E:$E,'ПП Април'!$C$17,приходи!$M:$M,'ПП Април'!P2)</f>
        <v>0</v>
      </c>
      <c r="Q17" s="76">
        <f>SUMIFS(приходи!$L:$L,приходи!$E:$E,'ПП Април'!$C$17,приходи!$M:$M,'ПП Април'!Q2)</f>
        <v>0</v>
      </c>
      <c r="R17" s="76">
        <f>SUMIFS(приходи!$L:$L,приходи!$E:$E,'ПП Април'!$C$17,приходи!$M:$M,'ПП Април'!R2)</f>
        <v>0</v>
      </c>
      <c r="S17" s="59">
        <f>SUMIFS(приходи!$L:$L,приходи!$E:$E,'ПП Април'!$C$17,приходи!$M:$M,'ПП Април'!S2)</f>
        <v>0</v>
      </c>
      <c r="T17" s="74">
        <f>SUMIFS(приходи!$L:$L,приходи!$E:$E,'ПП Април'!$C$17,приходи!$M:$M,'ПП Април'!T2)</f>
        <v>0</v>
      </c>
      <c r="U17" s="74">
        <f>SUMIFS(приходи!$L:$L,приходи!$E:$E,'ПП Април'!$C$17,приходи!$M:$M,'ПП Април'!U2)</f>
        <v>0</v>
      </c>
      <c r="V17" s="59">
        <f>SUMIFS(приходи!$L:$L,приходи!$E:$E,'ПП Април'!$C$17,приходи!$M:$M,'ПП Април'!V2)</f>
        <v>0</v>
      </c>
      <c r="W17" s="59">
        <f>SUMIFS(приходи!$L:$L,приходи!$E:$E,'ПП Април'!$C$17,приходи!$M:$M,'ПП Април'!W2)</f>
        <v>0</v>
      </c>
      <c r="X17" s="76">
        <f>SUMIFS(приходи!$L:$L,приходи!$E:$E,'ПП Април'!$C$17,приходи!$M:$M,'ПП Април'!X2)</f>
        <v>0</v>
      </c>
      <c r="Y17" s="76">
        <f>SUMIFS(приходи!$L:$L,приходи!$E:$E,'ПП Април'!$C$17,приходи!$M:$M,'ПП Април'!Y2)</f>
        <v>0</v>
      </c>
      <c r="Z17" s="59">
        <f>SUMIFS(приходи!$L:$L,приходи!$E:$E,'ПП Април'!$C$17,приходи!$M:$M,'ПП Април'!Z2)</f>
        <v>0</v>
      </c>
      <c r="AA17" s="74">
        <f>SUMIFS(приходи!$L:$L,приходи!$E:$E,'ПП Април'!$C$17,приходи!$M:$M,'ПП Април'!AA2)</f>
        <v>0</v>
      </c>
      <c r="AB17" s="74">
        <f>SUMIFS(приходи!$L:$L,приходи!$E:$E,'ПП Април'!$C$17,приходи!$M:$M,'ПП Април'!AB2)</f>
        <v>0</v>
      </c>
      <c r="AC17" s="59">
        <f>SUMIFS(приходи!$L:$L,приходи!$E:$E,'ПП Април'!$C$17,приходи!$M:$M,'ПП Април'!AC2)</f>
        <v>0</v>
      </c>
      <c r="AD17" s="59">
        <f>SUMIFS(приходи!$L:$L,приходи!$E:$E,'ПП Април'!$C$17,приходи!$M:$M,'ПП Април'!AD2)</f>
        <v>0</v>
      </c>
      <c r="AE17" s="76">
        <f>SUMIFS(приходи!$L:$L,приходи!$E:$E,'ПП Април'!$C$17,приходи!$M:$M,'ПП Април'!AE2)</f>
        <v>0</v>
      </c>
      <c r="AF17" s="76">
        <f>SUMIFS(приходи!$L:$L,приходи!$E:$E,'ПП Април'!$C$17,приходи!$M:$M,'ПП Април'!AF2)</f>
        <v>0</v>
      </c>
      <c r="AG17" s="59">
        <f>SUMIFS(приходи!$L:$L,приходи!$E:$E,'ПП Април'!$C$17,приходи!$M:$M,'ПП Април'!AG2)</f>
        <v>36443.015999999996</v>
      </c>
      <c r="AH17" s="74">
        <f>SUMIFS(приходи!$L:$L,приходи!$E:$E,'ПП Април'!$C$17,приходи!$M:$M,'ПП Април'!AH2)</f>
        <v>0</v>
      </c>
      <c r="AI17" s="61">
        <f t="shared" si="1"/>
        <v>36443.015999999996</v>
      </c>
      <c r="AJ17" s="69">
        <f t="shared" si="2"/>
        <v>-36443.015999999996</v>
      </c>
    </row>
    <row r="18" spans="1:36" s="21" customFormat="1" ht="20.100000000000001" customHeight="1" outlineLevel="1" x14ac:dyDescent="0.3">
      <c r="B18" s="22"/>
      <c r="C18" s="8" t="s">
        <v>120</v>
      </c>
      <c r="D18" s="68"/>
      <c r="E18" s="59">
        <f>SUMIFS(приходи!$L:$L,приходи!$E:$E,'ПП Април'!$C$18,приходи!$M:$M,'ПП Април'!E2)</f>
        <v>0</v>
      </c>
      <c r="F18" s="74">
        <f>SUMIFS(приходи!$L:$L,приходи!$E:$E,'ПП Април'!$C$18,приходи!$M:$M,'ПП Април'!F2)</f>
        <v>0</v>
      </c>
      <c r="G18" s="74">
        <f>SUMIFS(приходи!$L:$L,приходи!$E:$E,'ПП Април'!$C$18,приходи!$M:$M,'ПП Април'!G2)</f>
        <v>133.12</v>
      </c>
      <c r="H18" s="74">
        <f>SUMIFS(приходи!$L:$L,приходи!$E:$E,'ПП Април'!$C$18,приходи!$M:$M,'ПП Април'!H2)</f>
        <v>0</v>
      </c>
      <c r="I18" s="59">
        <f>SUMIFS(приходи!$L:$L,приходи!$E:$E,'ПП Април'!$C$18,приходи!$M:$M,'ПП Април'!I2)</f>
        <v>0</v>
      </c>
      <c r="J18" s="76">
        <f>SUMIFS(приходи!$L:$L,приходи!$E:$E,'ПП Април'!$C$18,приходи!$M:$M,'ПП Април'!J2)</f>
        <v>0</v>
      </c>
      <c r="K18" s="76">
        <f>SUMIFS(приходи!$L:$L,приходи!$E:$E,'ПП Април'!$C$18,приходи!$M:$M,'ПП Април'!K2)</f>
        <v>0</v>
      </c>
      <c r="L18" s="59">
        <f>SUMIFS(приходи!$L:$L,приходи!$E:$E,'ПП Април'!$C$18,приходи!$M:$M,'ПП Април'!L2)</f>
        <v>551.64</v>
      </c>
      <c r="M18" s="74">
        <f>SUMIFS(приходи!$L:$L,приходи!$E:$E,'ПП Април'!$C$18,приходи!$M:$M,'ПП Април'!M2)</f>
        <v>0</v>
      </c>
      <c r="N18" s="74">
        <f>SUMIFS(приходи!$L:$L,приходи!$E:$E,'ПП Април'!$C$18,приходи!$M:$M,'ПП Април'!N2)</f>
        <v>551.64</v>
      </c>
      <c r="O18" s="59">
        <f>SUMIFS(приходи!$L:$L,приходи!$E:$E,'ПП Април'!$C$18,приходи!$M:$M,'ПП Април'!O2)</f>
        <v>0</v>
      </c>
      <c r="P18" s="59">
        <f>SUMIFS(приходи!$L:$L,приходи!$E:$E,'ПП Април'!$C$18,приходи!$M:$M,'ПП Април'!P2)</f>
        <v>29147.519999999997</v>
      </c>
      <c r="Q18" s="76">
        <f>SUMIFS(приходи!$L:$L,приходи!$E:$E,'ПП Април'!$C$18,приходи!$M:$M,'ПП Април'!Q2)</f>
        <v>0</v>
      </c>
      <c r="R18" s="76">
        <f>SUMIFS(приходи!$L:$L,приходи!$E:$E,'ПП Април'!$C$18,приходи!$M:$M,'ПП Април'!R2)</f>
        <v>0</v>
      </c>
      <c r="S18" s="59">
        <f>SUMIFS(приходи!$L:$L,приходи!$E:$E,'ПП Април'!$C$18,приходи!$M:$M,'ПП Април'!S2)</f>
        <v>0</v>
      </c>
      <c r="T18" s="74">
        <f>SUMIFS(приходи!$L:$L,приходи!$E:$E,'ПП Април'!$C$18,приходи!$M:$M,'ПП Април'!T2)</f>
        <v>0</v>
      </c>
      <c r="U18" s="74">
        <f>SUMIFS(приходи!$L:$L,приходи!$E:$E,'ПП Април'!$C$18,приходи!$M:$M,'ПП Април'!U2)</f>
        <v>0</v>
      </c>
      <c r="V18" s="59">
        <f>SUMIFS(приходи!$L:$L,приходи!$E:$E,'ПП Април'!$C$18,приходи!$M:$M,'ПП Април'!V2)</f>
        <v>0</v>
      </c>
      <c r="W18" s="59">
        <f>SUMIFS(приходи!$L:$L,приходи!$E:$E,'ПП Април'!$C$18,приходи!$M:$M,'ПП Април'!W2)</f>
        <v>0</v>
      </c>
      <c r="X18" s="76">
        <f>SUMIFS(приходи!$L:$L,приходи!$E:$E,'ПП Април'!$C$18,приходи!$M:$M,'ПП Април'!X2)</f>
        <v>0</v>
      </c>
      <c r="Y18" s="76">
        <f>SUMIFS(приходи!$L:$L,приходи!$E:$E,'ПП Април'!$C$18,приходи!$M:$M,'ПП Април'!Y2)</f>
        <v>0</v>
      </c>
      <c r="Z18" s="59">
        <f>SUMIFS(приходи!$L:$L,приходи!$E:$E,'ПП Април'!$C$18,приходи!$M:$M,'ПП Април'!Z2)</f>
        <v>0</v>
      </c>
      <c r="AA18" s="74">
        <f>SUMIFS(приходи!$L:$L,приходи!$E:$E,'ПП Април'!$C$18,приходи!$M:$M,'ПП Април'!AA2)</f>
        <v>0</v>
      </c>
      <c r="AB18" s="74">
        <f>SUMIFS(приходи!$L:$L,приходи!$E:$E,'ПП Април'!$C$18,приходи!$M:$M,'ПП Април'!AB2)</f>
        <v>0</v>
      </c>
      <c r="AC18" s="59">
        <f>SUMIFS(приходи!$L:$L,приходи!$E:$E,'ПП Април'!$C$18,приходи!$M:$M,'ПП Април'!AC2)</f>
        <v>0</v>
      </c>
      <c r="AD18" s="59">
        <f>SUMIFS(приходи!$L:$L,приходи!$E:$E,'ПП Април'!$C$18,приходи!$M:$M,'ПП Април'!AD2)</f>
        <v>0</v>
      </c>
      <c r="AE18" s="76">
        <f>SUMIFS(приходи!$L:$L,приходи!$E:$E,'ПП Април'!$C$18,приходи!$M:$M,'ПП Април'!AE2)</f>
        <v>0</v>
      </c>
      <c r="AF18" s="76">
        <f>SUMIFS(приходи!$L:$L,приходи!$E:$E,'ПП Април'!$C$18,приходи!$M:$M,'ПП Април'!AF2)</f>
        <v>0</v>
      </c>
      <c r="AG18" s="59">
        <f>SUMIFS(приходи!$L:$L,приходи!$E:$E,'ПП Април'!$C$18,приходи!$M:$M,'ПП Април'!AG2)</f>
        <v>8117.5079999999998</v>
      </c>
      <c r="AH18" s="74">
        <f>SUMIFS(приходи!$L:$L,приходи!$E:$E,'ПП Април'!$C$18,приходи!$M:$M,'ПП Април'!AH2)</f>
        <v>0</v>
      </c>
      <c r="AI18" s="61">
        <f t="shared" si="1"/>
        <v>38501.428</v>
      </c>
      <c r="AJ18" s="69">
        <f t="shared" si="2"/>
        <v>-38501.428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68"/>
      <c r="E19" s="59">
        <f>SUMIFS(приходи!$L:$L,приходи!$E:$E,'ПП Април'!$C$19,приходи!$M:$M,'ПП Април'!E2)</f>
        <v>0</v>
      </c>
      <c r="F19" s="74">
        <f>SUMIFS(приходи!$L:$L,приходи!$E:$E,'ПП Април'!$C$19,приходи!$M:$M,'ПП Април'!F2)</f>
        <v>25.32</v>
      </c>
      <c r="G19" s="74">
        <f>SUMIFS(приходи!$L:$L,приходи!$E:$E,'ПП Април'!$C$19,приходи!$M:$M,'ПП Април'!G2)</f>
        <v>444.87</v>
      </c>
      <c r="H19" s="74">
        <f>SUMIFS(приходи!$L:$L,приходи!$E:$E,'ПП Април'!$C$19,приходи!$M:$M,'ПП Април'!H2)</f>
        <v>0</v>
      </c>
      <c r="I19" s="59">
        <f>SUMIFS(приходи!$L:$L,приходи!$E:$E,'ПП Април'!$C$19,приходи!$M:$M,'ПП Април'!I2)</f>
        <v>0</v>
      </c>
      <c r="J19" s="76">
        <f>SUMIFS(приходи!$L:$L,приходи!$E:$E,'ПП Април'!$C$19,приходи!$M:$M,'ПП Април'!J2)</f>
        <v>0</v>
      </c>
      <c r="K19" s="76">
        <f>SUMIFS(приходи!$L:$L,приходи!$E:$E,'ПП Април'!$C$19,приходи!$M:$M,'ПП Април'!K2)</f>
        <v>0</v>
      </c>
      <c r="L19" s="59">
        <f>SUMIFS(приходи!$L:$L,приходи!$E:$E,'ПП Април'!$C$19,приходи!$M:$M,'ПП Април'!L2)</f>
        <v>1017.34</v>
      </c>
      <c r="M19" s="74">
        <f>SUMIFS(приходи!$L:$L,приходи!$E:$E,'ПП Април'!$C$19,приходи!$M:$M,'ПП Април'!M2)</f>
        <v>3.19</v>
      </c>
      <c r="N19" s="74">
        <f>SUMIFS(приходи!$L:$L,приходи!$E:$E,'ПП Април'!$C$19,приходи!$M:$M,'ПП Април'!N2)</f>
        <v>1947.76</v>
      </c>
      <c r="O19" s="59">
        <f>SUMIFS(приходи!$L:$L,приходи!$E:$E,'ПП Април'!$C$19,приходи!$M:$M,'ПП Април'!O2)</f>
        <v>0</v>
      </c>
      <c r="P19" s="59">
        <f>SUMIFS(приходи!$L:$L,приходи!$E:$E,'ПП Април'!$C$19,приходи!$M:$M,'ПП Април'!P2)</f>
        <v>5753.02</v>
      </c>
      <c r="Q19" s="76">
        <f>SUMIFS(приходи!$L:$L,приходи!$E:$E,'ПП Април'!$C$19,приходи!$M:$M,'ПП Април'!Q2)</f>
        <v>0</v>
      </c>
      <c r="R19" s="76">
        <f>SUMIFS(приходи!$L:$L,приходи!$E:$E,'ПП Април'!$C$19,приходи!$M:$M,'ПП Април'!R2)</f>
        <v>0</v>
      </c>
      <c r="S19" s="59">
        <f>SUMIFS(приходи!$L:$L,приходи!$E:$E,'ПП Април'!$C$19,приходи!$M:$M,'ПП Април'!S2)</f>
        <v>0</v>
      </c>
      <c r="T19" s="74">
        <f>SUMIFS(приходи!$L:$L,приходи!$E:$E,'ПП Април'!$C$19,приходи!$M:$M,'ПП Април'!T2)</f>
        <v>0</v>
      </c>
      <c r="U19" s="74">
        <f>SUMIFS(приходи!$L:$L,приходи!$E:$E,'ПП Април'!$C$19,приходи!$M:$M,'ПП Април'!U2)</f>
        <v>0</v>
      </c>
      <c r="V19" s="59">
        <f>SUMIFS(приходи!$L:$L,приходи!$E:$E,'ПП Април'!$C$19,приходи!$M:$M,'ПП Април'!V2)</f>
        <v>0</v>
      </c>
      <c r="W19" s="59">
        <f>SUMIFS(приходи!$L:$L,приходи!$E:$E,'ПП Април'!$C$19,приходи!$M:$M,'ПП Април'!W2)</f>
        <v>0</v>
      </c>
      <c r="X19" s="76">
        <f>SUMIFS(приходи!$L:$L,приходи!$E:$E,'ПП Април'!$C$19,приходи!$M:$M,'ПП Април'!X2)</f>
        <v>0</v>
      </c>
      <c r="Y19" s="76">
        <f>SUMIFS(приходи!$L:$L,приходи!$E:$E,'ПП Април'!$C$19,приходи!$M:$M,'ПП Април'!Y2)</f>
        <v>0</v>
      </c>
      <c r="Z19" s="59">
        <f>SUMIFS(приходи!$L:$L,приходи!$E:$E,'ПП Април'!$C$19,приходи!$M:$M,'ПП Април'!Z2)</f>
        <v>0</v>
      </c>
      <c r="AA19" s="74">
        <f>SUMIFS(приходи!$L:$L,приходи!$E:$E,'ПП Април'!$C$19,приходи!$M:$M,'ПП Април'!AA2)</f>
        <v>0</v>
      </c>
      <c r="AB19" s="74">
        <f>SUMIFS(приходи!$L:$L,приходи!$E:$E,'ПП Април'!$C$19,приходи!$M:$M,'ПП Април'!AB2)</f>
        <v>0</v>
      </c>
      <c r="AC19" s="59">
        <f>SUMIFS(приходи!$L:$L,приходи!$E:$E,'ПП Април'!$C$19,приходи!$M:$M,'ПП Април'!AC2)</f>
        <v>0</v>
      </c>
      <c r="AD19" s="59">
        <f>SUMIFS(приходи!$L:$L,приходи!$E:$E,'ПП Април'!$C$19,приходи!$M:$M,'ПП Април'!AD2)</f>
        <v>0</v>
      </c>
      <c r="AE19" s="76">
        <f>SUMIFS(приходи!$L:$L,приходи!$E:$E,'ПП Април'!$C$19,приходи!$M:$M,'ПП Април'!AE2)</f>
        <v>0</v>
      </c>
      <c r="AF19" s="76">
        <f>SUMIFS(приходи!$L:$L,приходи!$E:$E,'ПП Април'!$C$19,приходи!$M:$M,'ПП Април'!AF2)</f>
        <v>0</v>
      </c>
      <c r="AG19" s="59">
        <f>SUMIFS(приходи!$L:$L,приходи!$E:$E,'ПП Април'!$C$19,приходи!$M:$M,'ПП Април'!AG2)</f>
        <v>2273.2559999999994</v>
      </c>
      <c r="AH19" s="74">
        <f>SUMIFS(приходи!$L:$L,приходи!$E:$E,'ПП Април'!$C$19,приходи!$M:$M,'ПП Април'!AH2)</f>
        <v>0</v>
      </c>
      <c r="AI19" s="61">
        <f t="shared" si="1"/>
        <v>11464.755999999999</v>
      </c>
      <c r="AJ19" s="69">
        <f t="shared" si="2"/>
        <v>-11464.755999999999</v>
      </c>
    </row>
    <row r="20" spans="1:36" s="4" customFormat="1" ht="20.100000000000001" customHeight="1" x14ac:dyDescent="0.3">
      <c r="B20" s="7">
        <v>3</v>
      </c>
      <c r="C20" s="8" t="s">
        <v>54</v>
      </c>
      <c r="D20" s="68">
        <v>129526.128</v>
      </c>
      <c r="E20" s="59">
        <f>SUMIFS(приходи!$L:$L,приходи!$E:$E,'ПП Април'!$C$20,приходи!$M:$M,'ПП Април'!E2)</f>
        <v>0</v>
      </c>
      <c r="F20" s="74">
        <f>SUMIFS(приходи!$L:$L,приходи!$E:$E,'ПП Април'!$C$20,приходи!$M:$M,'ПП Април'!F2)</f>
        <v>0</v>
      </c>
      <c r="G20" s="74">
        <f>SUMIFS(приходи!$L:$L,приходи!$E:$E,'ПП Април'!$C$20,приходи!$M:$M,'ПП Април'!G2)</f>
        <v>0</v>
      </c>
      <c r="H20" s="74">
        <f>SUMIFS(приходи!$L:$L,приходи!$E:$E,'ПП Април'!$C$20,приходи!$M:$M,'ПП Април'!H2)</f>
        <v>0</v>
      </c>
      <c r="I20" s="59">
        <f>SUMIFS(приходи!$L:$L,приходи!$E:$E,'ПП Април'!$C$20,приходи!$M:$M,'ПП Април'!I2)</f>
        <v>0</v>
      </c>
      <c r="J20" s="76">
        <f>SUMIFS(приходи!$L:$L,приходи!$E:$E,'ПП Април'!$C$20,приходи!$M:$M,'ПП Април'!J2)</f>
        <v>0</v>
      </c>
      <c r="K20" s="76">
        <f>SUMIFS(приходи!$L:$L,приходи!$E:$E,'ПП Април'!$C$20,приходи!$M:$M,'ПП Април'!K2)</f>
        <v>0</v>
      </c>
      <c r="L20" s="59">
        <f>SUMIFS(приходи!$L:$L,приходи!$E:$E,'ПП Април'!$C$20,приходи!$M:$M,'ПП Април'!L2)</f>
        <v>0</v>
      </c>
      <c r="M20" s="74">
        <f>SUMIFS(приходи!$L:$L,приходи!$E:$E,'ПП Април'!$C$20,приходи!$M:$M,'ПП Април'!M2)</f>
        <v>0</v>
      </c>
      <c r="N20" s="74">
        <f>SUMIFS(приходи!$L:$L,приходи!$E:$E,'ПП Април'!$C$20,приходи!$M:$M,'ПП Април'!N2)</f>
        <v>0</v>
      </c>
      <c r="O20" s="59">
        <f>SUMIFS(приходи!$L:$L,приходи!$E:$E,'ПП Април'!$C$20,приходи!$M:$M,'ПП Април'!O2)</f>
        <v>0</v>
      </c>
      <c r="P20" s="59">
        <f>SUMIFS(приходи!$L:$L,приходи!$E:$E,'ПП Април'!$C$20,приходи!$M:$M,'ПП Април'!P2)</f>
        <v>0</v>
      </c>
      <c r="Q20" s="76">
        <f>SUMIFS(приходи!$L:$L,приходи!$E:$E,'ПП Април'!$C$20,приходи!$M:$M,'ПП Април'!Q2)</f>
        <v>0</v>
      </c>
      <c r="R20" s="76">
        <f>SUMIFS(приходи!$L:$L,приходи!$E:$E,'ПП Април'!$C$20,приходи!$M:$M,'ПП Април'!R2)</f>
        <v>0</v>
      </c>
      <c r="S20" s="59">
        <f>SUMIFS(приходи!$L:$L,приходи!$E:$E,'ПП Април'!$C$20,приходи!$M:$M,'ПП Април'!S2)</f>
        <v>0</v>
      </c>
      <c r="T20" s="74">
        <f>SUMIFS(приходи!$L:$L,приходи!$E:$E,'ПП Април'!$C$20,приходи!$M:$M,'ПП Април'!T2)</f>
        <v>0</v>
      </c>
      <c r="U20" s="74">
        <f>SUMIFS(приходи!$L:$L,приходи!$E:$E,'ПП Април'!$C$20,приходи!$M:$M,'ПП Април'!U2)</f>
        <v>0</v>
      </c>
      <c r="V20" s="59">
        <f>SUMIFS(приходи!$L:$L,приходи!$E:$E,'ПП Април'!$C$20,приходи!$M:$M,'ПП Април'!V2)</f>
        <v>0</v>
      </c>
      <c r="W20" s="59">
        <f>SUMIFS(приходи!$L:$L,приходи!$E:$E,'ПП Април'!$C$20,приходи!$M:$M,'ПП Април'!W2)</f>
        <v>0</v>
      </c>
      <c r="X20" s="76">
        <f>SUMIFS(приходи!$L:$L,приходи!$E:$E,'ПП Април'!$C$20,приходи!$M:$M,'ПП Април'!X2)</f>
        <v>0</v>
      </c>
      <c r="Y20" s="76">
        <f>SUMIFS(приходи!$L:$L,приходи!$E:$E,'ПП Април'!$C$20,приходи!$M:$M,'ПП Април'!Y2)</f>
        <v>0</v>
      </c>
      <c r="Z20" s="59">
        <f>SUMIFS(приходи!$L:$L,приходи!$E:$E,'ПП Април'!$C$20,приходи!$M:$M,'ПП Април'!Z2)</f>
        <v>0</v>
      </c>
      <c r="AA20" s="74">
        <f>SUMIFS(приходи!$L:$L,приходи!$E:$E,'ПП Април'!$C$20,приходи!$M:$M,'ПП Април'!AA2)</f>
        <v>0</v>
      </c>
      <c r="AB20" s="74">
        <f>SUMIFS(приходи!$L:$L,приходи!$E:$E,'ПП Април'!$C$20,приходи!$M:$M,'ПП Април'!AB2)</f>
        <v>0</v>
      </c>
      <c r="AC20" s="59">
        <f>SUMIFS(приходи!$L:$L,приходи!$E:$E,'ПП Април'!$C$20,приходи!$M:$M,'ПП Април'!AC2)</f>
        <v>0</v>
      </c>
      <c r="AD20" s="59">
        <f>SUMIFS(приходи!$L:$L,приходи!$E:$E,'ПП Април'!$C$20,приходи!$M:$M,'ПП Април'!AD2)</f>
        <v>0</v>
      </c>
      <c r="AE20" s="76">
        <f>SUMIFS(приходи!$L:$L,приходи!$E:$E,'ПП Април'!$C$20,приходи!$M:$M,'ПП Април'!AE2)</f>
        <v>0</v>
      </c>
      <c r="AF20" s="76">
        <f>SUMIFS(приходи!$L:$L,приходи!$E:$E,'ПП Април'!$C$20,приходи!$M:$M,'ПП Април'!AF2)</f>
        <v>0</v>
      </c>
      <c r="AG20" s="59">
        <f>SUMIFS(приходи!$L:$L,приходи!$E:$E,'ПП Април'!$C$20,приходи!$M:$M,'ПП Април'!AG2)</f>
        <v>0</v>
      </c>
      <c r="AH20" s="74">
        <f>SUMIFS(приходи!$L:$L,приходи!$E:$E,'ПП Април'!$C$20,приходи!$M:$M,'ПП Април'!AH2)</f>
        <v>0</v>
      </c>
      <c r="AI20" s="61">
        <f t="shared" si="1"/>
        <v>0</v>
      </c>
      <c r="AJ20" s="69">
        <f t="shared" si="2"/>
        <v>129526.128</v>
      </c>
    </row>
    <row r="21" spans="1:36" s="4" customFormat="1" ht="20.100000000000001" customHeight="1" x14ac:dyDescent="0.3">
      <c r="B21" s="7">
        <v>4</v>
      </c>
      <c r="C21" s="8" t="s">
        <v>855</v>
      </c>
      <c r="D21" s="68"/>
      <c r="E21" s="59">
        <f>SUMIFS(приходи!$L:$L,приходи!$E:$E,'ПП Април'!$C$21,приходи!$M:$M,'ПП Април'!E2)</f>
        <v>0</v>
      </c>
      <c r="F21" s="74">
        <f>SUMIFS(приходи!$L:$L,приходи!$E:$E,'ПП Април'!$C$21,приходи!$M:$M,'ПП Април'!F2)</f>
        <v>0</v>
      </c>
      <c r="G21" s="74">
        <f>SUMIFS(приходи!$L:$L,приходи!$E:$E,'ПП Април'!$C$21,приходи!$M:$M,'ПП Април'!G2)</f>
        <v>0</v>
      </c>
      <c r="H21" s="74">
        <f>SUMIFS(приходи!$L:$L,приходи!$E:$E,'ПП Април'!$C$21,приходи!$M:$M,'ПП Април'!H2)</f>
        <v>0</v>
      </c>
      <c r="I21" s="59">
        <f>SUMIFS(приходи!$L:$L,приходи!$E:$E,'ПП Април'!$C$21,приходи!$M:$M,'ПП Април'!I2)</f>
        <v>0</v>
      </c>
      <c r="J21" s="76">
        <f>SUMIFS(приходи!$L:$L,приходи!$E:$E,'ПП Април'!$C$21,приходи!$M:$M,'ПП Април'!J2)</f>
        <v>0</v>
      </c>
      <c r="K21" s="76">
        <f>SUMIFS(приходи!$L:$L,приходи!$E:$E,'ПП Април'!$C$21,приходи!$M:$M,'ПП Април'!K2)</f>
        <v>0</v>
      </c>
      <c r="L21" s="59">
        <f>SUMIFS(приходи!$L:$L,приходи!$E:$E,'ПП Април'!$C$21,приходи!$M:$M,'ПП Април'!L2)</f>
        <v>0</v>
      </c>
      <c r="M21" s="74">
        <f>SUMIFS(приходи!$L:$L,приходи!$E:$E,'ПП Април'!$C$21,приходи!$M:$M,'ПП Април'!M2)</f>
        <v>0</v>
      </c>
      <c r="N21" s="74">
        <f>SUMIFS(приходи!$L:$L,приходи!$E:$E,'ПП Април'!$C$21,приходи!$M:$M,'ПП Април'!N2)</f>
        <v>0</v>
      </c>
      <c r="O21" s="59">
        <f>SUMIFS(приходи!$L:$L,приходи!$E:$E,'ПП Април'!$C$21,приходи!$M:$M,'ПП Април'!O2)</f>
        <v>0</v>
      </c>
      <c r="P21" s="59">
        <f>SUMIFS(приходи!$L:$L,приходи!$E:$E,'ПП Април'!$C$21,приходи!$M:$M,'ПП Април'!P2)</f>
        <v>0</v>
      </c>
      <c r="Q21" s="76">
        <f>SUMIFS(приходи!$L:$L,приходи!$E:$E,'ПП Април'!$C$21,приходи!$M:$M,'ПП Април'!Q2)</f>
        <v>0</v>
      </c>
      <c r="R21" s="76">
        <f>SUMIFS(приходи!$L:$L,приходи!$E:$E,'ПП Април'!$C$21,приходи!$M:$M,'ПП Април'!R2)</f>
        <v>0</v>
      </c>
      <c r="S21" s="59">
        <f>SUMIFS(приходи!$L:$L,приходи!$E:$E,'ПП Април'!$C$21,приходи!$M:$M,'ПП Април'!S2)</f>
        <v>0</v>
      </c>
      <c r="T21" s="74">
        <f>SUMIFS(приходи!$L:$L,приходи!$E:$E,'ПП Април'!$C$21,приходи!$M:$M,'ПП Април'!T2)</f>
        <v>0</v>
      </c>
      <c r="U21" s="74">
        <f>SUMIFS(приходи!$L:$L,приходи!$E:$E,'ПП Април'!$C$21,приходи!$M:$M,'ПП Април'!U2)</f>
        <v>0</v>
      </c>
      <c r="V21" s="59">
        <f>SUMIFS(приходи!$L:$L,приходи!$E:$E,'ПП Април'!$C$21,приходи!$M:$M,'ПП Април'!V2)</f>
        <v>0</v>
      </c>
      <c r="W21" s="59">
        <f>SUMIFS(приходи!$L:$L,приходи!$E:$E,'ПП Април'!$C$21,приходи!$M:$M,'ПП Април'!W2)</f>
        <v>0</v>
      </c>
      <c r="X21" s="76">
        <f>SUMIFS(приходи!$L:$L,приходи!$E:$E,'ПП Април'!$C$21,приходи!$M:$M,'ПП Април'!X2)</f>
        <v>0</v>
      </c>
      <c r="Y21" s="76">
        <f>SUMIFS(приходи!$L:$L,приходи!$E:$E,'ПП Април'!$C$21,приходи!$M:$M,'ПП Април'!Y2)</f>
        <v>0</v>
      </c>
      <c r="Z21" s="59">
        <f>SUMIFS(приходи!$L:$L,приходи!$E:$E,'ПП Април'!$C$21,приходи!$M:$M,'ПП Април'!Z2)</f>
        <v>0</v>
      </c>
      <c r="AA21" s="74">
        <f>SUMIFS(приходи!$L:$L,приходи!$E:$E,'ПП Април'!$C$21,приходи!$M:$M,'ПП Април'!AA2)</f>
        <v>0</v>
      </c>
      <c r="AB21" s="74">
        <f>SUMIFS(приходи!$L:$L,приходи!$E:$E,'ПП Април'!$C$21,приходи!$M:$M,'ПП Април'!AB2)</f>
        <v>0</v>
      </c>
      <c r="AC21" s="59">
        <f>SUMIFS(приходи!$L:$L,приходи!$E:$E,'ПП Април'!$C$21,приходи!$M:$M,'ПП Април'!AC2)</f>
        <v>0</v>
      </c>
      <c r="AD21" s="59">
        <f>SUMIFS(приходи!$L:$L,приходи!$E:$E,'ПП Април'!$C$21,приходи!$M:$M,'ПП Април'!AD2)</f>
        <v>0</v>
      </c>
      <c r="AE21" s="76">
        <f>SUMIFS(приходи!$L:$L,приходи!$E:$E,'ПП Април'!$C$21,приходи!$M:$M,'ПП Април'!AE2)</f>
        <v>0</v>
      </c>
      <c r="AF21" s="76">
        <f>SUMIFS(приходи!$L:$L,приходи!$E:$E,'ПП Април'!$C$21,приходи!$M:$M,'ПП Април'!AF2)</f>
        <v>0</v>
      </c>
      <c r="AG21" s="59">
        <f>SUMIFS(приходи!$L:$L,приходи!$E:$E,'ПП Април'!$C$21,приходи!$M:$M,'ПП Април'!AG2)</f>
        <v>0</v>
      </c>
      <c r="AH21" s="74">
        <f>SUMIFS(приходи!$L:$L,приходи!$E:$E,'ПП Април'!$C$21,приходи!$M:$M,'ПП Април'!AH2)</f>
        <v>0</v>
      </c>
      <c r="AI21" s="61">
        <f t="shared" si="1"/>
        <v>0</v>
      </c>
      <c r="AJ21" s="69">
        <f t="shared" si="2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68"/>
      <c r="E22" s="59">
        <f>SUMIFS(приходи!$L:$L,приходи!$E:$E,'ПП Април'!$C$22,приходи!$M:$M,'ПП Април'!E2)</f>
        <v>0</v>
      </c>
      <c r="F22" s="74">
        <f>SUMIFS(приходи!$L:$L,приходи!$E:$E,'ПП Април'!$C$22,приходи!$M:$M,'ПП Април'!F2)</f>
        <v>0</v>
      </c>
      <c r="G22" s="74">
        <f>SUMIFS(приходи!$L:$L,приходи!$E:$E,'ПП Април'!$C$22,приходи!$M:$M,'ПП Април'!G2)</f>
        <v>0</v>
      </c>
      <c r="H22" s="74">
        <f>SUMIFS(приходи!$L:$L,приходи!$E:$E,'ПП Април'!$C$22,приходи!$M:$M,'ПП Април'!H2)</f>
        <v>0</v>
      </c>
      <c r="I22" s="59">
        <f>SUMIFS(приходи!$L:$L,приходи!$E:$E,'ПП Април'!$C$22,приходи!$M:$M,'ПП Април'!I2)</f>
        <v>0</v>
      </c>
      <c r="J22" s="76">
        <f>SUMIFS(приходи!$L:$L,приходи!$E:$E,'ПП Април'!$C$22,приходи!$M:$M,'ПП Април'!J2)</f>
        <v>0</v>
      </c>
      <c r="K22" s="76">
        <f>SUMIFS(приходи!$L:$L,приходи!$E:$E,'ПП Април'!$C$22,приходи!$M:$M,'ПП Април'!K2)</f>
        <v>0</v>
      </c>
      <c r="L22" s="59">
        <f>SUMIFS(приходи!$L:$L,приходи!$E:$E,'ПП Април'!$C$22,приходи!$M:$M,'ПП Април'!L2)</f>
        <v>0</v>
      </c>
      <c r="M22" s="74">
        <f>SUMIFS(приходи!$L:$L,приходи!$E:$E,'ПП Април'!$C$22,приходи!$M:$M,'ПП Април'!M2)</f>
        <v>0</v>
      </c>
      <c r="N22" s="74">
        <f>SUMIFS(приходи!$L:$L,приходи!$E:$E,'ПП Април'!$C$22,приходи!$M:$M,'ПП Април'!N2)</f>
        <v>0</v>
      </c>
      <c r="O22" s="59">
        <f>SUMIFS(приходи!$L:$L,приходи!$E:$E,'ПП Април'!$C$22,приходи!$M:$M,'ПП Април'!O2)</f>
        <v>0</v>
      </c>
      <c r="P22" s="59">
        <f>SUMIFS(приходи!$L:$L,приходи!$E:$E,'ПП Април'!$C$22,приходи!$M:$M,'ПП Април'!P2)</f>
        <v>6098.65</v>
      </c>
      <c r="Q22" s="76">
        <f>SUMIFS(приходи!$L:$L,приходи!$E:$E,'ПП Април'!$C$22,приходи!$M:$M,'ПП Април'!Q2)</f>
        <v>0</v>
      </c>
      <c r="R22" s="76">
        <f>SUMIFS(приходи!$L:$L,приходи!$E:$E,'ПП Април'!$C$22,приходи!$M:$M,'ПП Април'!R2)</f>
        <v>0</v>
      </c>
      <c r="S22" s="59">
        <f>SUMIFS(приходи!$L:$L,приходи!$E:$E,'ПП Април'!$C$22,приходи!$M:$M,'ПП Април'!S2)</f>
        <v>0</v>
      </c>
      <c r="T22" s="74">
        <f>SUMIFS(приходи!$L:$L,приходи!$E:$E,'ПП Април'!$C$22,приходи!$M:$M,'ПП Април'!T2)</f>
        <v>0</v>
      </c>
      <c r="U22" s="74">
        <f>SUMIFS(приходи!$L:$L,приходи!$E:$E,'ПП Април'!$C$22,приходи!$M:$M,'ПП Април'!U2)</f>
        <v>0</v>
      </c>
      <c r="V22" s="59">
        <f>SUMIFS(приходи!$L:$L,приходи!$E:$E,'ПП Април'!$C$22,приходи!$M:$M,'ПП Април'!V2)</f>
        <v>0</v>
      </c>
      <c r="W22" s="59">
        <f>SUMIFS(приходи!$L:$L,приходи!$E:$E,'ПП Април'!$C$22,приходи!$M:$M,'ПП Април'!W2)</f>
        <v>0</v>
      </c>
      <c r="X22" s="76">
        <f>SUMIFS(приходи!$L:$L,приходи!$E:$E,'ПП Април'!$C$22,приходи!$M:$M,'ПП Април'!X2)</f>
        <v>0</v>
      </c>
      <c r="Y22" s="76">
        <f>SUMIFS(приходи!$L:$L,приходи!$E:$E,'ПП Април'!$C$22,приходи!$M:$M,'ПП Април'!Y2)</f>
        <v>0</v>
      </c>
      <c r="Z22" s="59">
        <f>SUMIFS(приходи!$L:$L,приходи!$E:$E,'ПП Април'!$C$22,приходи!$M:$M,'ПП Април'!Z2)</f>
        <v>0</v>
      </c>
      <c r="AA22" s="74">
        <f>SUMIFS(приходи!$L:$L,приходи!$E:$E,'ПП Април'!$C$22,приходи!$M:$M,'ПП Април'!AA2)</f>
        <v>0</v>
      </c>
      <c r="AB22" s="74">
        <f>SUMIFS(приходи!$L:$L,приходи!$E:$E,'ПП Април'!$C$22,приходи!$M:$M,'ПП Април'!AB2)</f>
        <v>0</v>
      </c>
      <c r="AC22" s="59">
        <f>SUMIFS(приходи!$L:$L,приходи!$E:$E,'ПП Април'!$C$22,приходи!$M:$M,'ПП Април'!AC2)</f>
        <v>0</v>
      </c>
      <c r="AD22" s="59">
        <f>SUMIFS(приходи!$L:$L,приходи!$E:$E,'ПП Април'!$C$22,приходи!$M:$M,'ПП Април'!AD2)</f>
        <v>0</v>
      </c>
      <c r="AE22" s="76">
        <f>SUMIFS(приходи!$L:$L,приходи!$E:$E,'ПП Април'!$C$22,приходи!$M:$M,'ПП Април'!AE2)</f>
        <v>0</v>
      </c>
      <c r="AF22" s="76">
        <f>SUMIFS(приходи!$L:$L,приходи!$E:$E,'ПП Април'!$C$22,приходи!$M:$M,'ПП Април'!AF2)</f>
        <v>0</v>
      </c>
      <c r="AG22" s="59">
        <f>SUMIFS(приходи!$L:$L,приходи!$E:$E,'ПП Април'!$C$22,приходи!$M:$M,'ПП Април'!AG2)</f>
        <v>954.87599999999998</v>
      </c>
      <c r="AH22" s="74">
        <f>SUMIFS(приходи!$L:$L,приходи!$E:$E,'ПП Април'!$C$22,приходи!$M:$M,'ПП Април'!AH2)</f>
        <v>0</v>
      </c>
      <c r="AI22" s="61">
        <f t="shared" si="1"/>
        <v>7053.5259999999998</v>
      </c>
      <c r="AJ22" s="69">
        <f t="shared" si="2"/>
        <v>-7053.5259999999998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 t="shared" ref="D23:AH23" si="10">SUM(D24,D29,D36,D41,D42)</f>
        <v>3615448.9687218401</v>
      </c>
      <c r="E23" s="54">
        <f t="shared" si="10"/>
        <v>123490.98000000001</v>
      </c>
      <c r="F23" s="54">
        <f t="shared" si="10"/>
        <v>0</v>
      </c>
      <c r="G23" s="54">
        <f t="shared" si="10"/>
        <v>58860</v>
      </c>
      <c r="H23" s="54">
        <f t="shared" si="10"/>
        <v>179041.49</v>
      </c>
      <c r="I23" s="54">
        <f t="shared" si="10"/>
        <v>121440.97</v>
      </c>
      <c r="J23" s="54">
        <f t="shared" si="10"/>
        <v>0</v>
      </c>
      <c r="K23" s="54">
        <f t="shared" si="10"/>
        <v>0</v>
      </c>
      <c r="L23" s="54">
        <f t="shared" si="10"/>
        <v>79326</v>
      </c>
      <c r="M23" s="54">
        <f t="shared" si="10"/>
        <v>0</v>
      </c>
      <c r="N23" s="54">
        <f t="shared" si="10"/>
        <v>359024.79000000004</v>
      </c>
      <c r="O23" s="54">
        <f t="shared" si="10"/>
        <v>281996.39</v>
      </c>
      <c r="P23" s="54">
        <f t="shared" si="10"/>
        <v>177825.59999999998</v>
      </c>
      <c r="Q23" s="54">
        <f t="shared" si="10"/>
        <v>0</v>
      </c>
      <c r="R23" s="54">
        <f t="shared" si="10"/>
        <v>0</v>
      </c>
      <c r="S23" s="54">
        <f t="shared" si="10"/>
        <v>78190.16</v>
      </c>
      <c r="T23" s="54">
        <f t="shared" si="10"/>
        <v>57725.73</v>
      </c>
      <c r="U23" s="54">
        <f t="shared" si="10"/>
        <v>87269.43</v>
      </c>
      <c r="V23" s="54">
        <f t="shared" si="10"/>
        <v>31700.379999999997</v>
      </c>
      <c r="W23" s="54">
        <f t="shared" si="10"/>
        <v>0</v>
      </c>
      <c r="X23" s="54">
        <f t="shared" si="10"/>
        <v>0</v>
      </c>
      <c r="Y23" s="54">
        <f t="shared" si="10"/>
        <v>12319.998481615999</v>
      </c>
      <c r="Z23" s="54">
        <f t="shared" si="10"/>
        <v>22778.35</v>
      </c>
      <c r="AA23" s="54">
        <f t="shared" si="10"/>
        <v>91869</v>
      </c>
      <c r="AB23" s="54">
        <f t="shared" si="10"/>
        <v>10680</v>
      </c>
      <c r="AC23" s="54">
        <f t="shared" si="10"/>
        <v>54812.65</v>
      </c>
      <c r="AD23" s="54">
        <f t="shared" si="10"/>
        <v>62827.105421519998</v>
      </c>
      <c r="AE23" s="54">
        <f t="shared" si="10"/>
        <v>0</v>
      </c>
      <c r="AF23" s="54">
        <f t="shared" si="10"/>
        <v>0</v>
      </c>
      <c r="AG23" s="54">
        <f t="shared" si="10"/>
        <v>3977.08</v>
      </c>
      <c r="AH23" s="54">
        <f t="shared" si="10"/>
        <v>0</v>
      </c>
      <c r="AI23" s="54">
        <f t="shared" si="1"/>
        <v>1895156.103903136</v>
      </c>
      <c r="AJ23" s="54">
        <f t="shared" si="2"/>
        <v>1720292.8648187041</v>
      </c>
    </row>
    <row r="24" spans="1:36" s="4" customFormat="1" ht="20.100000000000001" customHeight="1" x14ac:dyDescent="0.3">
      <c r="B24" s="7">
        <v>1</v>
      </c>
      <c r="C24" s="8" t="s">
        <v>858</v>
      </c>
      <c r="D24" s="55">
        <f t="shared" ref="D24" si="11">SUM(D26:D28)</f>
        <v>3144840</v>
      </c>
      <c r="E24" s="55">
        <f t="shared" ref="E24:AH24" si="12">SUM(E25:E28)</f>
        <v>123490.98000000001</v>
      </c>
      <c r="F24" s="73">
        <f t="shared" si="12"/>
        <v>0</v>
      </c>
      <c r="G24" s="73">
        <f t="shared" si="12"/>
        <v>58860</v>
      </c>
      <c r="H24" s="73">
        <f t="shared" si="12"/>
        <v>179041.49</v>
      </c>
      <c r="I24" s="55">
        <f t="shared" si="12"/>
        <v>43512</v>
      </c>
      <c r="J24" s="77">
        <f t="shared" si="12"/>
        <v>0</v>
      </c>
      <c r="K24" s="77">
        <f t="shared" si="12"/>
        <v>0</v>
      </c>
      <c r="L24" s="55">
        <f t="shared" si="12"/>
        <v>79326</v>
      </c>
      <c r="M24" s="73">
        <f t="shared" si="12"/>
        <v>0</v>
      </c>
      <c r="N24" s="73">
        <f t="shared" si="12"/>
        <v>37826.400000000001</v>
      </c>
      <c r="O24" s="55">
        <f t="shared" si="12"/>
        <v>281996.39</v>
      </c>
      <c r="P24" s="55">
        <f t="shared" si="12"/>
        <v>174919.13999999998</v>
      </c>
      <c r="Q24" s="77">
        <f t="shared" si="12"/>
        <v>0</v>
      </c>
      <c r="R24" s="77">
        <f t="shared" si="12"/>
        <v>0</v>
      </c>
      <c r="S24" s="55">
        <f t="shared" si="12"/>
        <v>76380.27</v>
      </c>
      <c r="T24" s="73">
        <f t="shared" si="12"/>
        <v>54552</v>
      </c>
      <c r="U24" s="73">
        <f t="shared" si="12"/>
        <v>87269.43</v>
      </c>
      <c r="V24" s="55">
        <f t="shared" si="12"/>
        <v>15832.8</v>
      </c>
      <c r="W24" s="55">
        <f t="shared" si="12"/>
        <v>0</v>
      </c>
      <c r="X24" s="77">
        <f t="shared" si="12"/>
        <v>0</v>
      </c>
      <c r="Y24" s="77">
        <f t="shared" si="12"/>
        <v>12319.998481615999</v>
      </c>
      <c r="Z24" s="55">
        <f t="shared" si="12"/>
        <v>0</v>
      </c>
      <c r="AA24" s="73">
        <f t="shared" si="12"/>
        <v>91869</v>
      </c>
      <c r="AB24" s="73">
        <f t="shared" si="12"/>
        <v>10680</v>
      </c>
      <c r="AC24" s="55">
        <f t="shared" si="12"/>
        <v>54812.65</v>
      </c>
      <c r="AD24" s="55">
        <f t="shared" si="12"/>
        <v>62827.105421519998</v>
      </c>
      <c r="AE24" s="77">
        <f t="shared" si="12"/>
        <v>0</v>
      </c>
      <c r="AF24" s="77">
        <f t="shared" si="12"/>
        <v>0</v>
      </c>
      <c r="AG24" s="55">
        <f t="shared" si="12"/>
        <v>3424.58</v>
      </c>
      <c r="AH24" s="73">
        <f t="shared" si="12"/>
        <v>0</v>
      </c>
      <c r="AI24" s="61">
        <f t="shared" si="1"/>
        <v>1448940.2339031359</v>
      </c>
      <c r="AJ24" s="58">
        <f t="shared" si="2"/>
        <v>1695899.7660968641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63">
        <v>9052869.15264</v>
      </c>
      <c r="E25" s="71"/>
      <c r="F25" s="75"/>
      <c r="G25" s="75"/>
      <c r="H25" s="75"/>
      <c r="I25" s="71"/>
      <c r="J25" s="78"/>
      <c r="K25" s="78"/>
      <c r="L25" s="71"/>
      <c r="M25" s="75"/>
      <c r="N25" s="75"/>
      <c r="O25" s="71"/>
      <c r="P25" s="71"/>
      <c r="Q25" s="78"/>
      <c r="R25" s="78"/>
      <c r="S25" s="71"/>
      <c r="T25" s="75"/>
      <c r="U25" s="75"/>
      <c r="V25" s="71"/>
      <c r="W25" s="71"/>
      <c r="X25" s="78"/>
      <c r="Y25" s="78"/>
      <c r="Z25" s="71"/>
      <c r="AA25" s="75"/>
      <c r="AB25" s="75"/>
      <c r="AC25" s="71"/>
      <c r="AD25" s="71"/>
      <c r="AE25" s="78"/>
      <c r="AF25" s="78"/>
      <c r="AG25" s="71"/>
      <c r="AH25" s="75"/>
      <c r="AI25" s="66">
        <f t="shared" si="1"/>
        <v>0</v>
      </c>
      <c r="AJ25" s="67">
        <f t="shared" si="2"/>
        <v>9052869.15264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68"/>
      <c r="E26" s="59">
        <f>SUMIFS(разходи!$L:$L,разходи!$E:$E,'ПП Април'!$C$26,разходи!$M:$M,'ПП Април'!E2)</f>
        <v>0</v>
      </c>
      <c r="F26" s="74">
        <f>SUMIFS(разходи!$L:$L,разходи!$E:$E,'ПП Април'!$C$26,разходи!$M:$M,'ПП Април'!F2)</f>
        <v>0</v>
      </c>
      <c r="G26" s="74">
        <f>SUMIFS(разходи!$L:$L,разходи!$E:$E,'ПП Април'!$C$26,разходи!$M:$M,'ПП Април'!G2)</f>
        <v>0</v>
      </c>
      <c r="H26" s="74">
        <f>SUMIFS(разходи!$L:$L,разходи!$E:$E,'ПП Април'!$C$26,разходи!$M:$M,'ПП Април'!H2)</f>
        <v>17930.439999999999</v>
      </c>
      <c r="I26" s="70">
        <f>SUMIFS(разходи!$L:$L,разходи!$E:$E,'ПП Април'!$C$26,разходи!$M:$M,'ПП Април'!I2)</f>
        <v>0</v>
      </c>
      <c r="J26" s="76">
        <f>SUMIFS(разходи!$L:$L,разходи!$E:$E,'ПП Април'!$C$26,разходи!$M:$M,'ПП Април'!J2)</f>
        <v>0</v>
      </c>
      <c r="K26" s="76">
        <f>SUMIFS(разходи!$L:$L,разходи!$E:$E,'ПП Април'!$C$26,разходи!$M:$M,'ПП Април'!K2)</f>
        <v>0</v>
      </c>
      <c r="L26" s="70">
        <f>SUMIFS(разходи!$L:$L,разходи!$E:$E,'ПП Април'!$C$26,разходи!$M:$M,'ПП Април'!L2)</f>
        <v>0</v>
      </c>
      <c r="M26" s="74">
        <f>SUMIFS(разходи!$L:$L,разходи!$E:$E,'ПП Април'!$C$26,разходи!$M:$M,'ПП Април'!M2)</f>
        <v>0</v>
      </c>
      <c r="N26" s="74">
        <f>SUMIFS(разходи!$L:$L,разходи!$E:$E,'ПП Април'!$C$26,разходи!$M:$M,'ПП Април'!N2)</f>
        <v>0</v>
      </c>
      <c r="O26" s="70">
        <f>SUMIFS(разходи!$L:$L,разходи!$E:$E,'ПП Април'!$C$26,разходи!$M:$M,'ПП Април'!O2)</f>
        <v>16099.2</v>
      </c>
      <c r="P26" s="70">
        <f>SUMIFS(разходи!$L:$L,разходи!$E:$E,'ПП Април'!$C$26,разходи!$M:$M,'ПП Април'!P2)</f>
        <v>17930.43</v>
      </c>
      <c r="Q26" s="76">
        <f>SUMIFS(разходи!$L:$L,разходи!$E:$E,'ПП Април'!$C$26,разходи!$M:$M,'ПП Април'!Q2)</f>
        <v>0</v>
      </c>
      <c r="R26" s="76">
        <f>SUMIFS(разходи!$L:$L,разходи!$E:$E,'ПП Април'!$C$26,разходи!$M:$M,'ПП Април'!R2)</f>
        <v>0</v>
      </c>
      <c r="S26" s="70">
        <f>SUMIFS(разходи!$L:$L,разходи!$E:$E,'ПП Април'!$C$26,разходи!$M:$M,'ПП Април'!S2)</f>
        <v>0</v>
      </c>
      <c r="T26" s="74">
        <f>SUMIFS(разходи!$L:$L,разходи!$E:$E,'ПП Април'!$C$26,разходи!$M:$M,'ПП Април'!T2)</f>
        <v>0</v>
      </c>
      <c r="U26" s="74">
        <f>SUMIFS(разходи!$L:$L,разходи!$E:$E,'ПП Април'!$C$26,разходи!$M:$M,'ПП Април'!U2)</f>
        <v>39509.43</v>
      </c>
      <c r="V26" s="70">
        <f>SUMIFS(разходи!$L:$L,разходи!$E:$E,'ПП Април'!$C$26,разходи!$M:$M,'ПП Април'!V2)</f>
        <v>0</v>
      </c>
      <c r="W26" s="70">
        <f>SUMIFS(разходи!$L:$L,разходи!$E:$E,'ПП Април'!$C$26,разходи!$M:$M,'ПП Април'!W2)</f>
        <v>0</v>
      </c>
      <c r="X26" s="76">
        <f>SUMIFS(разходи!$L:$L,разходи!$E:$E,'ПП Април'!$C$26,разходи!$M:$M,'ПП Април'!X2)</f>
        <v>0</v>
      </c>
      <c r="Y26" s="76">
        <f>SUMIFS(разходи!$L:$L,разходи!$E:$E,'ПП Април'!$C$26,разходи!$M:$M,'ПП Април'!Y2)</f>
        <v>0</v>
      </c>
      <c r="Z26" s="70">
        <f>SUMIFS(разходи!$L:$L,разходи!$E:$E,'ПП Април'!$C$26,разходи!$M:$M,'ПП Април'!Z2)</f>
        <v>0</v>
      </c>
      <c r="AA26" s="74">
        <f>SUMIFS(разходи!$L:$L,разходи!$E:$E,'ПП Април'!$C$26,разходи!$M:$M,'ПП Април'!AA2)</f>
        <v>0</v>
      </c>
      <c r="AB26" s="74">
        <f>SUMIFS(разходи!$L:$L,разходи!$E:$E,'ПП Април'!$C$26,разходи!$M:$M,'ПП Април'!AB2)</f>
        <v>0</v>
      </c>
      <c r="AC26" s="70">
        <f>SUMIFS(разходи!$L:$L,разходи!$E:$E,'ПП Април'!$C$26,разходи!$M:$M,'ПП Април'!AC2)</f>
        <v>0</v>
      </c>
      <c r="AD26" s="70">
        <f>SUMIFS(разходи!$L:$L,разходи!$E:$E,'ПП Април'!$C$26,разходи!$M:$M,'ПП Април'!AD2)</f>
        <v>0</v>
      </c>
      <c r="AE26" s="76">
        <f>SUMIFS(разходи!$L:$L,разходи!$E:$E,'ПП Април'!$C$26,разходи!$M:$M,'ПП Април'!AE2)</f>
        <v>0</v>
      </c>
      <c r="AF26" s="76">
        <f>SUMIFS(разходи!$L:$L,разходи!$E:$E,'ПП Април'!$C$26,разходи!$M:$M,'ПП Април'!AF2)</f>
        <v>0</v>
      </c>
      <c r="AG26" s="70">
        <f>SUMIFS(разходи!$L:$L,разходи!$E:$E,'ПП Април'!$C$26,разходи!$M:$M,'ПП Април'!AG2)</f>
        <v>0</v>
      </c>
      <c r="AH26" s="74">
        <f>SUMIFS(разходи!$L:$L,разходи!$E:$E,'ПП Април'!$C$26,разходи!$M:$M,'ПП Април'!AH2)</f>
        <v>0</v>
      </c>
      <c r="AI26" s="61">
        <f t="shared" si="1"/>
        <v>91469.5</v>
      </c>
      <c r="AJ26" s="69">
        <f t="shared" si="2"/>
        <v>-91469.5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68">
        <v>2939040</v>
      </c>
      <c r="E27" s="59">
        <f>SUMIFS(разходи!$L:$L,разходи!$E:$E,'ПП Април'!$C$27,разходи!$M:$M,'ПП Април'!E2)</f>
        <v>123490.98000000001</v>
      </c>
      <c r="F27" s="74">
        <f>SUMIFS(разходи!$L:$L,разходи!$E:$E,'ПП Април'!$C$27,разходи!$M:$M,'ПП Април'!F2)</f>
        <v>0</v>
      </c>
      <c r="G27" s="74">
        <f>SUMIFS(разходи!$L:$L,разходи!$E:$E,'ПП Април'!$C$27,разходи!$M:$M,'ПП Април'!G2)</f>
        <v>58860</v>
      </c>
      <c r="H27" s="74">
        <f>SUMIFS(разходи!$L:$L,разходи!$E:$E,'ПП Април'!$C$27,разходи!$M:$M,'ПП Април'!H2)</f>
        <v>161111.04999999999</v>
      </c>
      <c r="I27" s="70">
        <f>SUMIFS(разходи!$L:$L,разходи!$E:$E,'ПП Април'!$C$27,разходи!$M:$M,'ПП Април'!I2)</f>
        <v>43512</v>
      </c>
      <c r="J27" s="76">
        <f>SUMIFS(разходи!$L:$L,разходи!$E:$E,'ПП Април'!$C$27,разходи!$M:$M,'ПП Април'!J2)</f>
        <v>0</v>
      </c>
      <c r="K27" s="76">
        <f>SUMIFS(разходи!$L:$L,разходи!$E:$E,'ПП Април'!$C$27,разходи!$M:$M,'ПП Април'!K2)</f>
        <v>0</v>
      </c>
      <c r="L27" s="70">
        <f>SUMIFS(разходи!$L:$L,разходи!$E:$E,'ПП Април'!$C$27,разходи!$M:$M,'ПП Април'!L2)</f>
        <v>79326</v>
      </c>
      <c r="M27" s="74">
        <f>SUMIFS(разходи!$L:$L,разходи!$E:$E,'ПП Април'!$C$27,разходи!$M:$M,'ПП Април'!M2)</f>
        <v>0</v>
      </c>
      <c r="N27" s="74">
        <f>SUMIFS(разходи!$L:$L,разходи!$E:$E,'ПП Април'!$C$27,разходи!$M:$M,'ПП Април'!N2)</f>
        <v>37826.400000000001</v>
      </c>
      <c r="O27" s="70">
        <f>SUMIFS(разходи!$L:$L,разходи!$E:$E,'ПП Април'!$C$27,разходи!$M:$M,'ПП Април'!O2)</f>
        <v>265897.19</v>
      </c>
      <c r="P27" s="70">
        <f>SUMIFS(разходи!$L:$L,разходи!$E:$E,'ПП Април'!$C$27,разходи!$M:$M,'ПП Април'!P2)</f>
        <v>156988.71</v>
      </c>
      <c r="Q27" s="76">
        <f>SUMIFS(разходи!$L:$L,разходи!$E:$E,'ПП Април'!$C$27,разходи!$M:$M,'ПП Април'!Q2)</f>
        <v>0</v>
      </c>
      <c r="R27" s="76">
        <f>SUMIFS(разходи!$L:$L,разходи!$E:$E,'ПП Април'!$C$27,разходи!$M:$M,'ПП Април'!R2)</f>
        <v>0</v>
      </c>
      <c r="S27" s="70">
        <f>SUMIFS(разходи!$L:$L,разходи!$E:$E,'ПП Април'!$C$27,разходи!$M:$M,'ПП Април'!S2)</f>
        <v>76380.27</v>
      </c>
      <c r="T27" s="74">
        <f>SUMIFS(разходи!$L:$L,разходи!$E:$E,'ПП Април'!$C$27,разходи!$M:$M,'ПП Април'!T2)</f>
        <v>54552</v>
      </c>
      <c r="U27" s="74">
        <f>SUMIFS(разходи!$L:$L,разходи!$E:$E,'ПП Април'!$C$27,разходи!$M:$M,'ПП Април'!U2)</f>
        <v>47760</v>
      </c>
      <c r="V27" s="70">
        <f>SUMIFS(разходи!$L:$L,разходи!$E:$E,'ПП Април'!$C$27,разходи!$M:$M,'ПП Април'!V2)</f>
        <v>15832.8</v>
      </c>
      <c r="W27" s="70">
        <f>SUMIFS(разходи!$L:$L,разходи!$E:$E,'ПП Април'!$C$27,разходи!$M:$M,'ПП Април'!W2)</f>
        <v>0</v>
      </c>
      <c r="X27" s="76">
        <f>SUMIFS(разходи!$L:$L,разходи!$E:$E,'ПП Април'!$C$27,разходи!$M:$M,'ПП Април'!X2)</f>
        <v>0</v>
      </c>
      <c r="Y27" s="76">
        <f>SUMIFS(разходи!$L:$L,разходи!$E:$E,'ПП Април'!$C$27,разходи!$M:$M,'ПП Април'!Y2)</f>
        <v>12319.998481615999</v>
      </c>
      <c r="Z27" s="70">
        <f>SUMIFS(разходи!$L:$L,разходи!$E:$E,'ПП Април'!$C$27,разходи!$M:$M,'ПП Април'!Z2)</f>
        <v>0</v>
      </c>
      <c r="AA27" s="74">
        <f>SUMIFS(разходи!$L:$L,разходи!$E:$E,'ПП Април'!$C$27,разходи!$M:$M,'ПП Април'!AA2)</f>
        <v>91869</v>
      </c>
      <c r="AB27" s="74">
        <f>SUMIFS(разходи!$L:$L,разходи!$E:$E,'ПП Април'!$C$27,разходи!$M:$M,'ПП Април'!AB2)</f>
        <v>10680</v>
      </c>
      <c r="AC27" s="70">
        <f>SUMIFS(разходи!$L:$L,разходи!$E:$E,'ПП Април'!$C$27,разходи!$M:$M,'ПП Април'!AC2)</f>
        <v>54812.65</v>
      </c>
      <c r="AD27" s="70">
        <f>SUMIFS(разходи!$L:$L,разходи!$E:$E,'ПП Април'!$C$27,разходи!$M:$M,'ПП Април'!AD2)</f>
        <v>62827.105421519998</v>
      </c>
      <c r="AE27" s="76">
        <f>SUMIFS(разходи!$L:$L,разходи!$E:$E,'ПП Април'!$C$27,разходи!$M:$M,'ПП Април'!AE2)</f>
        <v>0</v>
      </c>
      <c r="AF27" s="76">
        <f>SUMIFS(разходи!$L:$L,разходи!$E:$E,'ПП Април'!$C$27,разходи!$M:$M,'ПП Април'!AF2)</f>
        <v>0</v>
      </c>
      <c r="AG27" s="70">
        <f>SUMIFS(разходи!$L:$L,разходи!$E:$E,'ПП Април'!$C$27,разходи!$M:$M,'ПП Април'!AG2)</f>
        <v>3424.58</v>
      </c>
      <c r="AH27" s="74">
        <f>SUMIFS(разходи!$L:$L,разходи!$E:$E,'ПП Април'!$C$27,разходи!$M:$M,'ПП Април'!AH2)</f>
        <v>0</v>
      </c>
      <c r="AI27" s="61">
        <f t="shared" si="1"/>
        <v>1357470.7339031361</v>
      </c>
      <c r="AJ27" s="69">
        <f t="shared" si="2"/>
        <v>1581569.2660968639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68">
        <v>205800</v>
      </c>
      <c r="E28" s="59">
        <f>SUMIFS(разходи!$L:$L,разходи!$E:$E,'ПП Април'!$C$28,разходи!$M:$M,'ПП Април'!E2)</f>
        <v>0</v>
      </c>
      <c r="F28" s="74">
        <f>SUMIFS(разходи!$L:$L,разходи!$E:$E,'ПП Април'!$C$28,разходи!$M:$M,'ПП Април'!F2)</f>
        <v>0</v>
      </c>
      <c r="G28" s="74">
        <f>SUMIFS(разходи!$L:$L,разходи!$E:$E,'ПП Април'!$C$28,разходи!$M:$M,'ПП Април'!G2)</f>
        <v>0</v>
      </c>
      <c r="H28" s="74">
        <f>SUMIFS(разходи!$L:$L,разходи!$E:$E,'ПП Април'!$C$28,разходи!$M:$M,'ПП Април'!H2)</f>
        <v>0</v>
      </c>
      <c r="I28" s="70">
        <f>SUMIFS(разходи!$L:$L,разходи!$E:$E,'ПП Април'!$C$28,разходи!$M:$M,'ПП Април'!I2)</f>
        <v>0</v>
      </c>
      <c r="J28" s="76">
        <f>SUMIFS(разходи!$L:$L,разходи!$E:$E,'ПП Април'!$C$28,разходи!$M:$M,'ПП Април'!J2)</f>
        <v>0</v>
      </c>
      <c r="K28" s="76">
        <f>SUMIFS(разходи!$L:$L,разходи!$E:$E,'ПП Април'!$C$28,разходи!$M:$M,'ПП Април'!K2)</f>
        <v>0</v>
      </c>
      <c r="L28" s="70">
        <f>SUMIFS(разходи!$L:$L,разходи!$E:$E,'ПП Април'!$C$28,разходи!$M:$M,'ПП Април'!L2)</f>
        <v>0</v>
      </c>
      <c r="M28" s="74">
        <f>SUMIFS(разходи!$L:$L,разходи!$E:$E,'ПП Април'!$C$28,разходи!$M:$M,'ПП Април'!M2)</f>
        <v>0</v>
      </c>
      <c r="N28" s="74">
        <f>SUMIFS(разходи!$L:$L,разходи!$E:$E,'ПП Април'!$C$28,разходи!$M:$M,'ПП Април'!N2)</f>
        <v>0</v>
      </c>
      <c r="O28" s="70">
        <f>SUMIFS(разходи!$L:$L,разходи!$E:$E,'ПП Април'!$C$28,разходи!$M:$M,'ПП Април'!O2)</f>
        <v>0</v>
      </c>
      <c r="P28" s="70">
        <f>SUMIFS(разходи!$L:$L,разходи!$E:$E,'ПП Април'!$C$28,разходи!$M:$M,'ПП Април'!P2)</f>
        <v>0</v>
      </c>
      <c r="Q28" s="76">
        <f>SUMIFS(разходи!$L:$L,разходи!$E:$E,'ПП Април'!$C$28,разходи!$M:$M,'ПП Април'!Q2)</f>
        <v>0</v>
      </c>
      <c r="R28" s="76">
        <f>SUMIFS(разходи!$L:$L,разходи!$E:$E,'ПП Април'!$C$28,разходи!$M:$M,'ПП Април'!R2)</f>
        <v>0</v>
      </c>
      <c r="S28" s="70">
        <f>SUMIFS(разходи!$L:$L,разходи!$E:$E,'ПП Април'!$C$28,разходи!$M:$M,'ПП Април'!S2)</f>
        <v>0</v>
      </c>
      <c r="T28" s="74">
        <f>SUMIFS(разходи!$L:$L,разходи!$E:$E,'ПП Април'!$C$28,разходи!$M:$M,'ПП Април'!T2)</f>
        <v>0</v>
      </c>
      <c r="U28" s="74">
        <f>SUMIFS(разходи!$L:$L,разходи!$E:$E,'ПП Април'!$C$28,разходи!$M:$M,'ПП Април'!U2)</f>
        <v>0</v>
      </c>
      <c r="V28" s="70">
        <f>SUMIFS(разходи!$L:$L,разходи!$E:$E,'ПП Април'!$C$28,разходи!$M:$M,'ПП Април'!V2)</f>
        <v>0</v>
      </c>
      <c r="W28" s="70">
        <f>SUMIFS(разходи!$L:$L,разходи!$E:$E,'ПП Април'!$C$28,разходи!$M:$M,'ПП Април'!W2)</f>
        <v>0</v>
      </c>
      <c r="X28" s="76">
        <f>SUMIFS(разходи!$L:$L,разходи!$E:$E,'ПП Април'!$C$28,разходи!$M:$M,'ПП Април'!X2)</f>
        <v>0</v>
      </c>
      <c r="Y28" s="76">
        <f>SUMIFS(разходи!$L:$L,разходи!$E:$E,'ПП Април'!$C$28,разходи!$M:$M,'ПП Април'!Y2)</f>
        <v>0</v>
      </c>
      <c r="Z28" s="70">
        <f>SUMIFS(разходи!$L:$L,разходи!$E:$E,'ПП Април'!$C$28,разходи!$M:$M,'ПП Април'!Z2)</f>
        <v>0</v>
      </c>
      <c r="AA28" s="74">
        <f>SUMIFS(разходи!$L:$L,разходи!$E:$E,'ПП Април'!$C$28,разходи!$M:$M,'ПП Април'!AA2)</f>
        <v>0</v>
      </c>
      <c r="AB28" s="74">
        <f>SUMIFS(разходи!$L:$L,разходи!$E:$E,'ПП Април'!$C$28,разходи!$M:$M,'ПП Април'!AB2)</f>
        <v>0</v>
      </c>
      <c r="AC28" s="70">
        <f>SUMIFS(разходи!$L:$L,разходи!$E:$E,'ПП Април'!$C$28,разходи!$M:$M,'ПП Април'!AC2)</f>
        <v>0</v>
      </c>
      <c r="AD28" s="70">
        <f>SUMIFS(разходи!$L:$L,разходи!$E:$E,'ПП Април'!$C$28,разходи!$M:$M,'ПП Април'!AD2)</f>
        <v>0</v>
      </c>
      <c r="AE28" s="76">
        <f>SUMIFS(разходи!$L:$L,разходи!$E:$E,'ПП Април'!$C$28,разходи!$M:$M,'ПП Април'!AE2)</f>
        <v>0</v>
      </c>
      <c r="AF28" s="76">
        <f>SUMIFS(разходи!$L:$L,разходи!$E:$E,'ПП Април'!$C$28,разходи!$M:$M,'ПП Април'!AF2)</f>
        <v>0</v>
      </c>
      <c r="AG28" s="70">
        <f>SUMIFS(разходи!$L:$L,разходи!$E:$E,'ПП Април'!$C$28,разходи!$M:$M,'ПП Април'!AG2)</f>
        <v>0</v>
      </c>
      <c r="AH28" s="74">
        <f>SUMIFS(разходи!$L:$L,разходи!$E:$E,'ПП Април'!$C$28,разходи!$M:$M,'ПП Април'!AH2)</f>
        <v>0</v>
      </c>
      <c r="AI28" s="61">
        <f t="shared" si="1"/>
        <v>0</v>
      </c>
      <c r="AJ28" s="69">
        <f t="shared" si="2"/>
        <v>205800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0">
        <f t="shared" ref="D29" si="13">SUM(D30:D35)</f>
        <v>246348.966744</v>
      </c>
      <c r="E29" s="70">
        <f t="shared" ref="E29:AH29" si="14">SUM(E30:E35)</f>
        <v>0</v>
      </c>
      <c r="F29" s="74">
        <f t="shared" si="14"/>
        <v>0</v>
      </c>
      <c r="G29" s="74">
        <f t="shared" si="14"/>
        <v>0</v>
      </c>
      <c r="H29" s="74">
        <f t="shared" si="14"/>
        <v>0</v>
      </c>
      <c r="I29" s="70">
        <f t="shared" si="14"/>
        <v>75694.44</v>
      </c>
      <c r="J29" s="76">
        <f t="shared" si="14"/>
        <v>0</v>
      </c>
      <c r="K29" s="76">
        <f t="shared" si="14"/>
        <v>0</v>
      </c>
      <c r="L29" s="70">
        <f t="shared" si="14"/>
        <v>0</v>
      </c>
      <c r="M29" s="74">
        <f t="shared" si="14"/>
        <v>0</v>
      </c>
      <c r="N29" s="74">
        <f t="shared" si="14"/>
        <v>248424.01</v>
      </c>
      <c r="O29" s="70">
        <f t="shared" si="14"/>
        <v>0</v>
      </c>
      <c r="P29" s="70">
        <f t="shared" si="14"/>
        <v>0</v>
      </c>
      <c r="Q29" s="76">
        <f t="shared" si="14"/>
        <v>0</v>
      </c>
      <c r="R29" s="76">
        <f t="shared" si="14"/>
        <v>0</v>
      </c>
      <c r="S29" s="70">
        <f t="shared" si="14"/>
        <v>0</v>
      </c>
      <c r="T29" s="74">
        <f t="shared" si="14"/>
        <v>0</v>
      </c>
      <c r="U29" s="74">
        <f t="shared" si="14"/>
        <v>0</v>
      </c>
      <c r="V29" s="70">
        <f t="shared" si="14"/>
        <v>289.17</v>
      </c>
      <c r="W29" s="70">
        <f t="shared" si="14"/>
        <v>0</v>
      </c>
      <c r="X29" s="76">
        <f t="shared" si="14"/>
        <v>0</v>
      </c>
      <c r="Y29" s="76">
        <f t="shared" si="14"/>
        <v>0</v>
      </c>
      <c r="Z29" s="70">
        <f t="shared" si="14"/>
        <v>0</v>
      </c>
      <c r="AA29" s="74">
        <f t="shared" si="14"/>
        <v>0</v>
      </c>
      <c r="AB29" s="74">
        <f t="shared" si="14"/>
        <v>0</v>
      </c>
      <c r="AC29" s="70">
        <f t="shared" si="14"/>
        <v>0</v>
      </c>
      <c r="AD29" s="70">
        <f t="shared" si="14"/>
        <v>0</v>
      </c>
      <c r="AE29" s="76">
        <f t="shared" si="14"/>
        <v>0</v>
      </c>
      <c r="AF29" s="76">
        <f t="shared" si="14"/>
        <v>0</v>
      </c>
      <c r="AG29" s="70">
        <f t="shared" si="14"/>
        <v>0</v>
      </c>
      <c r="AH29" s="74">
        <f t="shared" si="14"/>
        <v>0</v>
      </c>
      <c r="AI29" s="61">
        <f t="shared" si="1"/>
        <v>324407.62</v>
      </c>
      <c r="AJ29" s="62">
        <f t="shared" si="2"/>
        <v>-78058.653255999991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68">
        <v>200487.91252800002</v>
      </c>
      <c r="E30" s="59">
        <f>SUMIFS(разходи!$L:$L,разходи!$E:$E,'ПП Април'!$C$30,разходи!$M:$M,'ПП Април'!E2)</f>
        <v>0</v>
      </c>
      <c r="F30" s="74">
        <f>SUMIFS(разходи!$L:$L,разходи!$E:$E,'ПП Април'!$C$30,разходи!$M:$M,'ПП Април'!F2)</f>
        <v>0</v>
      </c>
      <c r="G30" s="74">
        <f>SUMIFS(разходи!$L:$L,разходи!$E:$E,'ПП Април'!$C$30,разходи!$M:$M,'ПП Април'!G2)</f>
        <v>0</v>
      </c>
      <c r="H30" s="74">
        <f>SUMIFS(разходи!$L:$L,разходи!$E:$E,'ПП Април'!$C$30,разходи!$M:$M,'ПП Април'!H2)</f>
        <v>0</v>
      </c>
      <c r="I30" s="70">
        <f>SUMIFS(разходи!$L:$L,разходи!$E:$E,'ПП Април'!$C$30,разходи!$M:$M,'ПП Април'!I2)</f>
        <v>75694.44</v>
      </c>
      <c r="J30" s="76">
        <f>SUMIFS(разходи!$L:$L,разходи!$E:$E,'ПП Април'!$C$30,разходи!$M:$M,'ПП Април'!J2)</f>
        <v>0</v>
      </c>
      <c r="K30" s="76">
        <f>SUMIFS(разходи!$L:$L,разходи!$E:$E,'ПП Април'!$C$30,разходи!$M:$M,'ПП Април'!K2)</f>
        <v>0</v>
      </c>
      <c r="L30" s="70">
        <f>SUMIFS(разходи!$L:$L,разходи!$E:$E,'ПП Април'!$C$30,разходи!$M:$M,'ПП Април'!L2)</f>
        <v>0</v>
      </c>
      <c r="M30" s="74">
        <f>SUMIFS(разходи!$L:$L,разходи!$E:$E,'ПП Април'!$C$30,разходи!$M:$M,'ПП Април'!M2)</f>
        <v>0</v>
      </c>
      <c r="N30" s="74">
        <f>SUMIFS(разходи!$L:$L,разходи!$E:$E,'ПП Април'!$C$30,разходи!$M:$M,'ПП Април'!N2)</f>
        <v>201001.48</v>
      </c>
      <c r="O30" s="70">
        <f>SUMIFS(разходи!$L:$L,разходи!$E:$E,'ПП Април'!$C$30,разходи!$M:$M,'ПП Април'!O2)</f>
        <v>0</v>
      </c>
      <c r="P30" s="70">
        <f>SUMIFS(разходи!$L:$L,разходи!$E:$E,'ПП Април'!$C$30,разходи!$M:$M,'ПП Април'!P2)</f>
        <v>0</v>
      </c>
      <c r="Q30" s="76">
        <f>SUMIFS(разходи!$L:$L,разходи!$E:$E,'ПП Април'!$C$30,разходи!$M:$M,'ПП Април'!Q2)</f>
        <v>0</v>
      </c>
      <c r="R30" s="76">
        <f>SUMIFS(разходи!$L:$L,разходи!$E:$E,'ПП Април'!$C$30,разходи!$M:$M,'ПП Април'!R2)</f>
        <v>0</v>
      </c>
      <c r="S30" s="70">
        <f>SUMIFS(разходи!$L:$L,разходи!$E:$E,'ПП Април'!$C$30,разходи!$M:$M,'ПП Април'!S2)</f>
        <v>0</v>
      </c>
      <c r="T30" s="74">
        <f>SUMIFS(разходи!$L:$L,разходи!$E:$E,'ПП Април'!$C$30,разходи!$M:$M,'ПП Април'!T2)</f>
        <v>0</v>
      </c>
      <c r="U30" s="74">
        <f>SUMIFS(разходи!$L:$L,разходи!$E:$E,'ПП Април'!$C$30,разходи!$M:$M,'ПП Април'!U2)</f>
        <v>0</v>
      </c>
      <c r="V30" s="70">
        <f>SUMIFS(разходи!$L:$L,разходи!$E:$E,'ПП Април'!$C$30,разходи!$M:$M,'ПП Април'!V2)</f>
        <v>0</v>
      </c>
      <c r="W30" s="70">
        <f>SUMIFS(разходи!$L:$L,разходи!$E:$E,'ПП Април'!$C$30,разходи!$M:$M,'ПП Април'!W2)</f>
        <v>0</v>
      </c>
      <c r="X30" s="76">
        <f>SUMIFS(разходи!$L:$L,разходи!$E:$E,'ПП Април'!$C$30,разходи!$M:$M,'ПП Април'!X2)</f>
        <v>0</v>
      </c>
      <c r="Y30" s="76">
        <f>SUMIFS(разходи!$L:$L,разходи!$E:$E,'ПП Април'!$C$30,разходи!$M:$M,'ПП Април'!Y2)</f>
        <v>0</v>
      </c>
      <c r="Z30" s="70">
        <f>SUMIFS(разходи!$L:$L,разходи!$E:$E,'ПП Април'!$C$30,разходи!$M:$M,'ПП Април'!Z2)</f>
        <v>0</v>
      </c>
      <c r="AA30" s="74">
        <f>SUMIFS(разходи!$L:$L,разходи!$E:$E,'ПП Април'!$C$30,разходи!$M:$M,'ПП Април'!AA2)</f>
        <v>0</v>
      </c>
      <c r="AB30" s="74">
        <f>SUMIFS(разходи!$L:$L,разходи!$E:$E,'ПП Април'!$C$30,разходи!$M:$M,'ПП Април'!AB2)</f>
        <v>0</v>
      </c>
      <c r="AC30" s="70">
        <f>SUMIFS(разходи!$L:$L,разходи!$E:$E,'ПП Април'!$C$30,разходи!$M:$M,'ПП Април'!AC2)</f>
        <v>0</v>
      </c>
      <c r="AD30" s="70">
        <f>SUMIFS(разходи!$L:$L,разходи!$E:$E,'ПП Април'!$C$30,разходи!$M:$M,'ПП Април'!AD2)</f>
        <v>0</v>
      </c>
      <c r="AE30" s="76">
        <f>SUMIFS(разходи!$L:$L,разходи!$E:$E,'ПП Април'!$C$30,разходи!$M:$M,'ПП Април'!AE2)</f>
        <v>0</v>
      </c>
      <c r="AF30" s="76">
        <f>SUMIFS(разходи!$L:$L,разходи!$E:$E,'ПП Април'!$C$30,разходи!$M:$M,'ПП Април'!AF2)</f>
        <v>0</v>
      </c>
      <c r="AG30" s="70">
        <f>SUMIFS(разходи!$L:$L,разходи!$E:$E,'ПП Април'!$C$30,разходи!$M:$M,'ПП Април'!AG2)</f>
        <v>0</v>
      </c>
      <c r="AH30" s="74">
        <f>SUMIFS(разходи!$L:$L,разходи!$E:$E,'ПП Април'!$C$30,разходи!$M:$M,'ПП Април'!AH2)</f>
        <v>0</v>
      </c>
      <c r="AI30" s="61">
        <f t="shared" si="1"/>
        <v>276695.92000000004</v>
      </c>
      <c r="AJ30" s="69">
        <f t="shared" si="2"/>
        <v>-76208.007472000027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68"/>
      <c r="E31" s="59">
        <f>SUMIFS(разходи!$L:$L,разходи!$E:$E,'ПП Април'!$C$31,разходи!$M:$M,'ПП Април'!E2)</f>
        <v>0</v>
      </c>
      <c r="F31" s="74">
        <f>SUMIFS(разходи!$L:$L,разходи!$E:$E,'ПП Април'!$C$31,разходи!$M:$M,'ПП Април'!F2)</f>
        <v>0</v>
      </c>
      <c r="G31" s="74">
        <f>SUMIFS(разходи!$L:$L,разходи!$E:$E,'ПП Април'!$C$31,разходи!$M:$M,'ПП Април'!G2)</f>
        <v>0</v>
      </c>
      <c r="H31" s="74">
        <f>SUMIFS(разходи!$L:$L,разходи!$E:$E,'ПП Април'!$C$31,разходи!$M:$M,'ПП Април'!H2)</f>
        <v>0</v>
      </c>
      <c r="I31" s="70">
        <f>SUMIFS(разходи!$L:$L,разходи!$E:$E,'ПП Април'!$C$31,разходи!$M:$M,'ПП Април'!I2)</f>
        <v>0</v>
      </c>
      <c r="J31" s="76">
        <f>SUMIFS(разходи!$L:$L,разходи!$E:$E,'ПП Април'!$C$31,разходи!$M:$M,'ПП Април'!J2)</f>
        <v>0</v>
      </c>
      <c r="K31" s="76">
        <f>SUMIFS(разходи!$L:$L,разходи!$E:$E,'ПП Април'!$C$31,разходи!$M:$M,'ПП Април'!K2)</f>
        <v>0</v>
      </c>
      <c r="L31" s="70">
        <f>SUMIFS(разходи!$L:$L,разходи!$E:$E,'ПП Април'!$C$31,разходи!$M:$M,'ПП Април'!L2)</f>
        <v>0</v>
      </c>
      <c r="M31" s="74">
        <f>SUMIFS(разходи!$L:$L,разходи!$E:$E,'ПП Април'!$C$31,разходи!$M:$M,'ПП Април'!M2)</f>
        <v>0</v>
      </c>
      <c r="N31" s="74">
        <f>SUMIFS(разходи!$L:$L,разходи!$E:$E,'ПП Април'!$C$31,разходи!$M:$M,'ПП Април'!N2)</f>
        <v>0</v>
      </c>
      <c r="O31" s="70">
        <f>SUMIFS(разходи!$L:$L,разходи!$E:$E,'ПП Април'!$C$31,разходи!$M:$M,'ПП Април'!O2)</f>
        <v>0</v>
      </c>
      <c r="P31" s="70">
        <f>SUMIFS(разходи!$L:$L,разходи!$E:$E,'ПП Април'!$C$31,разходи!$M:$M,'ПП Април'!P2)</f>
        <v>0</v>
      </c>
      <c r="Q31" s="76">
        <f>SUMIFS(разходи!$L:$L,разходи!$E:$E,'ПП Април'!$C$31,разходи!$M:$M,'ПП Април'!Q2)</f>
        <v>0</v>
      </c>
      <c r="R31" s="76">
        <f>SUMIFS(разходи!$L:$L,разходи!$E:$E,'ПП Април'!$C$31,разходи!$M:$M,'ПП Април'!R2)</f>
        <v>0</v>
      </c>
      <c r="S31" s="70">
        <f>SUMIFS(разходи!$L:$L,разходи!$E:$E,'ПП Април'!$C$31,разходи!$M:$M,'ПП Април'!S2)</f>
        <v>0</v>
      </c>
      <c r="T31" s="74">
        <f>SUMIFS(разходи!$L:$L,разходи!$E:$E,'ПП Април'!$C$31,разходи!$M:$M,'ПП Април'!T2)</f>
        <v>0</v>
      </c>
      <c r="U31" s="74">
        <f>SUMIFS(разходи!$L:$L,разходи!$E:$E,'ПП Април'!$C$31,разходи!$M:$M,'ПП Април'!U2)</f>
        <v>0</v>
      </c>
      <c r="V31" s="70">
        <f>SUMIFS(разходи!$L:$L,разходи!$E:$E,'ПП Април'!$C$31,разходи!$M:$M,'ПП Април'!V2)</f>
        <v>0</v>
      </c>
      <c r="W31" s="70">
        <f>SUMIFS(разходи!$L:$L,разходи!$E:$E,'ПП Април'!$C$31,разходи!$M:$M,'ПП Април'!W2)</f>
        <v>0</v>
      </c>
      <c r="X31" s="76">
        <f>SUMIFS(разходи!$L:$L,разходи!$E:$E,'ПП Април'!$C$31,разходи!$M:$M,'ПП Април'!X2)</f>
        <v>0</v>
      </c>
      <c r="Y31" s="76">
        <f>SUMIFS(разходи!$L:$L,разходи!$E:$E,'ПП Април'!$C$31,разходи!$M:$M,'ПП Април'!Y2)</f>
        <v>0</v>
      </c>
      <c r="Z31" s="70">
        <f>SUMIFS(разходи!$L:$L,разходи!$E:$E,'ПП Април'!$C$31,разходи!$M:$M,'ПП Април'!Z2)</f>
        <v>0</v>
      </c>
      <c r="AA31" s="74">
        <f>SUMIFS(разходи!$L:$L,разходи!$E:$E,'ПП Април'!$C$31,разходи!$M:$M,'ПП Април'!AA2)</f>
        <v>0</v>
      </c>
      <c r="AB31" s="74">
        <f>SUMIFS(разходи!$L:$L,разходи!$E:$E,'ПП Април'!$C$31,разходи!$M:$M,'ПП Април'!AB2)</f>
        <v>0</v>
      </c>
      <c r="AC31" s="70">
        <f>SUMIFS(разходи!$L:$L,разходи!$E:$E,'ПП Април'!$C$31,разходи!$M:$M,'ПП Април'!AC2)</f>
        <v>0</v>
      </c>
      <c r="AD31" s="70">
        <f>SUMIFS(разходи!$L:$L,разходи!$E:$E,'ПП Април'!$C$31,разходи!$M:$M,'ПП Април'!AD2)</f>
        <v>0</v>
      </c>
      <c r="AE31" s="76">
        <f>SUMIFS(разходи!$L:$L,разходи!$E:$E,'ПП Април'!$C$31,разходи!$M:$M,'ПП Април'!AE2)</f>
        <v>0</v>
      </c>
      <c r="AF31" s="76">
        <f>SUMIFS(разходи!$L:$L,разходи!$E:$E,'ПП Април'!$C$31,разходи!$M:$M,'ПП Април'!AF2)</f>
        <v>0</v>
      </c>
      <c r="AG31" s="70">
        <f>SUMIFS(разходи!$L:$L,разходи!$E:$E,'ПП Април'!$C$31,разходи!$M:$M,'ПП Април'!AG2)</f>
        <v>0</v>
      </c>
      <c r="AH31" s="74">
        <f>SUMIFS(разходи!$L:$L,разходи!$E:$E,'ПП Април'!$C$31,разходи!$M:$M,'ПП Април'!AH2)</f>
        <v>0</v>
      </c>
      <c r="AI31" s="61">
        <f t="shared" si="1"/>
        <v>0</v>
      </c>
      <c r="AJ31" s="69">
        <f t="shared" si="2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68">
        <v>11812.554216</v>
      </c>
      <c r="E32" s="59">
        <f>SUMIFS(разходи!$L:$L,разходи!$E:$E,'ПП Април'!$C$32,разходи!$M:$M,'ПП Април'!E2)</f>
        <v>0</v>
      </c>
      <c r="F32" s="74">
        <f>SUMIFS(разходи!$L:$L,разходи!$E:$E,'ПП Април'!$C$32,разходи!$M:$M,'ПП Април'!F2)</f>
        <v>0</v>
      </c>
      <c r="G32" s="74">
        <f>SUMIFS(разходи!$L:$L,разходи!$E:$E,'ПП Април'!$C$32,разходи!$M:$M,'ПП Април'!G2)</f>
        <v>0</v>
      </c>
      <c r="H32" s="74">
        <f>SUMIFS(разходи!$L:$L,разходи!$E:$E,'ПП Април'!$C$32,разходи!$M:$M,'ПП Април'!H2)</f>
        <v>0</v>
      </c>
      <c r="I32" s="70">
        <f>SUMIFS(разходи!$L:$L,разходи!$E:$E,'ПП Април'!$C$32,разходи!$M:$M,'ПП Април'!I2)</f>
        <v>0</v>
      </c>
      <c r="J32" s="76">
        <f>SUMIFS(разходи!$L:$L,разходи!$E:$E,'ПП Април'!$C$32,разходи!$M:$M,'ПП Април'!J2)</f>
        <v>0</v>
      </c>
      <c r="K32" s="76">
        <f>SUMIFS(разходи!$L:$L,разходи!$E:$E,'ПП Април'!$C$32,разходи!$M:$M,'ПП Април'!K2)</f>
        <v>0</v>
      </c>
      <c r="L32" s="70">
        <f>SUMIFS(разходи!$L:$L,разходи!$E:$E,'ПП Април'!$C$32,разходи!$M:$M,'ПП Април'!L2)</f>
        <v>0</v>
      </c>
      <c r="M32" s="74">
        <f>SUMIFS(разходи!$L:$L,разходи!$E:$E,'ПП Април'!$C$32,разходи!$M:$M,'ПП Април'!M2)</f>
        <v>0</v>
      </c>
      <c r="N32" s="74">
        <f>SUMIFS(разходи!$L:$L,разходи!$E:$E,'ПП Април'!$C$32,разходи!$M:$M,'ПП Април'!N2)</f>
        <v>11812.55</v>
      </c>
      <c r="O32" s="70">
        <f>SUMIFS(разходи!$L:$L,разходи!$E:$E,'ПП Април'!$C$32,разходи!$M:$M,'ПП Април'!O2)</f>
        <v>0</v>
      </c>
      <c r="P32" s="70">
        <f>SUMIFS(разходи!$L:$L,разходи!$E:$E,'ПП Април'!$C$32,разходи!$M:$M,'ПП Април'!P2)</f>
        <v>0</v>
      </c>
      <c r="Q32" s="76">
        <f>SUMIFS(разходи!$L:$L,разходи!$E:$E,'ПП Април'!$C$32,разходи!$M:$M,'ПП Април'!Q2)</f>
        <v>0</v>
      </c>
      <c r="R32" s="76">
        <f>SUMIFS(разходи!$L:$L,разходи!$E:$E,'ПП Април'!$C$32,разходи!$M:$M,'ПП Април'!R2)</f>
        <v>0</v>
      </c>
      <c r="S32" s="70">
        <f>SUMIFS(разходи!$L:$L,разходи!$E:$E,'ПП Април'!$C$32,разходи!$M:$M,'ПП Април'!S2)</f>
        <v>0</v>
      </c>
      <c r="T32" s="74">
        <f>SUMIFS(разходи!$L:$L,разходи!$E:$E,'ПП Април'!$C$32,разходи!$M:$M,'ПП Април'!T2)</f>
        <v>0</v>
      </c>
      <c r="U32" s="74">
        <f>SUMIFS(разходи!$L:$L,разходи!$E:$E,'ПП Април'!$C$32,разходи!$M:$M,'ПП Април'!U2)</f>
        <v>0</v>
      </c>
      <c r="V32" s="70">
        <f>SUMIFS(разходи!$L:$L,разходи!$E:$E,'ПП Април'!$C$32,разходи!$M:$M,'ПП Април'!V2)</f>
        <v>289.17</v>
      </c>
      <c r="W32" s="70">
        <f>SUMIFS(разходи!$L:$L,разходи!$E:$E,'ПП Април'!$C$32,разходи!$M:$M,'ПП Април'!W2)</f>
        <v>0</v>
      </c>
      <c r="X32" s="76">
        <f>SUMIFS(разходи!$L:$L,разходи!$E:$E,'ПП Април'!$C$32,разходи!$M:$M,'ПП Април'!X2)</f>
        <v>0</v>
      </c>
      <c r="Y32" s="76">
        <f>SUMIFS(разходи!$L:$L,разходи!$E:$E,'ПП Април'!$C$32,разходи!$M:$M,'ПП Април'!Y2)</f>
        <v>0</v>
      </c>
      <c r="Z32" s="70">
        <f>SUMIFS(разходи!$L:$L,разходи!$E:$E,'ПП Април'!$C$32,разходи!$M:$M,'ПП Април'!Z2)</f>
        <v>0</v>
      </c>
      <c r="AA32" s="74">
        <f>SUMIFS(разходи!$L:$L,разходи!$E:$E,'ПП Април'!$C$32,разходи!$M:$M,'ПП Април'!AA2)</f>
        <v>0</v>
      </c>
      <c r="AB32" s="74">
        <f>SUMIFS(разходи!$L:$L,разходи!$E:$E,'ПП Април'!$C$32,разходи!$M:$M,'ПП Април'!AB2)</f>
        <v>0</v>
      </c>
      <c r="AC32" s="70">
        <f>SUMIFS(разходи!$L:$L,разходи!$E:$E,'ПП Април'!$C$32,разходи!$M:$M,'ПП Април'!AC2)</f>
        <v>0</v>
      </c>
      <c r="AD32" s="70">
        <f>SUMIFS(разходи!$L:$L,разходи!$E:$E,'ПП Април'!$C$32,разходи!$M:$M,'ПП Април'!AD2)</f>
        <v>0</v>
      </c>
      <c r="AE32" s="76">
        <f>SUMIFS(разходи!$L:$L,разходи!$E:$E,'ПП Април'!$C$32,разходи!$M:$M,'ПП Април'!AE2)</f>
        <v>0</v>
      </c>
      <c r="AF32" s="76">
        <f>SUMIFS(разходи!$L:$L,разходи!$E:$E,'ПП Април'!$C$32,разходи!$M:$M,'ПП Април'!AF2)</f>
        <v>0</v>
      </c>
      <c r="AG32" s="70">
        <f>SUMIFS(разходи!$L:$L,разходи!$E:$E,'ПП Април'!$C$32,разходи!$M:$M,'ПП Април'!AG2)</f>
        <v>0</v>
      </c>
      <c r="AH32" s="74">
        <f>SUMIFS(разходи!$L:$L,разходи!$E:$E,'ПП Април'!$C$32,разходи!$M:$M,'ПП Април'!AH2)</f>
        <v>0</v>
      </c>
      <c r="AI32" s="61">
        <f t="shared" si="1"/>
        <v>12101.72</v>
      </c>
      <c r="AJ32" s="69">
        <f t="shared" si="2"/>
        <v>-289.16578399999889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68">
        <v>34048.5</v>
      </c>
      <c r="E33" s="59">
        <f>SUMIFS(разходи!$L:$L,разходи!$E:$E,'ПП Април'!$C$33,разходи!$M:$M,'ПП Април'!E2)</f>
        <v>0</v>
      </c>
      <c r="F33" s="74">
        <f>SUMIFS(разходи!$L:$L,разходи!$E:$E,'ПП Април'!$C$33,разходи!$M:$M,'ПП Април'!F2)</f>
        <v>0</v>
      </c>
      <c r="G33" s="74">
        <f>SUMIFS(разходи!$L:$L,разходи!$E:$E,'ПП Април'!$C$33,разходи!$M:$M,'ПП Април'!G2)</f>
        <v>0</v>
      </c>
      <c r="H33" s="74">
        <f>SUMIFS(разходи!$L:$L,разходи!$E:$E,'ПП Април'!$C$33,разходи!$M:$M,'ПП Април'!H2)</f>
        <v>0</v>
      </c>
      <c r="I33" s="70">
        <f>SUMIFS(разходи!$L:$L,разходи!$E:$E,'ПП Април'!$C$33,разходи!$M:$M,'ПП Април'!I2)</f>
        <v>0</v>
      </c>
      <c r="J33" s="76">
        <f>SUMIFS(разходи!$L:$L,разходи!$E:$E,'ПП Април'!$C$33,разходи!$M:$M,'ПП Април'!J2)</f>
        <v>0</v>
      </c>
      <c r="K33" s="76">
        <f>SUMIFS(разходи!$L:$L,разходи!$E:$E,'ПП Април'!$C$33,разходи!$M:$M,'ПП Април'!K2)</f>
        <v>0</v>
      </c>
      <c r="L33" s="70">
        <f>SUMIFS(разходи!$L:$L,разходи!$E:$E,'ПП Април'!$C$33,разходи!$M:$M,'ПП Април'!L2)</f>
        <v>0</v>
      </c>
      <c r="M33" s="74">
        <f>SUMIFS(разходи!$L:$L,разходи!$E:$E,'ПП Април'!$C$33,разходи!$M:$M,'ПП Април'!M2)</f>
        <v>0</v>
      </c>
      <c r="N33" s="74">
        <f>SUMIFS(разходи!$L:$L,разходи!$E:$E,'ПП Април'!$C$33,разходи!$M:$M,'ПП Април'!N2)</f>
        <v>19494.79</v>
      </c>
      <c r="O33" s="70">
        <f>SUMIFS(разходи!$L:$L,разходи!$E:$E,'ПП Април'!$C$33,разходи!$M:$M,'ПП Април'!O2)</f>
        <v>0</v>
      </c>
      <c r="P33" s="70">
        <f>SUMIFS(разходи!$L:$L,разходи!$E:$E,'ПП Април'!$C$33,разходи!$M:$M,'ПП Април'!P2)</f>
        <v>0</v>
      </c>
      <c r="Q33" s="76">
        <f>SUMIFS(разходи!$L:$L,разходи!$E:$E,'ПП Април'!$C$33,разходи!$M:$M,'ПП Април'!Q2)</f>
        <v>0</v>
      </c>
      <c r="R33" s="76">
        <f>SUMIFS(разходи!$L:$L,разходи!$E:$E,'ПП Април'!$C$33,разходи!$M:$M,'ПП Април'!R2)</f>
        <v>0</v>
      </c>
      <c r="S33" s="70">
        <f>SUMIFS(разходи!$L:$L,разходи!$E:$E,'ПП Април'!$C$33,разходи!$M:$M,'ПП Април'!S2)</f>
        <v>0</v>
      </c>
      <c r="T33" s="74">
        <f>SUMIFS(разходи!$L:$L,разходи!$E:$E,'ПП Април'!$C$33,разходи!$M:$M,'ПП Април'!T2)</f>
        <v>0</v>
      </c>
      <c r="U33" s="74">
        <f>SUMIFS(разходи!$L:$L,разходи!$E:$E,'ПП Април'!$C$33,разходи!$M:$M,'ПП Април'!U2)</f>
        <v>0</v>
      </c>
      <c r="V33" s="70">
        <f>SUMIFS(разходи!$L:$L,разходи!$E:$E,'ПП Април'!$C$33,разходи!$M:$M,'ПП Април'!V2)</f>
        <v>0</v>
      </c>
      <c r="W33" s="70">
        <f>SUMIFS(разходи!$L:$L,разходи!$E:$E,'ПП Април'!$C$33,разходи!$M:$M,'ПП Април'!W2)</f>
        <v>0</v>
      </c>
      <c r="X33" s="76">
        <f>SUMIFS(разходи!$L:$L,разходи!$E:$E,'ПП Април'!$C$33,разходи!$M:$M,'ПП Април'!X2)</f>
        <v>0</v>
      </c>
      <c r="Y33" s="76">
        <f>SUMIFS(разходи!$L:$L,разходи!$E:$E,'ПП Април'!$C$33,разходи!$M:$M,'ПП Април'!Y2)</f>
        <v>0</v>
      </c>
      <c r="Z33" s="70">
        <f>SUMIFS(разходи!$L:$L,разходи!$E:$E,'ПП Април'!$C$33,разходи!$M:$M,'ПП Април'!Z2)</f>
        <v>0</v>
      </c>
      <c r="AA33" s="74">
        <f>SUMIFS(разходи!$L:$L,разходи!$E:$E,'ПП Април'!$C$33,разходи!$M:$M,'ПП Април'!AA2)</f>
        <v>0</v>
      </c>
      <c r="AB33" s="74">
        <f>SUMIFS(разходи!$L:$L,разходи!$E:$E,'ПП Април'!$C$33,разходи!$M:$M,'ПП Април'!AB2)</f>
        <v>0</v>
      </c>
      <c r="AC33" s="70">
        <f>SUMIFS(разходи!$L:$L,разходи!$E:$E,'ПП Април'!$C$33,разходи!$M:$M,'ПП Април'!AC2)</f>
        <v>0</v>
      </c>
      <c r="AD33" s="70">
        <f>SUMIFS(разходи!$L:$L,разходи!$E:$E,'ПП Април'!$C$33,разходи!$M:$M,'ПП Април'!AD2)</f>
        <v>0</v>
      </c>
      <c r="AE33" s="76">
        <f>SUMIFS(разходи!$L:$L,разходи!$E:$E,'ПП Април'!$C$33,разходи!$M:$M,'ПП Април'!AE2)</f>
        <v>0</v>
      </c>
      <c r="AF33" s="76">
        <f>SUMIFS(разходи!$L:$L,разходи!$E:$E,'ПП Април'!$C$33,разходи!$M:$M,'ПП Април'!AF2)</f>
        <v>0</v>
      </c>
      <c r="AG33" s="70">
        <f>SUMIFS(разходи!$L:$L,разходи!$E:$E,'ПП Април'!$C$33,разходи!$M:$M,'ПП Април'!AG2)</f>
        <v>0</v>
      </c>
      <c r="AH33" s="74">
        <f>SUMIFS(разходи!$L:$L,разходи!$E:$E,'ПП Април'!$C$33,разходи!$M:$M,'ПП Април'!AH2)</f>
        <v>0</v>
      </c>
      <c r="AI33" s="61">
        <f t="shared" si="1"/>
        <v>19494.79</v>
      </c>
      <c r="AJ33" s="69">
        <f t="shared" si="2"/>
        <v>14553.71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68"/>
      <c r="E34" s="59">
        <f>SUMIFS(разходи!$L:$L,разходи!$E:$E,'ПП Април'!$C$34,разходи!$M:$M,'ПП Април'!E2)</f>
        <v>0</v>
      </c>
      <c r="F34" s="74">
        <f>SUMIFS(разходи!$L:$L,разходи!$E:$E,'ПП Април'!$C$34,разходи!$M:$M,'ПП Април'!F2)</f>
        <v>0</v>
      </c>
      <c r="G34" s="74">
        <f>SUMIFS(разходи!$L:$L,разходи!$E:$E,'ПП Април'!$C$34,разходи!$M:$M,'ПП Април'!G2)</f>
        <v>0</v>
      </c>
      <c r="H34" s="74">
        <f>SUMIFS(разходи!$L:$L,разходи!$E:$E,'ПП Април'!$C$34,разходи!$M:$M,'ПП Април'!H2)</f>
        <v>0</v>
      </c>
      <c r="I34" s="70">
        <f>SUMIFS(разходи!$L:$L,разходи!$E:$E,'ПП Април'!$C$34,разходи!$M:$M,'ПП Април'!I2)</f>
        <v>0</v>
      </c>
      <c r="J34" s="76">
        <f>SUMIFS(разходи!$L:$L,разходи!$E:$E,'ПП Април'!$C$34,разходи!$M:$M,'ПП Април'!J2)</f>
        <v>0</v>
      </c>
      <c r="K34" s="76">
        <f>SUMIFS(разходи!$L:$L,разходи!$E:$E,'ПП Април'!$C$34,разходи!$M:$M,'ПП Април'!K2)</f>
        <v>0</v>
      </c>
      <c r="L34" s="70">
        <f>SUMIFS(разходи!$L:$L,разходи!$E:$E,'ПП Април'!$C$34,разходи!$M:$M,'ПП Април'!L2)</f>
        <v>0</v>
      </c>
      <c r="M34" s="74">
        <f>SUMIFS(разходи!$L:$L,разходи!$E:$E,'ПП Април'!$C$34,разходи!$M:$M,'ПП Април'!M2)</f>
        <v>0</v>
      </c>
      <c r="N34" s="74">
        <f>SUMIFS(разходи!$L:$L,разходи!$E:$E,'ПП Април'!$C$34,разходи!$M:$M,'ПП Април'!N2)</f>
        <v>12780.5</v>
      </c>
      <c r="O34" s="70">
        <f>SUMIFS(разходи!$L:$L,разходи!$E:$E,'ПП Април'!$C$34,разходи!$M:$M,'ПП Април'!O2)</f>
        <v>0</v>
      </c>
      <c r="P34" s="70">
        <f>SUMIFS(разходи!$L:$L,разходи!$E:$E,'ПП Април'!$C$34,разходи!$M:$M,'ПП Април'!P2)</f>
        <v>0</v>
      </c>
      <c r="Q34" s="76">
        <f>SUMIFS(разходи!$L:$L,разходи!$E:$E,'ПП Април'!$C$34,разходи!$M:$M,'ПП Април'!Q2)</f>
        <v>0</v>
      </c>
      <c r="R34" s="76">
        <f>SUMIFS(разходи!$L:$L,разходи!$E:$E,'ПП Април'!$C$34,разходи!$M:$M,'ПП Април'!R2)</f>
        <v>0</v>
      </c>
      <c r="S34" s="70">
        <f>SUMIFS(разходи!$L:$L,разходи!$E:$E,'ПП Април'!$C$34,разходи!$M:$M,'ПП Април'!S2)</f>
        <v>0</v>
      </c>
      <c r="T34" s="74">
        <f>SUMIFS(разходи!$L:$L,разходи!$E:$E,'ПП Април'!$C$34,разходи!$M:$M,'ПП Април'!T2)</f>
        <v>0</v>
      </c>
      <c r="U34" s="74">
        <f>SUMIFS(разходи!$L:$L,разходи!$E:$E,'ПП Април'!$C$34,разходи!$M:$M,'ПП Април'!U2)</f>
        <v>0</v>
      </c>
      <c r="V34" s="70">
        <f>SUMIFS(разходи!$L:$L,разходи!$E:$E,'ПП Април'!$C$34,разходи!$M:$M,'ПП Април'!V2)</f>
        <v>0</v>
      </c>
      <c r="W34" s="70">
        <f>SUMIFS(разходи!$L:$L,разходи!$E:$E,'ПП Април'!$C$34,разходи!$M:$M,'ПП Април'!W2)</f>
        <v>0</v>
      </c>
      <c r="X34" s="76">
        <f>SUMIFS(разходи!$L:$L,разходи!$E:$E,'ПП Април'!$C$34,разходи!$M:$M,'ПП Април'!X2)</f>
        <v>0</v>
      </c>
      <c r="Y34" s="76">
        <f>SUMIFS(разходи!$L:$L,разходи!$E:$E,'ПП Април'!$C$34,разходи!$M:$M,'ПП Април'!Y2)</f>
        <v>0</v>
      </c>
      <c r="Z34" s="70">
        <f>SUMIFS(разходи!$L:$L,разходи!$E:$E,'ПП Април'!$C$34,разходи!$M:$M,'ПП Април'!Z2)</f>
        <v>0</v>
      </c>
      <c r="AA34" s="74">
        <f>SUMIFS(разходи!$L:$L,разходи!$E:$E,'ПП Април'!$C$34,разходи!$M:$M,'ПП Април'!AA2)</f>
        <v>0</v>
      </c>
      <c r="AB34" s="74">
        <f>SUMIFS(разходи!$L:$L,разходи!$E:$E,'ПП Април'!$C$34,разходи!$M:$M,'ПП Април'!AB2)</f>
        <v>0</v>
      </c>
      <c r="AC34" s="70">
        <f>SUMIFS(разходи!$L:$L,разходи!$E:$E,'ПП Април'!$C$34,разходи!$M:$M,'ПП Април'!AC2)</f>
        <v>0</v>
      </c>
      <c r="AD34" s="70">
        <f>SUMIFS(разходи!$L:$L,разходи!$E:$E,'ПП Април'!$C$34,разходи!$M:$M,'ПП Април'!AD2)</f>
        <v>0</v>
      </c>
      <c r="AE34" s="76">
        <f>SUMIFS(разходи!$L:$L,разходи!$E:$E,'ПП Април'!$C$34,разходи!$M:$M,'ПП Април'!AE2)</f>
        <v>0</v>
      </c>
      <c r="AF34" s="76">
        <f>SUMIFS(разходи!$L:$L,разходи!$E:$E,'ПП Април'!$C$34,разходи!$M:$M,'ПП Април'!AF2)</f>
        <v>0</v>
      </c>
      <c r="AG34" s="70">
        <f>SUMIFS(разходи!$L:$L,разходи!$E:$E,'ПП Април'!$C$34,разходи!$M:$M,'ПП Април'!AG2)</f>
        <v>0</v>
      </c>
      <c r="AH34" s="74">
        <f>SUMIFS(разходи!$L:$L,разходи!$E:$E,'ПП Април'!$C$34,разходи!$M:$M,'ПП Април'!AH2)</f>
        <v>0</v>
      </c>
      <c r="AI34" s="61">
        <f t="shared" si="1"/>
        <v>12780.5</v>
      </c>
      <c r="AJ34" s="69">
        <f t="shared" si="2"/>
        <v>-12780.5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68"/>
      <c r="E35" s="59">
        <f>SUMIFS(разходи!$L:$L,разходи!$E:$E,'ПП Април'!$C$35,разходи!$M:$M,'ПП Април'!E2)</f>
        <v>0</v>
      </c>
      <c r="F35" s="74">
        <f>SUMIFS(разходи!$L:$L,разходи!$E:$E,'ПП Април'!$C$35,разходи!$M:$M,'ПП Април'!F2)</f>
        <v>0</v>
      </c>
      <c r="G35" s="74">
        <f>SUMIFS(разходи!$L:$L,разходи!$E:$E,'ПП Април'!$C$35,разходи!$M:$M,'ПП Април'!G2)</f>
        <v>0</v>
      </c>
      <c r="H35" s="74">
        <f>SUMIFS(разходи!$L:$L,разходи!$E:$E,'ПП Април'!$C$35,разходи!$M:$M,'ПП Април'!H2)</f>
        <v>0</v>
      </c>
      <c r="I35" s="70">
        <f>SUMIFS(разходи!$L:$L,разходи!$E:$E,'ПП Април'!$C$35,разходи!$M:$M,'ПП Април'!I2)</f>
        <v>0</v>
      </c>
      <c r="J35" s="76">
        <f>SUMIFS(разходи!$L:$L,разходи!$E:$E,'ПП Април'!$C$35,разходи!$M:$M,'ПП Април'!J2)</f>
        <v>0</v>
      </c>
      <c r="K35" s="76">
        <f>SUMIFS(разходи!$L:$L,разходи!$E:$E,'ПП Април'!$C$35,разходи!$M:$M,'ПП Април'!K2)</f>
        <v>0</v>
      </c>
      <c r="L35" s="70">
        <f>SUMIFS(разходи!$L:$L,разходи!$E:$E,'ПП Април'!$C$35,разходи!$M:$M,'ПП Април'!L2)</f>
        <v>0</v>
      </c>
      <c r="M35" s="74">
        <f>SUMIFS(разходи!$L:$L,разходи!$E:$E,'ПП Април'!$C$35,разходи!$M:$M,'ПП Април'!M2)</f>
        <v>0</v>
      </c>
      <c r="N35" s="74">
        <f>SUMIFS(разходи!$L:$L,разходи!$E:$E,'ПП Април'!$C$35,разходи!$M:$M,'ПП Април'!N2)</f>
        <v>3334.69</v>
      </c>
      <c r="O35" s="70">
        <f>SUMIFS(разходи!$L:$L,разходи!$E:$E,'ПП Април'!$C$35,разходи!$M:$M,'ПП Април'!O2)</f>
        <v>0</v>
      </c>
      <c r="P35" s="70">
        <f>SUMIFS(разходи!$L:$L,разходи!$E:$E,'ПП Април'!$C$35,разходи!$M:$M,'ПП Април'!P2)</f>
        <v>0</v>
      </c>
      <c r="Q35" s="76">
        <f>SUMIFS(разходи!$L:$L,разходи!$E:$E,'ПП Април'!$C$35,разходи!$M:$M,'ПП Април'!Q2)</f>
        <v>0</v>
      </c>
      <c r="R35" s="76">
        <f>SUMIFS(разходи!$L:$L,разходи!$E:$E,'ПП Април'!$C$35,разходи!$M:$M,'ПП Април'!R2)</f>
        <v>0</v>
      </c>
      <c r="S35" s="70">
        <f>SUMIFS(разходи!$L:$L,разходи!$E:$E,'ПП Април'!$C$35,разходи!$M:$M,'ПП Април'!S2)</f>
        <v>0</v>
      </c>
      <c r="T35" s="74">
        <f>SUMIFS(разходи!$L:$L,разходи!$E:$E,'ПП Април'!$C$35,разходи!$M:$M,'ПП Април'!T2)</f>
        <v>0</v>
      </c>
      <c r="U35" s="74">
        <f>SUMIFS(разходи!$L:$L,разходи!$E:$E,'ПП Април'!$C$35,разходи!$M:$M,'ПП Април'!U2)</f>
        <v>0</v>
      </c>
      <c r="V35" s="70">
        <f>SUMIFS(разходи!$L:$L,разходи!$E:$E,'ПП Април'!$C$35,разходи!$M:$M,'ПП Април'!V2)</f>
        <v>0</v>
      </c>
      <c r="W35" s="70">
        <f>SUMIFS(разходи!$L:$L,разходи!$E:$E,'ПП Април'!$C$35,разходи!$M:$M,'ПП Април'!W2)</f>
        <v>0</v>
      </c>
      <c r="X35" s="76">
        <f>SUMIFS(разходи!$L:$L,разходи!$E:$E,'ПП Април'!$C$35,разходи!$M:$M,'ПП Април'!X2)</f>
        <v>0</v>
      </c>
      <c r="Y35" s="76">
        <f>SUMIFS(разходи!$L:$L,разходи!$E:$E,'ПП Април'!$C$35,разходи!$M:$M,'ПП Април'!Y2)</f>
        <v>0</v>
      </c>
      <c r="Z35" s="70">
        <f>SUMIFS(разходи!$L:$L,разходи!$E:$E,'ПП Април'!$C$35,разходи!$M:$M,'ПП Април'!Z2)</f>
        <v>0</v>
      </c>
      <c r="AA35" s="74">
        <f>SUMIFS(разходи!$L:$L,разходи!$E:$E,'ПП Април'!$C$35,разходи!$M:$M,'ПП Април'!AA2)</f>
        <v>0</v>
      </c>
      <c r="AB35" s="74">
        <f>SUMIFS(разходи!$L:$L,разходи!$E:$E,'ПП Април'!$C$35,разходи!$M:$M,'ПП Април'!AB2)</f>
        <v>0</v>
      </c>
      <c r="AC35" s="70">
        <f>SUMIFS(разходи!$L:$L,разходи!$E:$E,'ПП Април'!$C$35,разходи!$M:$M,'ПП Април'!AC2)</f>
        <v>0</v>
      </c>
      <c r="AD35" s="70">
        <f>SUMIFS(разходи!$L:$L,разходи!$E:$E,'ПП Април'!$C$35,разходи!$M:$M,'ПП Април'!AD2)</f>
        <v>0</v>
      </c>
      <c r="AE35" s="76">
        <f>SUMIFS(разходи!$L:$L,разходи!$E:$E,'ПП Април'!$C$35,разходи!$M:$M,'ПП Април'!AE2)</f>
        <v>0</v>
      </c>
      <c r="AF35" s="76">
        <f>SUMIFS(разходи!$L:$L,разходи!$E:$E,'ПП Април'!$C$35,разходи!$M:$M,'ПП Април'!AF2)</f>
        <v>0</v>
      </c>
      <c r="AG35" s="70">
        <f>SUMIFS(разходи!$L:$L,разходи!$E:$E,'ПП Април'!$C$35,разходи!$M:$M,'ПП Април'!AG2)</f>
        <v>0</v>
      </c>
      <c r="AH35" s="74">
        <f>SUMIFS(разходи!$L:$L,разходи!$E:$E,'ПП Април'!$C$35,разходи!$M:$M,'ПП Април'!AH2)</f>
        <v>0</v>
      </c>
      <c r="AI35" s="61">
        <f t="shared" ref="AI35:AI66" si="15">SUM(E35:AH35)</f>
        <v>3334.69</v>
      </c>
      <c r="AJ35" s="69">
        <f t="shared" ref="AJ35:AJ66" si="16">+D35-AI35</f>
        <v>-3334.69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0">
        <v>87091.506537840003</v>
      </c>
      <c r="E36" s="70">
        <f t="shared" ref="E36:AH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0">
        <f t="shared" si="17"/>
        <v>0</v>
      </c>
      <c r="J36" s="76">
        <f t="shared" si="17"/>
        <v>0</v>
      </c>
      <c r="K36" s="76">
        <f t="shared" si="17"/>
        <v>0</v>
      </c>
      <c r="L36" s="70">
        <f t="shared" si="17"/>
        <v>0</v>
      </c>
      <c r="M36" s="74">
        <f t="shared" si="17"/>
        <v>0</v>
      </c>
      <c r="N36" s="74">
        <f t="shared" si="17"/>
        <v>72774.37999999999</v>
      </c>
      <c r="O36" s="70">
        <f t="shared" si="17"/>
        <v>0</v>
      </c>
      <c r="P36" s="70">
        <f t="shared" si="17"/>
        <v>0</v>
      </c>
      <c r="Q36" s="76">
        <f t="shared" si="17"/>
        <v>0</v>
      </c>
      <c r="R36" s="76">
        <f t="shared" si="17"/>
        <v>0</v>
      </c>
      <c r="S36" s="70">
        <f t="shared" si="17"/>
        <v>0</v>
      </c>
      <c r="T36" s="74">
        <f t="shared" si="17"/>
        <v>0</v>
      </c>
      <c r="U36" s="74">
        <f t="shared" si="17"/>
        <v>0</v>
      </c>
      <c r="V36" s="70">
        <f t="shared" si="17"/>
        <v>0</v>
      </c>
      <c r="W36" s="70">
        <f t="shared" si="17"/>
        <v>0</v>
      </c>
      <c r="X36" s="76">
        <f t="shared" si="17"/>
        <v>0</v>
      </c>
      <c r="Y36" s="76">
        <f t="shared" si="17"/>
        <v>0</v>
      </c>
      <c r="Z36" s="70">
        <f t="shared" si="17"/>
        <v>0</v>
      </c>
      <c r="AA36" s="74">
        <f t="shared" si="17"/>
        <v>0</v>
      </c>
      <c r="AB36" s="74">
        <f t="shared" si="17"/>
        <v>0</v>
      </c>
      <c r="AC36" s="70">
        <f t="shared" si="17"/>
        <v>0</v>
      </c>
      <c r="AD36" s="70">
        <f t="shared" si="17"/>
        <v>0</v>
      </c>
      <c r="AE36" s="76">
        <f t="shared" si="17"/>
        <v>0</v>
      </c>
      <c r="AF36" s="76">
        <f t="shared" si="17"/>
        <v>0</v>
      </c>
      <c r="AG36" s="70">
        <f t="shared" si="17"/>
        <v>0</v>
      </c>
      <c r="AH36" s="74">
        <f t="shared" si="17"/>
        <v>0</v>
      </c>
      <c r="AI36" s="61">
        <f t="shared" si="15"/>
        <v>72774.37999999999</v>
      </c>
      <c r="AJ36" s="62">
        <f t="shared" si="16"/>
        <v>14317.126537840013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68"/>
      <c r="E37" s="59">
        <f>SUMIFS(разходи!$L:$L,разходи!$E:$E,'ПП Април'!$C$37,разходи!$M:$M,'ПП Април'!E2)</f>
        <v>0</v>
      </c>
      <c r="F37" s="74">
        <f>SUMIFS(разходи!$L:$L,разходи!$E:$E,'ПП Април'!$C$37,разходи!$M:$M,'ПП Април'!F2)</f>
        <v>0</v>
      </c>
      <c r="G37" s="74">
        <f>SUMIFS(разходи!$L:$L,разходи!$E:$E,'ПП Април'!$C$37,разходи!$M:$M,'ПП Април'!G2)</f>
        <v>0</v>
      </c>
      <c r="H37" s="74">
        <f>SUMIFS(разходи!$L:$L,разходи!$E:$E,'ПП Април'!$C$37,разходи!$M:$M,'ПП Април'!H2)</f>
        <v>0</v>
      </c>
      <c r="I37" s="70">
        <f>SUMIFS(разходи!$L:$L,разходи!$E:$E,'ПП Април'!$C$37,разходи!$M:$M,'ПП Април'!I2)</f>
        <v>0</v>
      </c>
      <c r="J37" s="76">
        <f>SUMIFS(разходи!$L:$L,разходи!$E:$E,'ПП Април'!$C$37,разходи!$M:$M,'ПП Април'!J2)</f>
        <v>0</v>
      </c>
      <c r="K37" s="76">
        <f>SUMIFS(разходи!$L:$L,разходи!$E:$E,'ПП Април'!$C$37,разходи!$M:$M,'ПП Април'!K2)</f>
        <v>0</v>
      </c>
      <c r="L37" s="70">
        <f>SUMIFS(разходи!$L:$L,разходи!$E:$E,'ПП Април'!$C$37,разходи!$M:$M,'ПП Април'!L2)</f>
        <v>0</v>
      </c>
      <c r="M37" s="74">
        <f>SUMIFS(разходи!$L:$L,разходи!$E:$E,'ПП Април'!$C$37,разходи!$M:$M,'ПП Април'!M2)</f>
        <v>0</v>
      </c>
      <c r="N37" s="74">
        <f>SUMIFS(разходи!$L:$L,разходи!$E:$E,'ПП Април'!$C$37,разходи!$M:$M,'ПП Април'!N2)</f>
        <v>30014.89</v>
      </c>
      <c r="O37" s="70">
        <f>SUMIFS(разходи!$L:$L,разходи!$E:$E,'ПП Април'!$C$37,разходи!$M:$M,'ПП Април'!O2)</f>
        <v>0</v>
      </c>
      <c r="P37" s="70">
        <f>SUMIFS(разходи!$L:$L,разходи!$E:$E,'ПП Април'!$C$37,разходи!$M:$M,'ПП Април'!P2)</f>
        <v>0</v>
      </c>
      <c r="Q37" s="76">
        <f>SUMIFS(разходи!$L:$L,разходи!$E:$E,'ПП Април'!$C$37,разходи!$M:$M,'ПП Април'!Q2)</f>
        <v>0</v>
      </c>
      <c r="R37" s="76">
        <f>SUMIFS(разходи!$L:$L,разходи!$E:$E,'ПП Април'!$C$37,разходи!$M:$M,'ПП Април'!R2)</f>
        <v>0</v>
      </c>
      <c r="S37" s="70">
        <f>SUMIFS(разходи!$L:$L,разходи!$E:$E,'ПП Април'!$C$37,разходи!$M:$M,'ПП Април'!S2)</f>
        <v>0</v>
      </c>
      <c r="T37" s="74">
        <f>SUMIFS(разходи!$L:$L,разходи!$E:$E,'ПП Април'!$C$37,разходи!$M:$M,'ПП Април'!T2)</f>
        <v>0</v>
      </c>
      <c r="U37" s="74">
        <f>SUMIFS(разходи!$L:$L,разходи!$E:$E,'ПП Април'!$C$37,разходи!$M:$M,'ПП Април'!U2)</f>
        <v>0</v>
      </c>
      <c r="V37" s="70">
        <f>SUMIFS(разходи!$L:$L,разходи!$E:$E,'ПП Април'!$C$37,разходи!$M:$M,'ПП Април'!V2)</f>
        <v>0</v>
      </c>
      <c r="W37" s="70">
        <f>SUMIFS(разходи!$L:$L,разходи!$E:$E,'ПП Април'!$C$37,разходи!$M:$M,'ПП Април'!W2)</f>
        <v>0</v>
      </c>
      <c r="X37" s="76">
        <f>SUMIFS(разходи!$L:$L,разходи!$E:$E,'ПП Април'!$C$37,разходи!$M:$M,'ПП Април'!X2)</f>
        <v>0</v>
      </c>
      <c r="Y37" s="76">
        <f>SUMIFS(разходи!$L:$L,разходи!$E:$E,'ПП Април'!$C$37,разходи!$M:$M,'ПП Април'!Y2)</f>
        <v>0</v>
      </c>
      <c r="Z37" s="70">
        <f>SUMIFS(разходи!$L:$L,разходи!$E:$E,'ПП Април'!$C$37,разходи!$M:$M,'ПП Април'!Z2)</f>
        <v>0</v>
      </c>
      <c r="AA37" s="74">
        <f>SUMIFS(разходи!$L:$L,разходи!$E:$E,'ПП Април'!$C$37,разходи!$M:$M,'ПП Април'!AA2)</f>
        <v>0</v>
      </c>
      <c r="AB37" s="74">
        <f>SUMIFS(разходи!$L:$L,разходи!$E:$E,'ПП Април'!$C$37,разходи!$M:$M,'ПП Април'!AB2)</f>
        <v>0</v>
      </c>
      <c r="AC37" s="70">
        <f>SUMIFS(разходи!$L:$L,разходи!$E:$E,'ПП Април'!$C$37,разходи!$M:$M,'ПП Април'!AC2)</f>
        <v>0</v>
      </c>
      <c r="AD37" s="70">
        <f>SUMIFS(разходи!$L:$L,разходи!$E:$E,'ПП Април'!$C$37,разходи!$M:$M,'ПП Април'!AD2)</f>
        <v>0</v>
      </c>
      <c r="AE37" s="76">
        <f>SUMIFS(разходи!$L:$L,разходи!$E:$E,'ПП Април'!$C$37,разходи!$M:$M,'ПП Април'!AE2)</f>
        <v>0</v>
      </c>
      <c r="AF37" s="76">
        <f>SUMIFS(разходи!$L:$L,разходи!$E:$E,'ПП Април'!$C$37,разходи!$M:$M,'ПП Април'!AF2)</f>
        <v>0</v>
      </c>
      <c r="AG37" s="70">
        <f>SUMIFS(разходи!$L:$L,разходи!$E:$E,'ПП Април'!$C$37,разходи!$M:$M,'ПП Април'!AG2)</f>
        <v>0</v>
      </c>
      <c r="AH37" s="74">
        <f>SUMIFS(разходи!$L:$L,разходи!$E:$E,'ПП Април'!$C$37,разходи!$M:$M,'ПП Април'!AH2)</f>
        <v>0</v>
      </c>
      <c r="AI37" s="61">
        <f t="shared" si="15"/>
        <v>30014.89</v>
      </c>
      <c r="AJ37" s="69">
        <f t="shared" si="16"/>
        <v>-30014.89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68"/>
      <c r="E38" s="59">
        <f>SUMIFS(разходи!$L:$L,разходи!$E:$E,'ПП Април'!$C$38,разходи!$M:$M,'ПП Април'!E2)</f>
        <v>0</v>
      </c>
      <c r="F38" s="74">
        <f>SUMIFS(разходи!$L:$L,разходи!$E:$E,'ПП Април'!$C$38,разходи!$M:$M,'ПП Април'!F2)</f>
        <v>0</v>
      </c>
      <c r="G38" s="74">
        <f>SUMIFS(разходи!$L:$L,разходи!$E:$E,'ПП Април'!$C$38,разходи!$M:$M,'ПП Април'!G2)</f>
        <v>0</v>
      </c>
      <c r="H38" s="74">
        <f>SUMIFS(разходи!$L:$L,разходи!$E:$E,'ПП Април'!$C$38,разходи!$M:$M,'ПП Април'!H2)</f>
        <v>0</v>
      </c>
      <c r="I38" s="70">
        <f>SUMIFS(разходи!$L:$L,разходи!$E:$E,'ПП Април'!$C$38,разходи!$M:$M,'ПП Април'!I2)</f>
        <v>0</v>
      </c>
      <c r="J38" s="76">
        <f>SUMIFS(разходи!$L:$L,разходи!$E:$E,'ПП Април'!$C$38,разходи!$M:$M,'ПП Април'!J2)</f>
        <v>0</v>
      </c>
      <c r="K38" s="76">
        <f>SUMIFS(разходи!$L:$L,разходи!$E:$E,'ПП Април'!$C$38,разходи!$M:$M,'ПП Април'!K2)</f>
        <v>0</v>
      </c>
      <c r="L38" s="70">
        <f>SUMIFS(разходи!$L:$L,разходи!$E:$E,'ПП Април'!$C$38,разходи!$M:$M,'ПП Април'!L2)</f>
        <v>0</v>
      </c>
      <c r="M38" s="74">
        <f>SUMIFS(разходи!$L:$L,разходи!$E:$E,'ПП Април'!$C$38,разходи!$M:$M,'ПП Април'!M2)</f>
        <v>0</v>
      </c>
      <c r="N38" s="74">
        <f>SUMIFS(разходи!$L:$L,разходи!$E:$E,'ПП Април'!$C$38,разходи!$M:$M,'ПП Април'!N2)</f>
        <v>42432.32</v>
      </c>
      <c r="O38" s="70">
        <f>SUMIFS(разходи!$L:$L,разходи!$E:$E,'ПП Април'!$C$38,разходи!$M:$M,'ПП Април'!O2)</f>
        <v>0</v>
      </c>
      <c r="P38" s="70">
        <f>SUMIFS(разходи!$L:$L,разходи!$E:$E,'ПП Април'!$C$38,разходи!$M:$M,'ПП Април'!P2)</f>
        <v>0</v>
      </c>
      <c r="Q38" s="76">
        <f>SUMIFS(разходи!$L:$L,разходи!$E:$E,'ПП Април'!$C$38,разходи!$M:$M,'ПП Април'!Q2)</f>
        <v>0</v>
      </c>
      <c r="R38" s="76">
        <f>SUMIFS(разходи!$L:$L,разходи!$E:$E,'ПП Април'!$C$38,разходи!$M:$M,'ПП Април'!R2)</f>
        <v>0</v>
      </c>
      <c r="S38" s="70">
        <f>SUMIFS(разходи!$L:$L,разходи!$E:$E,'ПП Април'!$C$38,разходи!$M:$M,'ПП Април'!S2)</f>
        <v>0</v>
      </c>
      <c r="T38" s="74">
        <f>SUMIFS(разходи!$L:$L,разходи!$E:$E,'ПП Април'!$C$38,разходи!$M:$M,'ПП Април'!T2)</f>
        <v>0</v>
      </c>
      <c r="U38" s="74">
        <f>SUMIFS(разходи!$L:$L,разходи!$E:$E,'ПП Април'!$C$38,разходи!$M:$M,'ПП Април'!U2)</f>
        <v>0</v>
      </c>
      <c r="V38" s="70">
        <f>SUMIFS(разходи!$L:$L,разходи!$E:$E,'ПП Април'!$C$38,разходи!$M:$M,'ПП Април'!V2)</f>
        <v>0</v>
      </c>
      <c r="W38" s="70">
        <f>SUMIFS(разходи!$L:$L,разходи!$E:$E,'ПП Април'!$C$38,разходи!$M:$M,'ПП Април'!W2)</f>
        <v>0</v>
      </c>
      <c r="X38" s="76">
        <f>SUMIFS(разходи!$L:$L,разходи!$E:$E,'ПП Април'!$C$38,разходи!$M:$M,'ПП Април'!X2)</f>
        <v>0</v>
      </c>
      <c r="Y38" s="76">
        <f>SUMIFS(разходи!$L:$L,разходи!$E:$E,'ПП Април'!$C$38,разходи!$M:$M,'ПП Април'!Y2)</f>
        <v>0</v>
      </c>
      <c r="Z38" s="70">
        <f>SUMIFS(разходи!$L:$L,разходи!$E:$E,'ПП Април'!$C$38,разходи!$M:$M,'ПП Април'!Z2)</f>
        <v>0</v>
      </c>
      <c r="AA38" s="74">
        <f>SUMIFS(разходи!$L:$L,разходи!$E:$E,'ПП Април'!$C$38,разходи!$M:$M,'ПП Април'!AA2)</f>
        <v>0</v>
      </c>
      <c r="AB38" s="74">
        <f>SUMIFS(разходи!$L:$L,разходи!$E:$E,'ПП Април'!$C$38,разходи!$M:$M,'ПП Април'!AB2)</f>
        <v>0</v>
      </c>
      <c r="AC38" s="70">
        <f>SUMIFS(разходи!$L:$L,разходи!$E:$E,'ПП Април'!$C$38,разходи!$M:$M,'ПП Април'!AC2)</f>
        <v>0</v>
      </c>
      <c r="AD38" s="70">
        <f>SUMIFS(разходи!$L:$L,разходи!$E:$E,'ПП Април'!$C$38,разходи!$M:$M,'ПП Април'!AD2)</f>
        <v>0</v>
      </c>
      <c r="AE38" s="76">
        <f>SUMIFS(разходи!$L:$L,разходи!$E:$E,'ПП Април'!$C$38,разходи!$M:$M,'ПП Април'!AE2)</f>
        <v>0</v>
      </c>
      <c r="AF38" s="76">
        <f>SUMIFS(разходи!$L:$L,разходи!$E:$E,'ПП Април'!$C$38,разходи!$M:$M,'ПП Април'!AF2)</f>
        <v>0</v>
      </c>
      <c r="AG38" s="70">
        <f>SUMIFS(разходи!$L:$L,разходи!$E:$E,'ПП Април'!$C$38,разходи!$M:$M,'ПП Април'!AG2)</f>
        <v>0</v>
      </c>
      <c r="AH38" s="74">
        <f>SUMIFS(разходи!$L:$L,разходи!$E:$E,'ПП Април'!$C$38,разходи!$M:$M,'ПП Април'!AH2)</f>
        <v>0</v>
      </c>
      <c r="AI38" s="61">
        <f t="shared" si="15"/>
        <v>42432.32</v>
      </c>
      <c r="AJ38" s="69">
        <f t="shared" si="16"/>
        <v>-42432.32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68"/>
      <c r="E39" s="59">
        <f>SUMIFS(разходи!$L:$L,разходи!$E:$E,'ПП Април'!$C$39,разходи!$M:$M,'ПП Април'!E2)</f>
        <v>0</v>
      </c>
      <c r="F39" s="74">
        <f>SUMIFS(разходи!$L:$L,разходи!$E:$E,'ПП Април'!$C$39,разходи!$M:$M,'ПП Април'!F2)</f>
        <v>0</v>
      </c>
      <c r="G39" s="74">
        <f>SUMIFS(разходи!$L:$L,разходи!$E:$E,'ПП Април'!$C$39,разходи!$M:$M,'ПП Април'!G2)</f>
        <v>0</v>
      </c>
      <c r="H39" s="74">
        <f>SUMIFS(разходи!$L:$L,разходи!$E:$E,'ПП Април'!$C$39,разходи!$M:$M,'ПП Април'!H2)</f>
        <v>0</v>
      </c>
      <c r="I39" s="70">
        <f>SUMIFS(разходи!$L:$L,разходи!$E:$E,'ПП Април'!$C$39,разходи!$M:$M,'ПП Април'!I2)</f>
        <v>0</v>
      </c>
      <c r="J39" s="76">
        <f>SUMIFS(разходи!$L:$L,разходи!$E:$E,'ПП Април'!$C$39,разходи!$M:$M,'ПП Април'!J2)</f>
        <v>0</v>
      </c>
      <c r="K39" s="76">
        <f>SUMIFS(разходи!$L:$L,разходи!$E:$E,'ПП Април'!$C$39,разходи!$M:$M,'ПП Април'!K2)</f>
        <v>0</v>
      </c>
      <c r="L39" s="70">
        <f>SUMIFS(разходи!$L:$L,разходи!$E:$E,'ПП Април'!$C$39,разходи!$M:$M,'ПП Април'!L2)</f>
        <v>0</v>
      </c>
      <c r="M39" s="74">
        <f>SUMIFS(разходи!$L:$L,разходи!$E:$E,'ПП Април'!$C$39,разходи!$M:$M,'ПП Април'!M2)</f>
        <v>0</v>
      </c>
      <c r="N39" s="74">
        <f>SUMIFS(разходи!$L:$L,разходи!$E:$E,'ПП Април'!$C$39,разходи!$M:$M,'ПП Април'!N2)</f>
        <v>2763.95</v>
      </c>
      <c r="O39" s="70">
        <f>SUMIFS(разходи!$L:$L,разходи!$E:$E,'ПП Април'!$C$39,разходи!$M:$M,'ПП Април'!O2)</f>
        <v>0</v>
      </c>
      <c r="P39" s="70">
        <f>SUMIFS(разходи!$L:$L,разходи!$E:$E,'ПП Април'!$C$39,разходи!$M:$M,'ПП Април'!P2)</f>
        <v>0</v>
      </c>
      <c r="Q39" s="76">
        <f>SUMIFS(разходи!$L:$L,разходи!$E:$E,'ПП Април'!$C$39,разходи!$M:$M,'ПП Април'!Q2)</f>
        <v>0</v>
      </c>
      <c r="R39" s="76">
        <f>SUMIFS(разходи!$L:$L,разходи!$E:$E,'ПП Април'!$C$39,разходи!$M:$M,'ПП Април'!R2)</f>
        <v>0</v>
      </c>
      <c r="S39" s="70">
        <f>SUMIFS(разходи!$L:$L,разходи!$E:$E,'ПП Април'!$C$39,разходи!$M:$M,'ПП Април'!S2)</f>
        <v>0</v>
      </c>
      <c r="T39" s="74">
        <f>SUMIFS(разходи!$L:$L,разходи!$E:$E,'ПП Април'!$C$39,разходи!$M:$M,'ПП Април'!T2)</f>
        <v>0</v>
      </c>
      <c r="U39" s="74">
        <f>SUMIFS(разходи!$L:$L,разходи!$E:$E,'ПП Април'!$C$39,разходи!$M:$M,'ПП Април'!U2)</f>
        <v>0</v>
      </c>
      <c r="V39" s="70">
        <f>SUMIFS(разходи!$L:$L,разходи!$E:$E,'ПП Април'!$C$39,разходи!$M:$M,'ПП Април'!V2)</f>
        <v>0</v>
      </c>
      <c r="W39" s="70">
        <f>SUMIFS(разходи!$L:$L,разходи!$E:$E,'ПП Април'!$C$39,разходи!$M:$M,'ПП Април'!W2)</f>
        <v>0</v>
      </c>
      <c r="X39" s="76">
        <f>SUMIFS(разходи!$L:$L,разходи!$E:$E,'ПП Април'!$C$39,разходи!$M:$M,'ПП Април'!X2)</f>
        <v>0</v>
      </c>
      <c r="Y39" s="76">
        <f>SUMIFS(разходи!$L:$L,разходи!$E:$E,'ПП Април'!$C$39,разходи!$M:$M,'ПП Април'!Y2)</f>
        <v>0</v>
      </c>
      <c r="Z39" s="70">
        <f>SUMIFS(разходи!$L:$L,разходи!$E:$E,'ПП Април'!$C$39,разходи!$M:$M,'ПП Април'!Z2)</f>
        <v>0</v>
      </c>
      <c r="AA39" s="74">
        <f>SUMIFS(разходи!$L:$L,разходи!$E:$E,'ПП Април'!$C$39,разходи!$M:$M,'ПП Април'!AA2)</f>
        <v>0</v>
      </c>
      <c r="AB39" s="74">
        <f>SUMIFS(разходи!$L:$L,разходи!$E:$E,'ПП Април'!$C$39,разходи!$M:$M,'ПП Април'!AB2)</f>
        <v>0</v>
      </c>
      <c r="AC39" s="70">
        <f>SUMIFS(разходи!$L:$L,разходи!$E:$E,'ПП Април'!$C$39,разходи!$M:$M,'ПП Април'!AC2)</f>
        <v>0</v>
      </c>
      <c r="AD39" s="70">
        <f>SUMIFS(разходи!$L:$L,разходи!$E:$E,'ПП Април'!$C$39,разходи!$M:$M,'ПП Април'!AD2)</f>
        <v>0</v>
      </c>
      <c r="AE39" s="76">
        <f>SUMIFS(разходи!$L:$L,разходи!$E:$E,'ПП Април'!$C$39,разходи!$M:$M,'ПП Април'!AE2)</f>
        <v>0</v>
      </c>
      <c r="AF39" s="76">
        <f>SUMIFS(разходи!$L:$L,разходи!$E:$E,'ПП Април'!$C$39,разходи!$M:$M,'ПП Април'!AF2)</f>
        <v>0</v>
      </c>
      <c r="AG39" s="70">
        <f>SUMIFS(разходи!$L:$L,разходи!$E:$E,'ПП Април'!$C$39,разходи!$M:$M,'ПП Април'!AG2)</f>
        <v>0</v>
      </c>
      <c r="AH39" s="74">
        <f>SUMIFS(разходи!$L:$L,разходи!$E:$E,'ПП Април'!$C$39,разходи!$M:$M,'ПП Април'!AH2)</f>
        <v>0</v>
      </c>
      <c r="AI39" s="61">
        <f t="shared" si="15"/>
        <v>2763.95</v>
      </c>
      <c r="AJ39" s="69">
        <f t="shared" si="16"/>
        <v>-2763.95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68"/>
      <c r="E40" s="59">
        <f>SUMIFS(разходи!$L:$L,разходи!$E:$E,'ПП Април'!$C$40,разходи!$M:$M,'ПП Април'!E2)</f>
        <v>0</v>
      </c>
      <c r="F40" s="74">
        <f>SUMIFS(разходи!$L:$L,разходи!$E:$E,'ПП Април'!$C$40,разходи!$M:$M,'ПП Април'!F2)</f>
        <v>0</v>
      </c>
      <c r="G40" s="74">
        <f>SUMIFS(разходи!$L:$L,разходи!$E:$E,'ПП Април'!$C$40,разходи!$M:$M,'ПП Април'!G2)</f>
        <v>0</v>
      </c>
      <c r="H40" s="74">
        <f>SUMIFS(разходи!$L:$L,разходи!$E:$E,'ПП Април'!$C$40,разходи!$M:$M,'ПП Април'!H2)</f>
        <v>0</v>
      </c>
      <c r="I40" s="70">
        <f>SUMIFS(разходи!$L:$L,разходи!$E:$E,'ПП Април'!$C$40,разходи!$M:$M,'ПП Април'!I2)</f>
        <v>0</v>
      </c>
      <c r="J40" s="76">
        <f>SUMIFS(разходи!$L:$L,разходи!$E:$E,'ПП Април'!$C$40,разходи!$M:$M,'ПП Април'!J2)</f>
        <v>0</v>
      </c>
      <c r="K40" s="76">
        <f>SUMIFS(разходи!$L:$L,разходи!$E:$E,'ПП Април'!$C$40,разходи!$M:$M,'ПП Април'!K2)</f>
        <v>0</v>
      </c>
      <c r="L40" s="70">
        <f>SUMIFS(разходи!$L:$L,разходи!$E:$E,'ПП Април'!$C$40,разходи!$M:$M,'ПП Април'!L2)</f>
        <v>0</v>
      </c>
      <c r="M40" s="74">
        <f>SUMIFS(разходи!$L:$L,разходи!$E:$E,'ПП Април'!$C$40,разходи!$M:$M,'ПП Април'!M2)</f>
        <v>0</v>
      </c>
      <c r="N40" s="74">
        <f>SUMIFS(разходи!$L:$L,разходи!$E:$E,'ПП Април'!$C$40,разходи!$M:$M,'ПП Април'!N2)</f>
        <v>-2436.7800000000002</v>
      </c>
      <c r="O40" s="70">
        <f>SUMIFS(разходи!$L:$L,разходи!$E:$E,'ПП Април'!$C$40,разходи!$M:$M,'ПП Април'!O2)</f>
        <v>0</v>
      </c>
      <c r="P40" s="70">
        <f>SUMIFS(разходи!$L:$L,разходи!$E:$E,'ПП Април'!$C$40,разходи!$M:$M,'ПП Април'!P2)</f>
        <v>0</v>
      </c>
      <c r="Q40" s="76">
        <f>SUMIFS(разходи!$L:$L,разходи!$E:$E,'ПП Април'!$C$40,разходи!$M:$M,'ПП Април'!Q2)</f>
        <v>0</v>
      </c>
      <c r="R40" s="76">
        <f>SUMIFS(разходи!$L:$L,разходи!$E:$E,'ПП Април'!$C$40,разходи!$M:$M,'ПП Април'!R2)</f>
        <v>0</v>
      </c>
      <c r="S40" s="70">
        <f>SUMIFS(разходи!$L:$L,разходи!$E:$E,'ПП Април'!$C$40,разходи!$M:$M,'ПП Април'!S2)</f>
        <v>0</v>
      </c>
      <c r="T40" s="74">
        <f>SUMIFS(разходи!$L:$L,разходи!$E:$E,'ПП Април'!$C$40,разходи!$M:$M,'ПП Април'!T2)</f>
        <v>0</v>
      </c>
      <c r="U40" s="74">
        <f>SUMIFS(разходи!$L:$L,разходи!$E:$E,'ПП Април'!$C$40,разходи!$M:$M,'ПП Април'!U2)</f>
        <v>0</v>
      </c>
      <c r="V40" s="70">
        <f>SUMIFS(разходи!$L:$L,разходи!$E:$E,'ПП Април'!$C$40,разходи!$M:$M,'ПП Април'!V2)</f>
        <v>0</v>
      </c>
      <c r="W40" s="70">
        <f>SUMIFS(разходи!$L:$L,разходи!$E:$E,'ПП Април'!$C$40,разходи!$M:$M,'ПП Април'!W2)</f>
        <v>0</v>
      </c>
      <c r="X40" s="76">
        <f>SUMIFS(разходи!$L:$L,разходи!$E:$E,'ПП Април'!$C$40,разходи!$M:$M,'ПП Април'!X2)</f>
        <v>0</v>
      </c>
      <c r="Y40" s="76">
        <f>SUMIFS(разходи!$L:$L,разходи!$E:$E,'ПП Април'!$C$40,разходи!$M:$M,'ПП Април'!Y2)</f>
        <v>0</v>
      </c>
      <c r="Z40" s="70">
        <f>SUMIFS(разходи!$L:$L,разходи!$E:$E,'ПП Април'!$C$40,разходи!$M:$M,'ПП Април'!Z2)</f>
        <v>0</v>
      </c>
      <c r="AA40" s="74">
        <f>SUMIFS(разходи!$L:$L,разходи!$E:$E,'ПП Април'!$C$40,разходи!$M:$M,'ПП Април'!AA2)</f>
        <v>0</v>
      </c>
      <c r="AB40" s="74">
        <f>SUMIFS(разходи!$L:$L,разходи!$E:$E,'ПП Април'!$C$40,разходи!$M:$M,'ПП Април'!AB2)</f>
        <v>0</v>
      </c>
      <c r="AC40" s="70">
        <f>SUMIFS(разходи!$L:$L,разходи!$E:$E,'ПП Април'!$C$40,разходи!$M:$M,'ПП Април'!AC2)</f>
        <v>0</v>
      </c>
      <c r="AD40" s="70">
        <f>SUMIFS(разходи!$L:$L,разходи!$E:$E,'ПП Април'!$C$40,разходи!$M:$M,'ПП Април'!AD2)</f>
        <v>0</v>
      </c>
      <c r="AE40" s="76">
        <f>SUMIFS(разходи!$L:$L,разходи!$E:$E,'ПП Април'!$C$40,разходи!$M:$M,'ПП Април'!AE2)</f>
        <v>0</v>
      </c>
      <c r="AF40" s="76">
        <f>SUMIFS(разходи!$L:$L,разходи!$E:$E,'ПП Април'!$C$40,разходи!$M:$M,'ПП Април'!AF2)</f>
        <v>0</v>
      </c>
      <c r="AG40" s="70">
        <f>SUMIFS(разходи!$L:$L,разходи!$E:$E,'ПП Април'!$C$40,разходи!$M:$M,'ПП Април'!AG2)</f>
        <v>0</v>
      </c>
      <c r="AH40" s="74">
        <f>SUMIFS(разходи!$L:$L,разходи!$E:$E,'ПП Април'!$C$40,разходи!$M:$M,'ПП Април'!AH2)</f>
        <v>0</v>
      </c>
      <c r="AI40" s="61">
        <f t="shared" si="15"/>
        <v>-2436.7800000000002</v>
      </c>
      <c r="AJ40" s="69">
        <f t="shared" si="16"/>
        <v>2436.7800000000002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68">
        <v>117621.0144</v>
      </c>
      <c r="E41" s="59">
        <f>SUMIFS(разходи!$L:$L,разходи!$E:$E,'ПП Април'!$C$41,разходи!$M:$M,'ПП Април'!E2)</f>
        <v>0</v>
      </c>
      <c r="F41" s="74">
        <f>SUMIFS(разходи!$L:$L,разходи!$E:$E,'ПП Април'!$C$41,разходи!$M:$M,'ПП Април'!F2)</f>
        <v>0</v>
      </c>
      <c r="G41" s="74">
        <f>SUMIFS(разходи!$L:$L,разходи!$E:$E,'ПП Април'!$C$41,разходи!$M:$M,'ПП Април'!G2)</f>
        <v>0</v>
      </c>
      <c r="H41" s="74">
        <f>SUMIFS(разходи!$L:$L,разходи!$E:$E,'ПП Април'!$C$41,разходи!$M:$M,'ПП Април'!H2)</f>
        <v>0</v>
      </c>
      <c r="I41" s="70">
        <f>SUMIFS(разходи!$L:$L,разходи!$E:$E,'ПП Април'!$C$41,разходи!$M:$M,'ПП Април'!I2)</f>
        <v>0</v>
      </c>
      <c r="J41" s="76">
        <f>SUMIFS(разходи!$L:$L,разходи!$E:$E,'ПП Април'!$C$41,разходи!$M:$M,'ПП Април'!J2)</f>
        <v>0</v>
      </c>
      <c r="K41" s="76">
        <f>SUMIFS(разходи!$L:$L,разходи!$E:$E,'ПП Април'!$C$41,разходи!$M:$M,'ПП Април'!K2)</f>
        <v>0</v>
      </c>
      <c r="L41" s="70">
        <f>SUMIFS(разходи!$L:$L,разходи!$E:$E,'ПП Април'!$C$41,разходи!$M:$M,'ПП Април'!L2)</f>
        <v>0</v>
      </c>
      <c r="M41" s="74">
        <f>SUMIFS(разходи!$L:$L,разходи!$E:$E,'ПП Април'!$C$41,разходи!$M:$M,'ПП Април'!M2)</f>
        <v>0</v>
      </c>
      <c r="N41" s="74">
        <f>SUMIFS(разходи!$L:$L,разходи!$E:$E,'ПП Април'!$C$41,разходи!$M:$M,'ПП Април'!N2)</f>
        <v>0</v>
      </c>
      <c r="O41" s="70">
        <f>SUMIFS(разходи!$L:$L,разходи!$E:$E,'ПП Април'!$C$41,разходи!$M:$M,'ПП Април'!O2)</f>
        <v>0</v>
      </c>
      <c r="P41" s="70">
        <f>SUMIFS(разходи!$L:$L,разходи!$E:$E,'ПП Април'!$C$41,разходи!$M:$M,'ПП Април'!P2)</f>
        <v>0</v>
      </c>
      <c r="Q41" s="76">
        <f>SUMIFS(разходи!$L:$L,разходи!$E:$E,'ПП Април'!$C$41,разходи!$M:$M,'ПП Април'!Q2)</f>
        <v>0</v>
      </c>
      <c r="R41" s="76">
        <f>SUMIFS(разходи!$L:$L,разходи!$E:$E,'ПП Април'!$C$41,разходи!$M:$M,'ПП Април'!R2)</f>
        <v>0</v>
      </c>
      <c r="S41" s="70">
        <f>SUMIFS(разходи!$L:$L,разходи!$E:$E,'ПП Април'!$C$41,разходи!$M:$M,'ПП Април'!S2)</f>
        <v>0</v>
      </c>
      <c r="T41" s="74">
        <f>SUMIFS(разходи!$L:$L,разходи!$E:$E,'ПП Април'!$C$41,разходи!$M:$M,'ПП Април'!T2)</f>
        <v>0</v>
      </c>
      <c r="U41" s="74">
        <f>SUMIFS(разходи!$L:$L,разходи!$E:$E,'ПП Април'!$C$41,разходи!$M:$M,'ПП Април'!U2)</f>
        <v>0</v>
      </c>
      <c r="V41" s="70">
        <f>SUMIFS(разходи!$L:$L,разходи!$E:$E,'ПП Април'!$C$41,разходи!$M:$M,'ПП Април'!V2)</f>
        <v>0</v>
      </c>
      <c r="W41" s="70">
        <f>SUMIFS(разходи!$L:$L,разходи!$E:$E,'ПП Април'!$C$41,разходи!$M:$M,'ПП Април'!W2)</f>
        <v>0</v>
      </c>
      <c r="X41" s="76">
        <f>SUMIFS(разходи!$L:$L,разходи!$E:$E,'ПП Април'!$C$41,разходи!$M:$M,'ПП Април'!X2)</f>
        <v>0</v>
      </c>
      <c r="Y41" s="76">
        <f>SUMIFS(разходи!$L:$L,разходи!$E:$E,'ПП Април'!$C$41,разходи!$M:$M,'ПП Април'!Y2)</f>
        <v>0</v>
      </c>
      <c r="Z41" s="70">
        <f>SUMIFS(разходи!$L:$L,разходи!$E:$E,'ПП Април'!$C$41,разходи!$M:$M,'ПП Април'!Z2)</f>
        <v>0</v>
      </c>
      <c r="AA41" s="74">
        <f>SUMIFS(разходи!$L:$L,разходи!$E:$E,'ПП Април'!$C$41,разходи!$M:$M,'ПП Април'!AA2)</f>
        <v>0</v>
      </c>
      <c r="AB41" s="74">
        <f>SUMIFS(разходи!$L:$L,разходи!$E:$E,'ПП Април'!$C$41,разходи!$M:$M,'ПП Април'!AB2)</f>
        <v>0</v>
      </c>
      <c r="AC41" s="70">
        <f>SUMIFS(разходи!$L:$L,разходи!$E:$E,'ПП Април'!$C$41,разходи!$M:$M,'ПП Април'!AC2)</f>
        <v>0</v>
      </c>
      <c r="AD41" s="70">
        <f>SUMIFS(разходи!$L:$L,разходи!$E:$E,'ПП Април'!$C$41,разходи!$M:$M,'ПП Април'!AD2)</f>
        <v>0</v>
      </c>
      <c r="AE41" s="76">
        <f>SUMIFS(разходи!$L:$L,разходи!$E:$E,'ПП Април'!$C$41,разходи!$M:$M,'ПП Април'!AE2)</f>
        <v>0</v>
      </c>
      <c r="AF41" s="76">
        <f>SUMIFS(разходи!$L:$L,разходи!$E:$E,'ПП Април'!$C$41,разходи!$M:$M,'ПП Април'!AF2)</f>
        <v>0</v>
      </c>
      <c r="AG41" s="70">
        <f>SUMIFS(разходи!$L:$L,разходи!$E:$E,'ПП Април'!$C$41,разходи!$M:$M,'ПП Април'!AG2)</f>
        <v>0</v>
      </c>
      <c r="AH41" s="74">
        <f>SUMIFS(разходи!$L:$L,разходи!$E:$E,'ПП Април'!$C$41,разходи!$M:$M,'ПП Април'!AH2)</f>
        <v>0</v>
      </c>
      <c r="AI41" s="61">
        <f t="shared" si="15"/>
        <v>0</v>
      </c>
      <c r="AJ41" s="69">
        <f t="shared" si="16"/>
        <v>117621.0144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0">
        <f>SUM(D43:D56)</f>
        <v>19547.481040000002</v>
      </c>
      <c r="E42" s="70">
        <f t="shared" ref="E42:AH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0">
        <f t="shared" si="18"/>
        <v>2234.5299999999997</v>
      </c>
      <c r="J42" s="76">
        <f t="shared" si="18"/>
        <v>0</v>
      </c>
      <c r="K42" s="76">
        <f t="shared" si="18"/>
        <v>0</v>
      </c>
      <c r="L42" s="70">
        <f t="shared" si="18"/>
        <v>0</v>
      </c>
      <c r="M42" s="74">
        <f t="shared" si="18"/>
        <v>0</v>
      </c>
      <c r="N42" s="74">
        <f t="shared" si="18"/>
        <v>0</v>
      </c>
      <c r="O42" s="70">
        <f t="shared" si="18"/>
        <v>0</v>
      </c>
      <c r="P42" s="70">
        <f t="shared" si="18"/>
        <v>2906.46</v>
      </c>
      <c r="Q42" s="76">
        <f t="shared" si="18"/>
        <v>0</v>
      </c>
      <c r="R42" s="76">
        <f t="shared" si="18"/>
        <v>0</v>
      </c>
      <c r="S42" s="70">
        <f t="shared" si="18"/>
        <v>1809.89</v>
      </c>
      <c r="T42" s="74">
        <f t="shared" si="18"/>
        <v>3173.73</v>
      </c>
      <c r="U42" s="74">
        <f t="shared" si="18"/>
        <v>0</v>
      </c>
      <c r="V42" s="70">
        <f t="shared" si="18"/>
        <v>15578.41</v>
      </c>
      <c r="W42" s="70">
        <f t="shared" si="18"/>
        <v>0</v>
      </c>
      <c r="X42" s="76">
        <f t="shared" si="18"/>
        <v>0</v>
      </c>
      <c r="Y42" s="76">
        <f t="shared" si="18"/>
        <v>0</v>
      </c>
      <c r="Z42" s="70">
        <f t="shared" si="18"/>
        <v>22778.35</v>
      </c>
      <c r="AA42" s="74">
        <f t="shared" si="18"/>
        <v>0</v>
      </c>
      <c r="AB42" s="74">
        <f t="shared" si="18"/>
        <v>0</v>
      </c>
      <c r="AC42" s="70">
        <f t="shared" si="18"/>
        <v>0</v>
      </c>
      <c r="AD42" s="70">
        <f t="shared" si="18"/>
        <v>0</v>
      </c>
      <c r="AE42" s="76">
        <f t="shared" si="18"/>
        <v>0</v>
      </c>
      <c r="AF42" s="76">
        <f t="shared" si="18"/>
        <v>0</v>
      </c>
      <c r="AG42" s="70">
        <f t="shared" si="18"/>
        <v>552.5</v>
      </c>
      <c r="AH42" s="74">
        <f t="shared" si="18"/>
        <v>0</v>
      </c>
      <c r="AI42" s="61">
        <f t="shared" si="15"/>
        <v>49033.869999999995</v>
      </c>
      <c r="AJ42" s="62">
        <f t="shared" si="16"/>
        <v>-29486.388959999993</v>
      </c>
    </row>
    <row r="43" spans="1:36" s="21" customFormat="1" ht="20.100000000000001" customHeight="1" outlineLevel="1" x14ac:dyDescent="0.3">
      <c r="A43" s="27"/>
      <c r="B43" s="22"/>
      <c r="C43" s="8" t="s">
        <v>863</v>
      </c>
      <c r="D43" s="68"/>
      <c r="E43" s="59">
        <f t="shared" ref="E43:AH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0">
        <f t="shared" si="19"/>
        <v>0</v>
      </c>
      <c r="J43" s="76">
        <f t="shared" si="19"/>
        <v>0</v>
      </c>
      <c r="K43" s="76">
        <f t="shared" si="19"/>
        <v>0</v>
      </c>
      <c r="L43" s="70">
        <f t="shared" si="19"/>
        <v>0</v>
      </c>
      <c r="M43" s="74">
        <f t="shared" si="19"/>
        <v>0</v>
      </c>
      <c r="N43" s="74">
        <f t="shared" si="19"/>
        <v>0</v>
      </c>
      <c r="O43" s="70">
        <f t="shared" si="19"/>
        <v>0</v>
      </c>
      <c r="P43" s="70">
        <f t="shared" si="19"/>
        <v>2906.46</v>
      </c>
      <c r="Q43" s="76">
        <f t="shared" si="19"/>
        <v>0</v>
      </c>
      <c r="R43" s="76">
        <f t="shared" si="19"/>
        <v>0</v>
      </c>
      <c r="S43" s="70">
        <f t="shared" si="19"/>
        <v>581.76</v>
      </c>
      <c r="T43" s="74">
        <f t="shared" si="19"/>
        <v>28</v>
      </c>
      <c r="U43" s="74">
        <f t="shared" si="19"/>
        <v>0</v>
      </c>
      <c r="V43" s="70">
        <f t="shared" si="19"/>
        <v>15578.41</v>
      </c>
      <c r="W43" s="70">
        <f t="shared" si="19"/>
        <v>0</v>
      </c>
      <c r="X43" s="76">
        <f t="shared" si="19"/>
        <v>0</v>
      </c>
      <c r="Y43" s="76">
        <f t="shared" si="19"/>
        <v>0</v>
      </c>
      <c r="Z43" s="70">
        <f t="shared" si="19"/>
        <v>0</v>
      </c>
      <c r="AA43" s="74">
        <f t="shared" si="19"/>
        <v>0</v>
      </c>
      <c r="AB43" s="74">
        <f t="shared" si="19"/>
        <v>0</v>
      </c>
      <c r="AC43" s="70">
        <f t="shared" si="19"/>
        <v>0</v>
      </c>
      <c r="AD43" s="70">
        <f t="shared" si="19"/>
        <v>0</v>
      </c>
      <c r="AE43" s="76">
        <f t="shared" si="19"/>
        <v>0</v>
      </c>
      <c r="AF43" s="76">
        <f t="shared" si="19"/>
        <v>0</v>
      </c>
      <c r="AG43" s="70">
        <f t="shared" si="19"/>
        <v>552.5</v>
      </c>
      <c r="AH43" s="74">
        <f t="shared" si="19"/>
        <v>0</v>
      </c>
      <c r="AI43" s="61">
        <f t="shared" si="15"/>
        <v>19647.13</v>
      </c>
      <c r="AJ43" s="69">
        <f t="shared" si="16"/>
        <v>-19647.13</v>
      </c>
    </row>
    <row r="44" spans="1:36" s="21" customFormat="1" ht="20.100000000000001" customHeight="1" outlineLevel="2" x14ac:dyDescent="0.3">
      <c r="A44" s="27"/>
      <c r="B44" s="22"/>
      <c r="C44" s="49" t="s">
        <v>422</v>
      </c>
      <c r="D44" s="68"/>
      <c r="E44" s="59">
        <f>SUMIFS(разходи!$L:$L,разходи!$E:$E,'ПП Април'!$C$44,разходи!$M:$M,'ПП Април'!E2)</f>
        <v>0</v>
      </c>
      <c r="F44" s="74">
        <f>SUMIFS(разходи!$L:$L,разходи!$E:$E,'ПП Април'!$C$44,разходи!$M:$M,'ПП Април'!F2)</f>
        <v>0</v>
      </c>
      <c r="G44" s="74">
        <f>SUMIFS(разходи!$L:$L,разходи!$E:$E,'ПП Април'!$C$44,разходи!$M:$M,'ПП Април'!G2)</f>
        <v>0</v>
      </c>
      <c r="H44" s="74">
        <f>SUMIFS(разходи!$L:$L,разходи!$E:$E,'ПП Април'!$C$44,разходи!$M:$M,'ПП Април'!H2)</f>
        <v>0</v>
      </c>
      <c r="I44" s="70">
        <f>SUMIFS(разходи!$L:$L,разходи!$E:$E,'ПП Април'!$C$44,разходи!$M:$M,'ПП Април'!I2)</f>
        <v>0</v>
      </c>
      <c r="J44" s="76">
        <f>SUMIFS(разходи!$L:$L,разходи!$E:$E,'ПП Април'!$C$44,разходи!$M:$M,'ПП Април'!J2)</f>
        <v>0</v>
      </c>
      <c r="K44" s="76">
        <f>SUMIFS(разходи!$L:$L,разходи!$E:$E,'ПП Април'!$C$44,разходи!$M:$M,'ПП Април'!K2)</f>
        <v>0</v>
      </c>
      <c r="L44" s="70">
        <f>SUMIFS(разходи!$L:$L,разходи!$E:$E,'ПП Април'!$C$44,разходи!$M:$M,'ПП Април'!L2)</f>
        <v>0</v>
      </c>
      <c r="M44" s="74">
        <f>SUMIFS(разходи!$L:$L,разходи!$E:$E,'ПП Април'!$C$44,разходи!$M:$M,'ПП Април'!M2)</f>
        <v>0</v>
      </c>
      <c r="N44" s="74">
        <f>SUMIFS(разходи!$L:$L,разходи!$E:$E,'ПП Април'!$C$44,разходи!$M:$M,'ПП Април'!N2)</f>
        <v>0</v>
      </c>
      <c r="O44" s="70">
        <f>SUMIFS(разходи!$L:$L,разходи!$E:$E,'ПП Април'!$C$44,разходи!$M:$M,'ПП Април'!O2)</f>
        <v>0</v>
      </c>
      <c r="P44" s="70">
        <f>SUMIFS(разходи!$L:$L,разходи!$E:$E,'ПП Април'!$C$44,разходи!$M:$M,'ПП Април'!P2)</f>
        <v>2906.46</v>
      </c>
      <c r="Q44" s="76">
        <f>SUMIFS(разходи!$L:$L,разходи!$E:$E,'ПП Април'!$C$44,разходи!$M:$M,'ПП Април'!Q2)</f>
        <v>0</v>
      </c>
      <c r="R44" s="76">
        <f>SUMIFS(разходи!$L:$L,разходи!$E:$E,'ПП Април'!$C$44,разходи!$M:$M,'ПП Април'!R2)</f>
        <v>0</v>
      </c>
      <c r="S44" s="70">
        <f>SUMIFS(разходи!$L:$L,разходи!$E:$E,'ПП Април'!$C$44,разходи!$M:$M,'ПП Април'!S2)</f>
        <v>0</v>
      </c>
      <c r="T44" s="74">
        <f>SUMIFS(разходи!$L:$L,разходи!$E:$E,'ПП Април'!$C$44,разходи!$M:$M,'ПП Април'!T2)</f>
        <v>28</v>
      </c>
      <c r="U44" s="74">
        <f>SUMIFS(разходи!$L:$L,разходи!$E:$E,'ПП Април'!$C$44,разходи!$M:$M,'ПП Април'!U2)</f>
        <v>0</v>
      </c>
      <c r="V44" s="70">
        <f>SUMIFS(разходи!$L:$L,разходи!$E:$E,'ПП Април'!$C$44,разходи!$M:$M,'ПП Април'!V2)</f>
        <v>12577.68</v>
      </c>
      <c r="W44" s="70">
        <f>SUMIFS(разходи!$L:$L,разходи!$E:$E,'ПП Април'!$C$44,разходи!$M:$M,'ПП Април'!W2)</f>
        <v>0</v>
      </c>
      <c r="X44" s="76">
        <f>SUMIFS(разходи!$L:$L,разходи!$E:$E,'ПП Април'!$C$44,разходи!$M:$M,'ПП Април'!X2)</f>
        <v>0</v>
      </c>
      <c r="Y44" s="76">
        <f>SUMIFS(разходи!$L:$L,разходи!$E:$E,'ПП Април'!$C$44,разходи!$M:$M,'ПП Април'!Y2)</f>
        <v>0</v>
      </c>
      <c r="Z44" s="70">
        <f>SUMIFS(разходи!$L:$L,разходи!$E:$E,'ПП Април'!$C$44,разходи!$M:$M,'ПП Април'!Z2)</f>
        <v>0</v>
      </c>
      <c r="AA44" s="74">
        <f>SUMIFS(разходи!$L:$L,разходи!$E:$E,'ПП Април'!$C$44,разходи!$M:$M,'ПП Април'!AA2)</f>
        <v>0</v>
      </c>
      <c r="AB44" s="74">
        <f>SUMIFS(разходи!$L:$L,разходи!$E:$E,'ПП Април'!$C$44,разходи!$M:$M,'ПП Април'!AB2)</f>
        <v>0</v>
      </c>
      <c r="AC44" s="70">
        <f>SUMIFS(разходи!$L:$L,разходи!$E:$E,'ПП Април'!$C$44,разходи!$M:$M,'ПП Април'!AC2)</f>
        <v>0</v>
      </c>
      <c r="AD44" s="70">
        <f>SUMIFS(разходи!$L:$L,разходи!$E:$E,'ПП Април'!$C$44,разходи!$M:$M,'ПП Април'!AD2)</f>
        <v>0</v>
      </c>
      <c r="AE44" s="76">
        <f>SUMIFS(разходи!$L:$L,разходи!$E:$E,'ПП Април'!$C$44,разходи!$M:$M,'ПП Април'!AE2)</f>
        <v>0</v>
      </c>
      <c r="AF44" s="76">
        <f>SUMIFS(разходи!$L:$L,разходи!$E:$E,'ПП Април'!$C$44,разходи!$M:$M,'ПП Април'!AF2)</f>
        <v>0</v>
      </c>
      <c r="AG44" s="70">
        <f>SUMIFS(разходи!$L:$L,разходи!$E:$E,'ПП Април'!$C$44,разходи!$M:$M,'ПП Април'!AG2)</f>
        <v>552.5</v>
      </c>
      <c r="AH44" s="74">
        <f>SUMIFS(разходи!$L:$L,разходи!$E:$E,'ПП Април'!$C$44,разходи!$M:$M,'ПП Април'!AH2)</f>
        <v>0</v>
      </c>
      <c r="AI44" s="61">
        <f t="shared" si="15"/>
        <v>16064.64</v>
      </c>
      <c r="AJ44" s="69">
        <f t="shared" si="16"/>
        <v>-16064.64</v>
      </c>
    </row>
    <row r="45" spans="1:36" s="21" customFormat="1" ht="20.100000000000001" customHeight="1" outlineLevel="2" x14ac:dyDescent="0.3">
      <c r="A45" s="27"/>
      <c r="B45" s="22"/>
      <c r="C45" s="49" t="s">
        <v>622</v>
      </c>
      <c r="D45" s="68"/>
      <c r="E45" s="59">
        <f>SUMIFS(разходи!$L:$L,разходи!$E:$E,'ПП Април'!$C$45,разходи!$M:$M,'ПП Април'!E2)</f>
        <v>0</v>
      </c>
      <c r="F45" s="74">
        <f>SUMIFS(разходи!$L:$L,разходи!$E:$E,'ПП Април'!$C$45,разходи!$M:$M,'ПП Април'!F2)</f>
        <v>0</v>
      </c>
      <c r="G45" s="74">
        <f>SUMIFS(разходи!$L:$L,разходи!$E:$E,'ПП Април'!$C$45,разходи!$M:$M,'ПП Април'!G2)</f>
        <v>0</v>
      </c>
      <c r="H45" s="74">
        <f>SUMIFS(разходи!$L:$L,разходи!$E:$E,'ПП Април'!$C$45,разходи!$M:$M,'ПП Април'!H2)</f>
        <v>0</v>
      </c>
      <c r="I45" s="70">
        <f>SUMIFS(разходи!$L:$L,разходи!$E:$E,'ПП Април'!$C$45,разходи!$M:$M,'ПП Април'!I2)</f>
        <v>0</v>
      </c>
      <c r="J45" s="76">
        <f>SUMIFS(разходи!$L:$L,разходи!$E:$E,'ПП Април'!$C$45,разходи!$M:$M,'ПП Април'!J2)</f>
        <v>0</v>
      </c>
      <c r="K45" s="76">
        <f>SUMIFS(разходи!$L:$L,разходи!$E:$E,'ПП Април'!$C$45,разходи!$M:$M,'ПП Април'!K2)</f>
        <v>0</v>
      </c>
      <c r="L45" s="70">
        <f>SUMIFS(разходи!$L:$L,разходи!$E:$E,'ПП Април'!$C$45,разходи!$M:$M,'ПП Април'!L2)</f>
        <v>0</v>
      </c>
      <c r="M45" s="74">
        <f>SUMIFS(разходи!$L:$L,разходи!$E:$E,'ПП Април'!$C$45,разходи!$M:$M,'ПП Април'!M2)</f>
        <v>0</v>
      </c>
      <c r="N45" s="74">
        <f>SUMIFS(разходи!$L:$L,разходи!$E:$E,'ПП Април'!$C$45,разходи!$M:$M,'ПП Април'!N2)</f>
        <v>0</v>
      </c>
      <c r="O45" s="70">
        <f>SUMIFS(разходи!$L:$L,разходи!$E:$E,'ПП Април'!$C$45,разходи!$M:$M,'ПП Април'!O2)</f>
        <v>0</v>
      </c>
      <c r="P45" s="70">
        <f>SUMIFS(разходи!$L:$L,разходи!$E:$E,'ПП Април'!$C$45,разходи!$M:$M,'ПП Април'!P2)</f>
        <v>0</v>
      </c>
      <c r="Q45" s="76">
        <f>SUMIFS(разходи!$L:$L,разходи!$E:$E,'ПП Април'!$C$45,разходи!$M:$M,'ПП Април'!Q2)</f>
        <v>0</v>
      </c>
      <c r="R45" s="76">
        <f>SUMIFS(разходи!$L:$L,разходи!$E:$E,'ПП Април'!$C$45,разходи!$M:$M,'ПП Април'!R2)</f>
        <v>0</v>
      </c>
      <c r="S45" s="70">
        <f>SUMIFS(разходи!$L:$L,разходи!$E:$E,'ПП Април'!$C$45,разходи!$M:$M,'ПП Април'!S2)</f>
        <v>581.76</v>
      </c>
      <c r="T45" s="74">
        <f>SUMIFS(разходи!$L:$L,разходи!$E:$E,'ПП Април'!$C$45,разходи!$M:$M,'ПП Април'!T2)</f>
        <v>0</v>
      </c>
      <c r="U45" s="74">
        <f>SUMIFS(разходи!$L:$L,разходи!$E:$E,'ПП Април'!$C$45,разходи!$M:$M,'ПП Април'!U2)</f>
        <v>0</v>
      </c>
      <c r="V45" s="70">
        <f>SUMIFS(разходи!$L:$L,разходи!$E:$E,'ПП Април'!$C$45,разходи!$M:$M,'ПП Април'!V2)</f>
        <v>3000.73</v>
      </c>
      <c r="W45" s="70">
        <f>SUMIFS(разходи!$L:$L,разходи!$E:$E,'ПП Април'!$C$45,разходи!$M:$M,'ПП Април'!W2)</f>
        <v>0</v>
      </c>
      <c r="X45" s="76">
        <f>SUMIFS(разходи!$L:$L,разходи!$E:$E,'ПП Април'!$C$45,разходи!$M:$M,'ПП Април'!X2)</f>
        <v>0</v>
      </c>
      <c r="Y45" s="76">
        <f>SUMIFS(разходи!$L:$L,разходи!$E:$E,'ПП Април'!$C$45,разходи!$M:$M,'ПП Април'!Y2)</f>
        <v>0</v>
      </c>
      <c r="Z45" s="70">
        <f>SUMIFS(разходи!$L:$L,разходи!$E:$E,'ПП Април'!$C$45,разходи!$M:$M,'ПП Април'!Z2)</f>
        <v>0</v>
      </c>
      <c r="AA45" s="74">
        <f>SUMIFS(разходи!$L:$L,разходи!$E:$E,'ПП Април'!$C$45,разходи!$M:$M,'ПП Април'!AA2)</f>
        <v>0</v>
      </c>
      <c r="AB45" s="74">
        <f>SUMIFS(разходи!$L:$L,разходи!$E:$E,'ПП Април'!$C$45,разходи!$M:$M,'ПП Април'!AB2)</f>
        <v>0</v>
      </c>
      <c r="AC45" s="70">
        <f>SUMIFS(разходи!$L:$L,разходи!$E:$E,'ПП Април'!$C$45,разходи!$M:$M,'ПП Април'!AC2)</f>
        <v>0</v>
      </c>
      <c r="AD45" s="70">
        <f>SUMIFS(разходи!$L:$L,разходи!$E:$E,'ПП Април'!$C$45,разходи!$M:$M,'ПП Април'!AD2)</f>
        <v>0</v>
      </c>
      <c r="AE45" s="76">
        <f>SUMIFS(разходи!$L:$L,разходи!$E:$E,'ПП Април'!$C$45,разходи!$M:$M,'ПП Април'!AE2)</f>
        <v>0</v>
      </c>
      <c r="AF45" s="76">
        <f>SUMIFS(разходи!$L:$L,разходи!$E:$E,'ПП Април'!$C$45,разходи!$M:$M,'ПП Април'!AF2)</f>
        <v>0</v>
      </c>
      <c r="AG45" s="70">
        <f>SUMIFS(разходи!$L:$L,разходи!$E:$E,'ПП Април'!$C$45,разходи!$M:$M,'ПП Април'!AG2)</f>
        <v>0</v>
      </c>
      <c r="AH45" s="74">
        <f>SUMIFS(разходи!$L:$L,разходи!$E:$E,'ПП Април'!$C$45,разходи!$M:$M,'ПП Април'!AH2)</f>
        <v>0</v>
      </c>
      <c r="AI45" s="61">
        <f t="shared" si="15"/>
        <v>3582.49</v>
      </c>
      <c r="AJ45" s="69">
        <f t="shared" si="16"/>
        <v>-3582.49</v>
      </c>
    </row>
    <row r="46" spans="1:36" s="21" customFormat="1" ht="20.100000000000001" customHeight="1" outlineLevel="2" x14ac:dyDescent="0.3">
      <c r="A46" s="27"/>
      <c r="B46" s="22"/>
      <c r="C46" s="49" t="s">
        <v>864</v>
      </c>
      <c r="D46" s="68"/>
      <c r="E46" s="59">
        <f>SUMIFS(разходи!$L:$L,разходи!$E:$E,'ПП Април'!$C$46,разходи!$M:$M,'ПП Април'!E2)</f>
        <v>0</v>
      </c>
      <c r="F46" s="74">
        <f>SUMIFS(разходи!$L:$L,разходи!$E:$E,'ПП Април'!$C$46,разходи!$M:$M,'ПП Април'!F2)</f>
        <v>0</v>
      </c>
      <c r="G46" s="74">
        <f>SUMIFS(разходи!$L:$L,разходи!$E:$E,'ПП Април'!$C$46,разходи!$M:$M,'ПП Април'!G2)</f>
        <v>0</v>
      </c>
      <c r="H46" s="74">
        <f>SUMIFS(разходи!$L:$L,разходи!$E:$E,'ПП Април'!$C$46,разходи!$M:$M,'ПП Април'!H2)</f>
        <v>0</v>
      </c>
      <c r="I46" s="70">
        <f>SUMIFS(разходи!$L:$L,разходи!$E:$E,'ПП Април'!$C$46,разходи!$M:$M,'ПП Април'!I2)</f>
        <v>0</v>
      </c>
      <c r="J46" s="76">
        <f>SUMIFS(разходи!$L:$L,разходи!$E:$E,'ПП Април'!$C$46,разходи!$M:$M,'ПП Април'!J2)</f>
        <v>0</v>
      </c>
      <c r="K46" s="76">
        <f>SUMIFS(разходи!$L:$L,разходи!$E:$E,'ПП Април'!$C$46,разходи!$M:$M,'ПП Април'!K2)</f>
        <v>0</v>
      </c>
      <c r="L46" s="70">
        <f>SUMIFS(разходи!$L:$L,разходи!$E:$E,'ПП Април'!$C$46,разходи!$M:$M,'ПП Април'!L2)</f>
        <v>0</v>
      </c>
      <c r="M46" s="74">
        <f>SUMIFS(разходи!$L:$L,разходи!$E:$E,'ПП Април'!$C$46,разходи!$M:$M,'ПП Април'!M2)</f>
        <v>0</v>
      </c>
      <c r="N46" s="74">
        <f>SUMIFS(разходи!$L:$L,разходи!$E:$E,'ПП Април'!$C$46,разходи!$M:$M,'ПП Април'!N2)</f>
        <v>0</v>
      </c>
      <c r="O46" s="70">
        <f>SUMIFS(разходи!$L:$L,разходи!$E:$E,'ПП Април'!$C$46,разходи!$M:$M,'ПП Април'!O2)</f>
        <v>0</v>
      </c>
      <c r="P46" s="70">
        <f>SUMIFS(разходи!$L:$L,разходи!$E:$E,'ПП Април'!$C$46,разходи!$M:$M,'ПП Април'!P2)</f>
        <v>0</v>
      </c>
      <c r="Q46" s="76">
        <f>SUMIFS(разходи!$L:$L,разходи!$E:$E,'ПП Април'!$C$46,разходи!$M:$M,'ПП Април'!Q2)</f>
        <v>0</v>
      </c>
      <c r="R46" s="76">
        <f>SUMIFS(разходи!$L:$L,разходи!$E:$E,'ПП Април'!$C$46,разходи!$M:$M,'ПП Април'!R2)</f>
        <v>0</v>
      </c>
      <c r="S46" s="70">
        <f>SUMIFS(разходи!$L:$L,разходи!$E:$E,'ПП Април'!$C$46,разходи!$M:$M,'ПП Април'!S2)</f>
        <v>0</v>
      </c>
      <c r="T46" s="74">
        <f>SUMIFS(разходи!$L:$L,разходи!$E:$E,'ПП Април'!$C$46,разходи!$M:$M,'ПП Април'!T2)</f>
        <v>0</v>
      </c>
      <c r="U46" s="74">
        <f>SUMIFS(разходи!$L:$L,разходи!$E:$E,'ПП Април'!$C$46,разходи!$M:$M,'ПП Април'!U2)</f>
        <v>0</v>
      </c>
      <c r="V46" s="70">
        <f>SUMIFS(разходи!$L:$L,разходи!$E:$E,'ПП Април'!$C$46,разходи!$M:$M,'ПП Април'!V2)</f>
        <v>0</v>
      </c>
      <c r="W46" s="70">
        <f>SUMIFS(разходи!$L:$L,разходи!$E:$E,'ПП Април'!$C$46,разходи!$M:$M,'ПП Април'!W2)</f>
        <v>0</v>
      </c>
      <c r="X46" s="76">
        <f>SUMIFS(разходи!$L:$L,разходи!$E:$E,'ПП Април'!$C$46,разходи!$M:$M,'ПП Април'!X2)</f>
        <v>0</v>
      </c>
      <c r="Y46" s="76">
        <f>SUMIFS(разходи!$L:$L,разходи!$E:$E,'ПП Април'!$C$46,разходи!$M:$M,'ПП Април'!Y2)</f>
        <v>0</v>
      </c>
      <c r="Z46" s="70">
        <f>SUMIFS(разходи!$L:$L,разходи!$E:$E,'ПП Април'!$C$46,разходи!$M:$M,'ПП Април'!Z2)</f>
        <v>0</v>
      </c>
      <c r="AA46" s="74">
        <f>SUMIFS(разходи!$L:$L,разходи!$E:$E,'ПП Април'!$C$46,разходи!$M:$M,'ПП Април'!AA2)</f>
        <v>0</v>
      </c>
      <c r="AB46" s="74">
        <f>SUMIFS(разходи!$L:$L,разходи!$E:$E,'ПП Април'!$C$46,разходи!$M:$M,'ПП Април'!AB2)</f>
        <v>0</v>
      </c>
      <c r="AC46" s="70">
        <f>SUMIFS(разходи!$L:$L,разходи!$E:$E,'ПП Април'!$C$46,разходи!$M:$M,'ПП Април'!AC2)</f>
        <v>0</v>
      </c>
      <c r="AD46" s="70">
        <f>SUMIFS(разходи!$L:$L,разходи!$E:$E,'ПП Април'!$C$46,разходи!$M:$M,'ПП Април'!AD2)</f>
        <v>0</v>
      </c>
      <c r="AE46" s="76">
        <f>SUMIFS(разходи!$L:$L,разходи!$E:$E,'ПП Април'!$C$46,разходи!$M:$M,'ПП Април'!AE2)</f>
        <v>0</v>
      </c>
      <c r="AF46" s="76">
        <f>SUMIFS(разходи!$L:$L,разходи!$E:$E,'ПП Април'!$C$46,разходи!$M:$M,'ПП Април'!AF2)</f>
        <v>0</v>
      </c>
      <c r="AG46" s="70">
        <f>SUMIFS(разходи!$L:$L,разходи!$E:$E,'ПП Април'!$C$46,разходи!$M:$M,'ПП Април'!AG2)</f>
        <v>0</v>
      </c>
      <c r="AH46" s="74">
        <f>SUMIFS(разходи!$L:$L,разходи!$E:$E,'ПП Април'!$C$46,разходи!$M:$M,'ПП Април'!AH2)</f>
        <v>0</v>
      </c>
      <c r="AI46" s="61">
        <f t="shared" si="15"/>
        <v>0</v>
      </c>
      <c r="AJ46" s="69">
        <f t="shared" si="16"/>
        <v>0</v>
      </c>
    </row>
    <row r="47" spans="1:36" s="21" customFormat="1" ht="20.100000000000001" customHeight="1" outlineLevel="2" x14ac:dyDescent="0.3">
      <c r="A47" s="27"/>
      <c r="B47" s="22"/>
      <c r="C47" s="49" t="s">
        <v>865</v>
      </c>
      <c r="D47" s="72"/>
      <c r="E47" s="59">
        <f>SUMIFS(разходи!$L:$L,разходи!$E:$E,'ПП Април'!$C$47,разходи!$M:$M,'ПП Април'!E2)</f>
        <v>0</v>
      </c>
      <c r="F47" s="74">
        <f>SUMIFS(разходи!$L:$L,разходи!$E:$E,'ПП Април'!$C$47,разходи!$M:$M,'ПП Април'!F2)</f>
        <v>0</v>
      </c>
      <c r="G47" s="74">
        <f>SUMIFS(разходи!$L:$L,разходи!$E:$E,'ПП Април'!$C$47,разходи!$M:$M,'ПП Април'!G2)</f>
        <v>0</v>
      </c>
      <c r="H47" s="74">
        <f>SUMIFS(разходи!$L:$L,разходи!$E:$E,'ПП Април'!$C$47,разходи!$M:$M,'ПП Април'!H2)</f>
        <v>0</v>
      </c>
      <c r="I47" s="70">
        <f>SUMIFS(разходи!$L:$L,разходи!$E:$E,'ПП Април'!$C$47,разходи!$M:$M,'ПП Април'!I2)</f>
        <v>0</v>
      </c>
      <c r="J47" s="76">
        <f>SUMIFS(разходи!$L:$L,разходи!$E:$E,'ПП Април'!$C$47,разходи!$M:$M,'ПП Април'!J2)</f>
        <v>0</v>
      </c>
      <c r="K47" s="76">
        <f>SUMIFS(разходи!$L:$L,разходи!$E:$E,'ПП Април'!$C$47,разходи!$M:$M,'ПП Април'!K2)</f>
        <v>0</v>
      </c>
      <c r="L47" s="70">
        <f>SUMIFS(разходи!$L:$L,разходи!$E:$E,'ПП Април'!$C$47,разходи!$M:$M,'ПП Април'!L2)</f>
        <v>0</v>
      </c>
      <c r="M47" s="74">
        <f>SUMIFS(разходи!$L:$L,разходи!$E:$E,'ПП Април'!$C$47,разходи!$M:$M,'ПП Април'!M2)</f>
        <v>0</v>
      </c>
      <c r="N47" s="74">
        <f>SUMIFS(разходи!$L:$L,разходи!$E:$E,'ПП Април'!$C$47,разходи!$M:$M,'ПП Април'!N2)</f>
        <v>0</v>
      </c>
      <c r="O47" s="70">
        <f>SUMIFS(разходи!$L:$L,разходи!$E:$E,'ПП Април'!$C$47,разходи!$M:$M,'ПП Април'!O2)</f>
        <v>0</v>
      </c>
      <c r="P47" s="70">
        <f>SUMIFS(разходи!$L:$L,разходи!$E:$E,'ПП Април'!$C$47,разходи!$M:$M,'ПП Април'!P2)</f>
        <v>0</v>
      </c>
      <c r="Q47" s="76">
        <f>SUMIFS(разходи!$L:$L,разходи!$E:$E,'ПП Април'!$C$47,разходи!$M:$M,'ПП Април'!Q2)</f>
        <v>0</v>
      </c>
      <c r="R47" s="76">
        <f>SUMIFS(разходи!$L:$L,разходи!$E:$E,'ПП Април'!$C$47,разходи!$M:$M,'ПП Април'!R2)</f>
        <v>0</v>
      </c>
      <c r="S47" s="70">
        <f>SUMIFS(разходи!$L:$L,разходи!$E:$E,'ПП Април'!$C$47,разходи!$M:$M,'ПП Април'!S2)</f>
        <v>0</v>
      </c>
      <c r="T47" s="74">
        <f>SUMIFS(разходи!$L:$L,разходи!$E:$E,'ПП Април'!$C$47,разходи!$M:$M,'ПП Април'!T2)</f>
        <v>0</v>
      </c>
      <c r="U47" s="74">
        <f>SUMIFS(разходи!$L:$L,разходи!$E:$E,'ПП Април'!$C$47,разходи!$M:$M,'ПП Април'!U2)</f>
        <v>0</v>
      </c>
      <c r="V47" s="70">
        <f>SUMIFS(разходи!$L:$L,разходи!$E:$E,'ПП Април'!$C$47,разходи!$M:$M,'ПП Април'!V2)</f>
        <v>0</v>
      </c>
      <c r="W47" s="70">
        <f>SUMIFS(разходи!$L:$L,разходи!$E:$E,'ПП Април'!$C$47,разходи!$M:$M,'ПП Април'!W2)</f>
        <v>0</v>
      </c>
      <c r="X47" s="76">
        <f>SUMIFS(разходи!$L:$L,разходи!$E:$E,'ПП Април'!$C$47,разходи!$M:$M,'ПП Април'!X2)</f>
        <v>0</v>
      </c>
      <c r="Y47" s="76">
        <f>SUMIFS(разходи!$L:$L,разходи!$E:$E,'ПП Април'!$C$47,разходи!$M:$M,'ПП Април'!Y2)</f>
        <v>0</v>
      </c>
      <c r="Z47" s="70">
        <f>SUMIFS(разходи!$L:$L,разходи!$E:$E,'ПП Април'!$C$47,разходи!$M:$M,'ПП Април'!Z2)</f>
        <v>0</v>
      </c>
      <c r="AA47" s="74">
        <f>SUMIFS(разходи!$L:$L,разходи!$E:$E,'ПП Април'!$C$47,разходи!$M:$M,'ПП Април'!AA2)</f>
        <v>0</v>
      </c>
      <c r="AB47" s="74">
        <f>SUMIFS(разходи!$L:$L,разходи!$E:$E,'ПП Април'!$C$47,разходи!$M:$M,'ПП Април'!AB2)</f>
        <v>0</v>
      </c>
      <c r="AC47" s="70">
        <f>SUMIFS(разходи!$L:$L,разходи!$E:$E,'ПП Април'!$C$47,разходи!$M:$M,'ПП Април'!AC2)</f>
        <v>0</v>
      </c>
      <c r="AD47" s="70">
        <f>SUMIFS(разходи!$L:$L,разходи!$E:$E,'ПП Април'!$C$47,разходи!$M:$M,'ПП Април'!AD2)</f>
        <v>0</v>
      </c>
      <c r="AE47" s="76">
        <f>SUMIFS(разходи!$L:$L,разходи!$E:$E,'ПП Април'!$C$47,разходи!$M:$M,'ПП Април'!AE2)</f>
        <v>0</v>
      </c>
      <c r="AF47" s="76">
        <f>SUMIFS(разходи!$L:$L,разходи!$E:$E,'ПП Април'!$C$47,разходи!$M:$M,'ПП Април'!AF2)</f>
        <v>0</v>
      </c>
      <c r="AG47" s="70">
        <f>SUMIFS(разходи!$L:$L,разходи!$E:$E,'ПП Април'!$C$47,разходи!$M:$M,'ПП Април'!AG2)</f>
        <v>0</v>
      </c>
      <c r="AH47" s="74">
        <f>SUMIFS(разходи!$L:$L,разходи!$E:$E,'ПП Април'!$C$47,разходи!$M:$M,'ПП Април'!AH2)</f>
        <v>0</v>
      </c>
      <c r="AI47" s="61">
        <f t="shared" si="15"/>
        <v>0</v>
      </c>
      <c r="AJ47" s="69">
        <f t="shared" si="16"/>
        <v>0</v>
      </c>
    </row>
    <row r="48" spans="1:36" s="21" customFormat="1" ht="20.100000000000001" customHeight="1" outlineLevel="1" x14ac:dyDescent="0.3">
      <c r="A48" s="27"/>
      <c r="B48" s="22"/>
      <c r="C48" s="8" t="s">
        <v>866</v>
      </c>
      <c r="D48" s="68"/>
      <c r="E48" s="59">
        <f t="shared" ref="E48:AH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0">
        <f t="shared" si="20"/>
        <v>2234.5299999999997</v>
      </c>
      <c r="J48" s="76">
        <f t="shared" si="20"/>
        <v>0</v>
      </c>
      <c r="K48" s="76">
        <f t="shared" si="20"/>
        <v>0</v>
      </c>
      <c r="L48" s="70">
        <f t="shared" si="20"/>
        <v>0</v>
      </c>
      <c r="M48" s="74">
        <f t="shared" si="20"/>
        <v>0</v>
      </c>
      <c r="N48" s="74">
        <f t="shared" si="20"/>
        <v>0</v>
      </c>
      <c r="O48" s="70">
        <f t="shared" si="20"/>
        <v>0</v>
      </c>
      <c r="P48" s="70">
        <f t="shared" si="20"/>
        <v>0</v>
      </c>
      <c r="Q48" s="76">
        <f t="shared" si="20"/>
        <v>0</v>
      </c>
      <c r="R48" s="76">
        <f t="shared" si="20"/>
        <v>0</v>
      </c>
      <c r="S48" s="70">
        <f t="shared" si="20"/>
        <v>1228.1300000000001</v>
      </c>
      <c r="T48" s="74">
        <f t="shared" si="20"/>
        <v>0</v>
      </c>
      <c r="U48" s="74">
        <f t="shared" si="20"/>
        <v>0</v>
      </c>
      <c r="V48" s="70">
        <f t="shared" si="20"/>
        <v>0</v>
      </c>
      <c r="W48" s="70">
        <f t="shared" si="20"/>
        <v>0</v>
      </c>
      <c r="X48" s="76">
        <f t="shared" si="20"/>
        <v>0</v>
      </c>
      <c r="Y48" s="76">
        <f t="shared" si="20"/>
        <v>0</v>
      </c>
      <c r="Z48" s="70">
        <f t="shared" si="20"/>
        <v>0</v>
      </c>
      <c r="AA48" s="74">
        <f t="shared" si="20"/>
        <v>0</v>
      </c>
      <c r="AB48" s="74">
        <f t="shared" si="20"/>
        <v>0</v>
      </c>
      <c r="AC48" s="70">
        <f t="shared" si="20"/>
        <v>0</v>
      </c>
      <c r="AD48" s="70">
        <f t="shared" si="20"/>
        <v>0</v>
      </c>
      <c r="AE48" s="76">
        <f t="shared" si="20"/>
        <v>0</v>
      </c>
      <c r="AF48" s="76">
        <f t="shared" si="20"/>
        <v>0</v>
      </c>
      <c r="AG48" s="70">
        <f t="shared" si="20"/>
        <v>0</v>
      </c>
      <c r="AH48" s="74">
        <f t="shared" si="20"/>
        <v>0</v>
      </c>
      <c r="AI48" s="61">
        <f t="shared" si="15"/>
        <v>3462.66</v>
      </c>
      <c r="AJ48" s="69">
        <f t="shared" si="16"/>
        <v>-3462.66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68">
        <v>16547.481040000002</v>
      </c>
      <c r="E49" s="59">
        <f>SUMIFS(разходи!$L:$L,разходи!$E:$E,'ПП Април'!$C$49,разходи!$M:$M,'ПП Април'!E2)</f>
        <v>0</v>
      </c>
      <c r="F49" s="74">
        <f>SUMIFS(разходи!$L:$L,разходи!$E:$E,'ПП Април'!$C$49,разходи!$M:$M,'ПП Април'!F2)</f>
        <v>0</v>
      </c>
      <c r="G49" s="74">
        <f>SUMIFS(разходи!$L:$L,разходи!$E:$E,'ПП Април'!$C$49,разходи!$M:$M,'ПП Април'!G2)</f>
        <v>0</v>
      </c>
      <c r="H49" s="74">
        <f>SUMIFS(разходи!$L:$L,разходи!$E:$E,'ПП Април'!$C$49,разходи!$M:$M,'ПП Април'!H2)</f>
        <v>0</v>
      </c>
      <c r="I49" s="70">
        <f>SUMIFS(разходи!$L:$L,разходи!$E:$E,'ПП Април'!$C$49,разходи!$M:$M,'ПП Април'!I2)</f>
        <v>2234.5299999999997</v>
      </c>
      <c r="J49" s="76">
        <f>SUMIFS(разходи!$L:$L,разходи!$E:$E,'ПП Април'!$C$49,разходи!$M:$M,'ПП Април'!J2)</f>
        <v>0</v>
      </c>
      <c r="K49" s="76">
        <f>SUMIFS(разходи!$L:$L,разходи!$E:$E,'ПП Април'!$C$49,разходи!$M:$M,'ПП Април'!K2)</f>
        <v>0</v>
      </c>
      <c r="L49" s="70">
        <f>SUMIFS(разходи!$L:$L,разходи!$E:$E,'ПП Април'!$C$49,разходи!$M:$M,'ПП Април'!L2)</f>
        <v>0</v>
      </c>
      <c r="M49" s="74">
        <f>SUMIFS(разходи!$L:$L,разходи!$E:$E,'ПП Април'!$C$49,разходи!$M:$M,'ПП Април'!M2)</f>
        <v>0</v>
      </c>
      <c r="N49" s="74">
        <f>SUMIFS(разходи!$L:$L,разходи!$E:$E,'ПП Април'!$C$49,разходи!$M:$M,'ПП Април'!N2)</f>
        <v>0</v>
      </c>
      <c r="O49" s="70">
        <f>SUMIFS(разходи!$L:$L,разходи!$E:$E,'ПП Април'!$C$49,разходи!$M:$M,'ПП Април'!O2)</f>
        <v>0</v>
      </c>
      <c r="P49" s="70">
        <f>SUMIFS(разходи!$L:$L,разходи!$E:$E,'ПП Април'!$C$49,разходи!$M:$M,'ПП Април'!P2)</f>
        <v>0</v>
      </c>
      <c r="Q49" s="76">
        <f>SUMIFS(разходи!$L:$L,разходи!$E:$E,'ПП Април'!$C$49,разходи!$M:$M,'ПП Април'!Q2)</f>
        <v>0</v>
      </c>
      <c r="R49" s="76">
        <f>SUMIFS(разходи!$L:$L,разходи!$E:$E,'ПП Април'!$C$49,разходи!$M:$M,'ПП Април'!R2)</f>
        <v>0</v>
      </c>
      <c r="S49" s="70">
        <f>SUMIFS(разходи!$L:$L,разходи!$E:$E,'ПП Април'!$C$49,разходи!$M:$M,'ПП Април'!S2)</f>
        <v>1228.1300000000001</v>
      </c>
      <c r="T49" s="74">
        <f>SUMIFS(разходи!$L:$L,разходи!$E:$E,'ПП Април'!$C$49,разходи!$M:$M,'ПП Април'!T2)</f>
        <v>0</v>
      </c>
      <c r="U49" s="74">
        <f>SUMIFS(разходи!$L:$L,разходи!$E:$E,'ПП Април'!$C$49,разходи!$M:$M,'ПП Април'!U2)</f>
        <v>0</v>
      </c>
      <c r="V49" s="70">
        <f>SUMIFS(разходи!$L:$L,разходи!$E:$E,'ПП Април'!$C$49,разходи!$M:$M,'ПП Април'!V2)</f>
        <v>0</v>
      </c>
      <c r="W49" s="70">
        <f>SUMIFS(разходи!$L:$L,разходи!$E:$E,'ПП Април'!$C$49,разходи!$M:$M,'ПП Април'!W2)</f>
        <v>0</v>
      </c>
      <c r="X49" s="76">
        <f>SUMIFS(разходи!$L:$L,разходи!$E:$E,'ПП Април'!$C$49,разходи!$M:$M,'ПП Април'!X2)</f>
        <v>0</v>
      </c>
      <c r="Y49" s="76">
        <f>SUMIFS(разходи!$L:$L,разходи!$E:$E,'ПП Април'!$C$49,разходи!$M:$M,'ПП Април'!Y2)</f>
        <v>0</v>
      </c>
      <c r="Z49" s="70">
        <f>SUMIFS(разходи!$L:$L,разходи!$E:$E,'ПП Април'!$C$49,разходи!$M:$M,'ПП Април'!Z2)</f>
        <v>0</v>
      </c>
      <c r="AA49" s="74">
        <f>SUMIFS(разходи!$L:$L,разходи!$E:$E,'ПП Април'!$C$49,разходи!$M:$M,'ПП Април'!AA2)</f>
        <v>0</v>
      </c>
      <c r="AB49" s="74">
        <f>SUMIFS(разходи!$L:$L,разходи!$E:$E,'ПП Април'!$C$49,разходи!$M:$M,'ПП Април'!AB2)</f>
        <v>0</v>
      </c>
      <c r="AC49" s="70">
        <f>SUMIFS(разходи!$L:$L,разходи!$E:$E,'ПП Април'!$C$49,разходи!$M:$M,'ПП Април'!AC2)</f>
        <v>0</v>
      </c>
      <c r="AD49" s="70">
        <f>SUMIFS(разходи!$L:$L,разходи!$E:$E,'ПП Април'!$C$49,разходи!$M:$M,'ПП Април'!AD2)</f>
        <v>0</v>
      </c>
      <c r="AE49" s="76">
        <f>SUMIFS(разходи!$L:$L,разходи!$E:$E,'ПП Април'!$C$49,разходи!$M:$M,'ПП Април'!AE2)</f>
        <v>0</v>
      </c>
      <c r="AF49" s="76">
        <f>SUMIFS(разходи!$L:$L,разходи!$E:$E,'ПП Април'!$C$49,разходи!$M:$M,'ПП Април'!AF2)</f>
        <v>0</v>
      </c>
      <c r="AG49" s="70">
        <f>SUMIFS(разходи!$L:$L,разходи!$E:$E,'ПП Април'!$C$49,разходи!$M:$M,'ПП Април'!AG2)</f>
        <v>0</v>
      </c>
      <c r="AH49" s="74">
        <f>SUMIFS(разходи!$L:$L,разходи!$E:$E,'ПП Април'!$C$49,разходи!$M:$M,'ПП Април'!AH2)</f>
        <v>0</v>
      </c>
      <c r="AI49" s="61">
        <f t="shared" si="15"/>
        <v>3462.66</v>
      </c>
      <c r="AJ49" s="69">
        <f t="shared" si="16"/>
        <v>13084.821040000003</v>
      </c>
    </row>
    <row r="50" spans="1:36" s="21" customFormat="1" ht="20.100000000000001" customHeight="1" outlineLevel="2" x14ac:dyDescent="0.3">
      <c r="A50" s="27"/>
      <c r="B50" s="22"/>
      <c r="C50" s="49" t="s">
        <v>609</v>
      </c>
      <c r="D50" s="68"/>
      <c r="E50" s="59">
        <f>SUMIFS(разходи!$L:$L,разходи!$E:$E,'ПП Април'!$C$50,разходи!$M:$M,'ПП Април'!E2)</f>
        <v>0</v>
      </c>
      <c r="F50" s="74">
        <f>SUMIFS(разходи!$L:$L,разходи!$E:$E,'ПП Април'!$C$50,разходи!$M:$M,'ПП Април'!F2)</f>
        <v>0</v>
      </c>
      <c r="G50" s="74">
        <f>SUMIFS(разходи!$L:$L,разходи!$E:$E,'ПП Април'!$C$50,разходи!$M:$M,'ПП Април'!G2)</f>
        <v>0</v>
      </c>
      <c r="H50" s="74">
        <f>SUMIFS(разходи!$L:$L,разходи!$E:$E,'ПП Април'!$C$50,разходи!$M:$M,'ПП Април'!H2)</f>
        <v>0</v>
      </c>
      <c r="I50" s="70">
        <f>SUMIFS(разходи!$L:$L,разходи!$E:$E,'ПП Април'!$C$50,разходи!$M:$M,'ПП Април'!I2)</f>
        <v>0</v>
      </c>
      <c r="J50" s="76">
        <f>SUMIFS(разходи!$L:$L,разходи!$E:$E,'ПП Април'!$C$50,разходи!$M:$M,'ПП Април'!J2)</f>
        <v>0</v>
      </c>
      <c r="K50" s="76">
        <f>SUMIFS(разходи!$L:$L,разходи!$E:$E,'ПП Април'!$C$50,разходи!$M:$M,'ПП Април'!K2)</f>
        <v>0</v>
      </c>
      <c r="L50" s="70">
        <f>SUMIFS(разходи!$L:$L,разходи!$E:$E,'ПП Април'!$C$50,разходи!$M:$M,'ПП Април'!L2)</f>
        <v>0</v>
      </c>
      <c r="M50" s="74">
        <f>SUMIFS(разходи!$L:$L,разходи!$E:$E,'ПП Април'!$C$50,разходи!$M:$M,'ПП Април'!M2)</f>
        <v>0</v>
      </c>
      <c r="N50" s="74">
        <f>SUMIFS(разходи!$L:$L,разходи!$E:$E,'ПП Април'!$C$50,разходи!$M:$M,'ПП Април'!N2)</f>
        <v>0</v>
      </c>
      <c r="O50" s="70">
        <f>SUMIFS(разходи!$L:$L,разходи!$E:$E,'ПП Април'!$C$50,разходи!$M:$M,'ПП Април'!O2)</f>
        <v>0</v>
      </c>
      <c r="P50" s="70">
        <f>SUMIFS(разходи!$L:$L,разходи!$E:$E,'ПП Април'!$C$50,разходи!$M:$M,'ПП Април'!P2)</f>
        <v>0</v>
      </c>
      <c r="Q50" s="76">
        <f>SUMIFS(разходи!$L:$L,разходи!$E:$E,'ПП Април'!$C$50,разходи!$M:$M,'ПП Април'!Q2)</f>
        <v>0</v>
      </c>
      <c r="R50" s="76">
        <f>SUMIFS(разходи!$L:$L,разходи!$E:$E,'ПП Април'!$C$50,разходи!$M:$M,'ПП Април'!R2)</f>
        <v>0</v>
      </c>
      <c r="S50" s="70">
        <f>SUMIFS(разходи!$L:$L,разходи!$E:$E,'ПП Април'!$C$50,разходи!$M:$M,'ПП Април'!S2)</f>
        <v>0</v>
      </c>
      <c r="T50" s="74">
        <f>SUMIFS(разходи!$L:$L,разходи!$E:$E,'ПП Април'!$C$50,разходи!$M:$M,'ПП Април'!T2)</f>
        <v>0</v>
      </c>
      <c r="U50" s="74">
        <f>SUMIFS(разходи!$L:$L,разходи!$E:$E,'ПП Април'!$C$50,разходи!$M:$M,'ПП Април'!U2)</f>
        <v>0</v>
      </c>
      <c r="V50" s="70">
        <f>SUMIFS(разходи!$L:$L,разходи!$E:$E,'ПП Април'!$C$50,разходи!$M:$M,'ПП Април'!V2)</f>
        <v>0</v>
      </c>
      <c r="W50" s="70">
        <f>SUMIFS(разходи!$L:$L,разходи!$E:$E,'ПП Април'!$C$50,разходи!$M:$M,'ПП Април'!W2)</f>
        <v>0</v>
      </c>
      <c r="X50" s="76">
        <f>SUMIFS(разходи!$L:$L,разходи!$E:$E,'ПП Април'!$C$50,разходи!$M:$M,'ПП Април'!X2)</f>
        <v>0</v>
      </c>
      <c r="Y50" s="76">
        <f>SUMIFS(разходи!$L:$L,разходи!$E:$E,'ПП Април'!$C$50,разходи!$M:$M,'ПП Април'!Y2)</f>
        <v>0</v>
      </c>
      <c r="Z50" s="70">
        <f>SUMIFS(разходи!$L:$L,разходи!$E:$E,'ПП Април'!$C$50,разходи!$M:$M,'ПП Април'!Z2)</f>
        <v>0</v>
      </c>
      <c r="AA50" s="74">
        <f>SUMIFS(разходи!$L:$L,разходи!$E:$E,'ПП Април'!$C$50,разходи!$M:$M,'ПП Април'!AA2)</f>
        <v>0</v>
      </c>
      <c r="AB50" s="74">
        <f>SUMIFS(разходи!$L:$L,разходи!$E:$E,'ПП Април'!$C$50,разходи!$M:$M,'ПП Април'!AB2)</f>
        <v>0</v>
      </c>
      <c r="AC50" s="70">
        <f>SUMIFS(разходи!$L:$L,разходи!$E:$E,'ПП Април'!$C$50,разходи!$M:$M,'ПП Април'!AC2)</f>
        <v>0</v>
      </c>
      <c r="AD50" s="70">
        <f>SUMIFS(разходи!$L:$L,разходи!$E:$E,'ПП Април'!$C$50,разходи!$M:$M,'ПП Април'!AD2)</f>
        <v>0</v>
      </c>
      <c r="AE50" s="76">
        <f>SUMIFS(разходи!$L:$L,разходи!$E:$E,'ПП Април'!$C$50,разходи!$M:$M,'ПП Април'!AE2)</f>
        <v>0</v>
      </c>
      <c r="AF50" s="76">
        <f>SUMIFS(разходи!$L:$L,разходи!$E:$E,'ПП Април'!$C$50,разходи!$M:$M,'ПП Април'!AF2)</f>
        <v>0</v>
      </c>
      <c r="AG50" s="70">
        <f>SUMIFS(разходи!$L:$L,разходи!$E:$E,'ПП Април'!$C$50,разходи!$M:$M,'ПП Април'!AG2)</f>
        <v>0</v>
      </c>
      <c r="AH50" s="74">
        <f>SUMIFS(разходи!$L:$L,разходи!$E:$E,'ПП Април'!$C$50,разходи!$M:$M,'ПП Април'!AH2)</f>
        <v>0</v>
      </c>
      <c r="AI50" s="61">
        <f t="shared" si="15"/>
        <v>0</v>
      </c>
      <c r="AJ50" s="69">
        <f t="shared" si="16"/>
        <v>0</v>
      </c>
    </row>
    <row r="51" spans="1:36" s="21" customFormat="1" ht="20.100000000000001" customHeight="1" outlineLevel="2" x14ac:dyDescent="0.3">
      <c r="A51" s="27"/>
      <c r="B51" s="22"/>
      <c r="C51" s="49" t="s">
        <v>450</v>
      </c>
      <c r="D51" s="68"/>
      <c r="E51" s="59">
        <f>SUMIFS(разходи!$L:$L,разходи!$E:$E,'ПП Април'!$C$51,разходи!$M:$M,'ПП Април'!E2)</f>
        <v>0</v>
      </c>
      <c r="F51" s="74">
        <f>SUMIFS(разходи!$L:$L,разходи!$E:$E,'ПП Април'!$C$51,разходи!$M:$M,'ПП Април'!F2)</f>
        <v>0</v>
      </c>
      <c r="G51" s="74">
        <f>SUMIFS(разходи!$L:$L,разходи!$E:$E,'ПП Април'!$C$51,разходи!$M:$M,'ПП Април'!G2)</f>
        <v>0</v>
      </c>
      <c r="H51" s="74">
        <f>SUMIFS(разходи!$L:$L,разходи!$E:$E,'ПП Април'!$C$51,разходи!$M:$M,'ПП Април'!H2)</f>
        <v>0</v>
      </c>
      <c r="I51" s="70">
        <f>SUMIFS(разходи!$L:$L,разходи!$E:$E,'ПП Април'!$C$51,разходи!$M:$M,'ПП Април'!I2)</f>
        <v>0</v>
      </c>
      <c r="J51" s="76">
        <f>SUMIFS(разходи!$L:$L,разходи!$E:$E,'ПП Април'!$C$51,разходи!$M:$M,'ПП Април'!J2)</f>
        <v>0</v>
      </c>
      <c r="K51" s="76">
        <f>SUMIFS(разходи!$L:$L,разходи!$E:$E,'ПП Април'!$C$51,разходи!$M:$M,'ПП Април'!K2)</f>
        <v>0</v>
      </c>
      <c r="L51" s="70">
        <f>SUMIFS(разходи!$L:$L,разходи!$E:$E,'ПП Април'!$C$51,разходи!$M:$M,'ПП Април'!L2)</f>
        <v>0</v>
      </c>
      <c r="M51" s="74">
        <f>SUMIFS(разходи!$L:$L,разходи!$E:$E,'ПП Април'!$C$51,разходи!$M:$M,'ПП Април'!M2)</f>
        <v>0</v>
      </c>
      <c r="N51" s="74">
        <f>SUMIFS(разходи!$L:$L,разходи!$E:$E,'ПП Април'!$C$51,разходи!$M:$M,'ПП Април'!N2)</f>
        <v>0</v>
      </c>
      <c r="O51" s="70">
        <f>SUMIFS(разходи!$L:$L,разходи!$E:$E,'ПП Април'!$C$51,разходи!$M:$M,'ПП Април'!O2)</f>
        <v>0</v>
      </c>
      <c r="P51" s="70">
        <f>SUMIFS(разходи!$L:$L,разходи!$E:$E,'ПП Април'!$C$51,разходи!$M:$M,'ПП Април'!P2)</f>
        <v>0</v>
      </c>
      <c r="Q51" s="76">
        <f>SUMIFS(разходи!$L:$L,разходи!$E:$E,'ПП Април'!$C$51,разходи!$M:$M,'ПП Април'!Q2)</f>
        <v>0</v>
      </c>
      <c r="R51" s="76">
        <f>SUMIFS(разходи!$L:$L,разходи!$E:$E,'ПП Април'!$C$51,разходи!$M:$M,'ПП Април'!R2)</f>
        <v>0</v>
      </c>
      <c r="S51" s="70">
        <f>SUMIFS(разходи!$L:$L,разходи!$E:$E,'ПП Април'!$C$51,разходи!$M:$M,'ПП Април'!S2)</f>
        <v>0</v>
      </c>
      <c r="T51" s="74">
        <f>SUMIFS(разходи!$L:$L,разходи!$E:$E,'ПП Април'!$C$51,разходи!$M:$M,'ПП Април'!T2)</f>
        <v>0</v>
      </c>
      <c r="U51" s="74">
        <f>SUMIFS(разходи!$L:$L,разходи!$E:$E,'ПП Април'!$C$51,разходи!$M:$M,'ПП Април'!U2)</f>
        <v>0</v>
      </c>
      <c r="V51" s="70">
        <f>SUMIFS(разходи!$L:$L,разходи!$E:$E,'ПП Април'!$C$51,разходи!$M:$M,'ПП Април'!V2)</f>
        <v>0</v>
      </c>
      <c r="W51" s="70">
        <f>SUMIFS(разходи!$L:$L,разходи!$E:$E,'ПП Април'!$C$51,разходи!$M:$M,'ПП Април'!W2)</f>
        <v>0</v>
      </c>
      <c r="X51" s="76">
        <f>SUMIFS(разходи!$L:$L,разходи!$E:$E,'ПП Април'!$C$51,разходи!$M:$M,'ПП Април'!X2)</f>
        <v>0</v>
      </c>
      <c r="Y51" s="76">
        <f>SUMIFS(разходи!$L:$L,разходи!$E:$E,'ПП Април'!$C$51,разходи!$M:$M,'ПП Април'!Y2)</f>
        <v>0</v>
      </c>
      <c r="Z51" s="70">
        <f>SUMIFS(разходи!$L:$L,разходи!$E:$E,'ПП Април'!$C$51,разходи!$M:$M,'ПП Април'!Z2)</f>
        <v>0</v>
      </c>
      <c r="AA51" s="74">
        <f>SUMIFS(разходи!$L:$L,разходи!$E:$E,'ПП Април'!$C$51,разходи!$M:$M,'ПП Април'!AA2)</f>
        <v>0</v>
      </c>
      <c r="AB51" s="74">
        <f>SUMIFS(разходи!$L:$L,разходи!$E:$E,'ПП Април'!$C$51,разходи!$M:$M,'ПП Април'!AB2)</f>
        <v>0</v>
      </c>
      <c r="AC51" s="70">
        <f>SUMIFS(разходи!$L:$L,разходи!$E:$E,'ПП Април'!$C$51,разходи!$M:$M,'ПП Април'!AC2)</f>
        <v>0</v>
      </c>
      <c r="AD51" s="70">
        <f>SUMIFS(разходи!$L:$L,разходи!$E:$E,'ПП Април'!$C$51,разходи!$M:$M,'ПП Април'!AD2)</f>
        <v>0</v>
      </c>
      <c r="AE51" s="76">
        <f>SUMIFS(разходи!$L:$L,разходи!$E:$E,'ПП Април'!$C$51,разходи!$M:$M,'ПП Април'!AE2)</f>
        <v>0</v>
      </c>
      <c r="AF51" s="76">
        <f>SUMIFS(разходи!$L:$L,разходи!$E:$E,'ПП Април'!$C$51,разходи!$M:$M,'ПП Април'!AF2)</f>
        <v>0</v>
      </c>
      <c r="AG51" s="70">
        <f>SUMIFS(разходи!$L:$L,разходи!$E:$E,'ПП Април'!$C$51,разходи!$M:$M,'ПП Април'!AG2)</f>
        <v>0</v>
      </c>
      <c r="AH51" s="74">
        <f>SUMIFS(разходи!$L:$L,разходи!$E:$E,'ПП Април'!$C$51,разходи!$M:$M,'ПП Април'!AH2)</f>
        <v>0</v>
      </c>
      <c r="AI51" s="61">
        <f t="shared" si="15"/>
        <v>0</v>
      </c>
      <c r="AJ51" s="69">
        <f t="shared" si="16"/>
        <v>0</v>
      </c>
    </row>
    <row r="52" spans="1:36" s="21" customFormat="1" ht="20.100000000000001" customHeight="1" outlineLevel="2" x14ac:dyDescent="0.3">
      <c r="A52" s="27"/>
      <c r="B52" s="22"/>
      <c r="C52" s="49" t="s">
        <v>867</v>
      </c>
      <c r="D52" s="68"/>
      <c r="E52" s="59">
        <f>SUMIFS(разходи!$L:$L,разходи!$E:$E,'ПП Април'!$C$52,разходи!$M:$M,'ПП Април'!E2)</f>
        <v>0</v>
      </c>
      <c r="F52" s="74">
        <f>SUMIFS(разходи!$L:$L,разходи!$E:$E,'ПП Април'!$C$52,разходи!$M:$M,'ПП Април'!F2)</f>
        <v>0</v>
      </c>
      <c r="G52" s="74">
        <f>SUMIFS(разходи!$L:$L,разходи!$E:$E,'ПП Април'!$C$52,разходи!$M:$M,'ПП Април'!G2)</f>
        <v>0</v>
      </c>
      <c r="H52" s="74">
        <f>SUMIFS(разходи!$L:$L,разходи!$E:$E,'ПП Април'!$C$52,разходи!$M:$M,'ПП Април'!H2)</f>
        <v>0</v>
      </c>
      <c r="I52" s="70">
        <f>SUMIFS(разходи!$L:$L,разходи!$E:$E,'ПП Април'!$C$52,разходи!$M:$M,'ПП Април'!I2)</f>
        <v>0</v>
      </c>
      <c r="J52" s="76">
        <f>SUMIFS(разходи!$L:$L,разходи!$E:$E,'ПП Април'!$C$52,разходи!$M:$M,'ПП Април'!J2)</f>
        <v>0</v>
      </c>
      <c r="K52" s="76">
        <f>SUMIFS(разходи!$L:$L,разходи!$E:$E,'ПП Април'!$C$52,разходи!$M:$M,'ПП Април'!K2)</f>
        <v>0</v>
      </c>
      <c r="L52" s="70">
        <f>SUMIFS(разходи!$L:$L,разходи!$E:$E,'ПП Април'!$C$52,разходи!$M:$M,'ПП Април'!L2)</f>
        <v>0</v>
      </c>
      <c r="M52" s="74">
        <f>SUMIFS(разходи!$L:$L,разходи!$E:$E,'ПП Април'!$C$52,разходи!$M:$M,'ПП Април'!M2)</f>
        <v>0</v>
      </c>
      <c r="N52" s="74">
        <f>SUMIFS(разходи!$L:$L,разходи!$E:$E,'ПП Април'!$C$52,разходи!$M:$M,'ПП Април'!N2)</f>
        <v>0</v>
      </c>
      <c r="O52" s="70">
        <f>SUMIFS(разходи!$L:$L,разходи!$E:$E,'ПП Април'!$C$52,разходи!$M:$M,'ПП Април'!O2)</f>
        <v>0</v>
      </c>
      <c r="P52" s="70">
        <f>SUMIFS(разходи!$L:$L,разходи!$E:$E,'ПП Април'!$C$52,разходи!$M:$M,'ПП Април'!P2)</f>
        <v>0</v>
      </c>
      <c r="Q52" s="76">
        <f>SUMIFS(разходи!$L:$L,разходи!$E:$E,'ПП Април'!$C$52,разходи!$M:$M,'ПП Април'!Q2)</f>
        <v>0</v>
      </c>
      <c r="R52" s="76">
        <f>SUMIFS(разходи!$L:$L,разходи!$E:$E,'ПП Април'!$C$52,разходи!$M:$M,'ПП Април'!R2)</f>
        <v>0</v>
      </c>
      <c r="S52" s="70">
        <f>SUMIFS(разходи!$L:$L,разходи!$E:$E,'ПП Април'!$C$52,разходи!$M:$M,'ПП Април'!S2)</f>
        <v>0</v>
      </c>
      <c r="T52" s="74">
        <f>SUMIFS(разходи!$L:$L,разходи!$E:$E,'ПП Април'!$C$52,разходи!$M:$M,'ПП Април'!T2)</f>
        <v>0</v>
      </c>
      <c r="U52" s="74">
        <f>SUMIFS(разходи!$L:$L,разходи!$E:$E,'ПП Април'!$C$52,разходи!$M:$M,'ПП Април'!U2)</f>
        <v>0</v>
      </c>
      <c r="V52" s="70">
        <f>SUMIFS(разходи!$L:$L,разходи!$E:$E,'ПП Април'!$C$52,разходи!$M:$M,'ПП Април'!V2)</f>
        <v>0</v>
      </c>
      <c r="W52" s="70">
        <f>SUMIFS(разходи!$L:$L,разходи!$E:$E,'ПП Април'!$C$52,разходи!$M:$M,'ПП Април'!W2)</f>
        <v>0</v>
      </c>
      <c r="X52" s="76">
        <f>SUMIFS(разходи!$L:$L,разходи!$E:$E,'ПП Април'!$C$52,разходи!$M:$M,'ПП Април'!X2)</f>
        <v>0</v>
      </c>
      <c r="Y52" s="76">
        <f>SUMIFS(разходи!$L:$L,разходи!$E:$E,'ПП Април'!$C$52,разходи!$M:$M,'ПП Април'!Y2)</f>
        <v>0</v>
      </c>
      <c r="Z52" s="70">
        <f>SUMIFS(разходи!$L:$L,разходи!$E:$E,'ПП Април'!$C$52,разходи!$M:$M,'ПП Април'!Z2)</f>
        <v>0</v>
      </c>
      <c r="AA52" s="74">
        <f>SUMIFS(разходи!$L:$L,разходи!$E:$E,'ПП Април'!$C$52,разходи!$M:$M,'ПП Април'!AA2)</f>
        <v>0</v>
      </c>
      <c r="AB52" s="74">
        <f>SUMIFS(разходи!$L:$L,разходи!$E:$E,'ПП Април'!$C$52,разходи!$M:$M,'ПП Април'!AB2)</f>
        <v>0</v>
      </c>
      <c r="AC52" s="70">
        <f>SUMIFS(разходи!$L:$L,разходи!$E:$E,'ПП Април'!$C$52,разходи!$M:$M,'ПП Април'!AC2)</f>
        <v>0</v>
      </c>
      <c r="AD52" s="70">
        <f>SUMIFS(разходи!$L:$L,разходи!$E:$E,'ПП Април'!$C$52,разходи!$M:$M,'ПП Април'!AD2)</f>
        <v>0</v>
      </c>
      <c r="AE52" s="76">
        <f>SUMIFS(разходи!$L:$L,разходи!$E:$E,'ПП Април'!$C$52,разходи!$M:$M,'ПП Април'!AE2)</f>
        <v>0</v>
      </c>
      <c r="AF52" s="76">
        <f>SUMIFS(разходи!$L:$L,разходи!$E:$E,'ПП Април'!$C$52,разходи!$M:$M,'ПП Април'!AF2)</f>
        <v>0</v>
      </c>
      <c r="AG52" s="70">
        <f>SUMIFS(разходи!$L:$L,разходи!$E:$E,'ПП Април'!$C$52,разходи!$M:$M,'ПП Април'!AG2)</f>
        <v>0</v>
      </c>
      <c r="AH52" s="74">
        <f>SUMIFS(разходи!$L:$L,разходи!$E:$E,'ПП Април'!$C$52,разходи!$M:$M,'ПП Април'!AH2)</f>
        <v>0</v>
      </c>
      <c r="AI52" s="61">
        <f t="shared" si="15"/>
        <v>0</v>
      </c>
      <c r="AJ52" s="69">
        <f t="shared" si="16"/>
        <v>0</v>
      </c>
    </row>
    <row r="53" spans="1:36" s="21" customFormat="1" ht="20.100000000000001" customHeight="1" outlineLevel="1" x14ac:dyDescent="0.3">
      <c r="A53" s="27"/>
      <c r="B53" s="22"/>
      <c r="C53" s="8" t="s">
        <v>868</v>
      </c>
      <c r="D53" s="68"/>
      <c r="E53" s="59">
        <f>SUMIFS(разходи!$L:$L,разходи!$E:$E,'ПП Април'!$C$57,разходи!$M:$M,'ПП Април'!E2)</f>
        <v>0</v>
      </c>
      <c r="F53" s="74">
        <f>SUMIFS(разходи!$L:$L,разходи!$E:$E,'ПП Април'!$C$57,разходи!$M:$M,'ПП Април'!F2)</f>
        <v>0</v>
      </c>
      <c r="G53" s="74">
        <f>SUMIFS(разходи!$L:$L,разходи!$E:$E,'ПП Април'!$C$57,разходи!$M:$M,'ПП Април'!G2)</f>
        <v>0</v>
      </c>
      <c r="H53" s="74">
        <f>SUMIFS(разходи!$L:$L,разходи!$E:$E,'ПП Април'!$C$57,разходи!$M:$M,'ПП Април'!H2)</f>
        <v>0</v>
      </c>
      <c r="I53" s="70">
        <f>SUMIFS(разходи!$L:$L,разходи!$E:$E,'ПП Април'!$C$57,разходи!$M:$M,'ПП Април'!I2)</f>
        <v>0</v>
      </c>
      <c r="J53" s="76">
        <f>SUMIFS(разходи!$L:$L,разходи!$E:$E,'ПП Април'!$C$57,разходи!$M:$M,'ПП Април'!J2)</f>
        <v>0</v>
      </c>
      <c r="K53" s="76">
        <f>SUMIFS(разходи!$L:$L,разходи!$E:$E,'ПП Април'!$C$57,разходи!$M:$M,'ПП Април'!K2)</f>
        <v>0</v>
      </c>
      <c r="L53" s="70">
        <f>SUMIFS(разходи!$L:$L,разходи!$E:$E,'ПП Април'!$C$57,разходи!$M:$M,'ПП Април'!L2)</f>
        <v>0</v>
      </c>
      <c r="M53" s="74">
        <f>SUMIFS(разходи!$L:$L,разходи!$E:$E,'ПП Април'!$C$57,разходи!$M:$M,'ПП Април'!M2)</f>
        <v>0</v>
      </c>
      <c r="N53" s="74">
        <f>SUMIFS(разходи!$L:$L,разходи!$E:$E,'ПП Април'!$C$57,разходи!$M:$M,'ПП Април'!N2)</f>
        <v>0</v>
      </c>
      <c r="O53" s="70">
        <f>SUMIFS(разходи!$L:$L,разходи!$E:$E,'ПП Април'!$C$57,разходи!$M:$M,'ПП Април'!O2)</f>
        <v>0</v>
      </c>
      <c r="P53" s="70">
        <f>SUMIFS(разходи!$L:$L,разходи!$E:$E,'ПП Април'!$C$57,разходи!$M:$M,'ПП Април'!P2)</f>
        <v>0</v>
      </c>
      <c r="Q53" s="76">
        <f>SUMIFS(разходи!$L:$L,разходи!$E:$E,'ПП Април'!$C$57,разходи!$M:$M,'ПП Април'!Q2)</f>
        <v>0</v>
      </c>
      <c r="R53" s="76">
        <f>SUMIFS(разходи!$L:$L,разходи!$E:$E,'ПП Април'!$C$57,разходи!$M:$M,'ПП Април'!R2)</f>
        <v>0</v>
      </c>
      <c r="S53" s="70">
        <f>SUMIFS(разходи!$L:$L,разходи!$E:$E,'ПП Април'!$C$57,разходи!$M:$M,'ПП Април'!S2)</f>
        <v>0</v>
      </c>
      <c r="T53" s="74">
        <f>SUMIFS(разходи!$L:$L,разходи!$E:$E,'ПП Април'!$C$57,разходи!$M:$M,'ПП Април'!T2)</f>
        <v>0</v>
      </c>
      <c r="U53" s="74">
        <f>SUMIFS(разходи!$L:$L,разходи!$E:$E,'ПП Април'!$C$57,разходи!$M:$M,'ПП Април'!U2)</f>
        <v>0</v>
      </c>
      <c r="V53" s="70">
        <f>SUMIFS(разходи!$L:$L,разходи!$E:$E,'ПП Април'!$C$57,разходи!$M:$M,'ПП Април'!V2)</f>
        <v>0</v>
      </c>
      <c r="W53" s="70">
        <f>SUMIFS(разходи!$L:$L,разходи!$E:$E,'ПП Април'!$C$57,разходи!$M:$M,'ПП Април'!W2)</f>
        <v>0</v>
      </c>
      <c r="X53" s="76">
        <f>SUMIFS(разходи!$L:$L,разходи!$E:$E,'ПП Април'!$C$57,разходи!$M:$M,'ПП Април'!X2)</f>
        <v>0</v>
      </c>
      <c r="Y53" s="76">
        <f>SUMIFS(разходи!$L:$L,разходи!$E:$E,'ПП Април'!$C$57,разходи!$M:$M,'ПП Април'!Y2)</f>
        <v>0</v>
      </c>
      <c r="Z53" s="70">
        <f>SUMIFS(разходи!$L:$L,разходи!$E:$E,'ПП Април'!$C$57,разходи!$M:$M,'ПП Април'!Z2)</f>
        <v>0</v>
      </c>
      <c r="AA53" s="74">
        <f>SUMIFS(разходи!$L:$L,разходи!$E:$E,'ПП Април'!$C$57,разходи!$M:$M,'ПП Април'!AA2)</f>
        <v>0</v>
      </c>
      <c r="AB53" s="74">
        <f>SUMIFS(разходи!$L:$L,разходи!$E:$E,'ПП Април'!$C$57,разходи!$M:$M,'ПП Април'!AB2)</f>
        <v>0</v>
      </c>
      <c r="AC53" s="70">
        <f>SUMIFS(разходи!$L:$L,разходи!$E:$E,'ПП Април'!$C$57,разходи!$M:$M,'ПП Април'!AC2)</f>
        <v>0</v>
      </c>
      <c r="AD53" s="70">
        <f>SUMIFS(разходи!$L:$L,разходи!$E:$E,'ПП Април'!$C$57,разходи!$M:$M,'ПП Април'!AD2)</f>
        <v>0</v>
      </c>
      <c r="AE53" s="76">
        <f>SUMIFS(разходи!$L:$L,разходи!$E:$E,'ПП Април'!$C$57,разходи!$M:$M,'ПП Април'!AE2)</f>
        <v>0</v>
      </c>
      <c r="AF53" s="76">
        <f>SUMIFS(разходи!$L:$L,разходи!$E:$E,'ПП Април'!$C$57,разходи!$M:$M,'ПП Април'!AF2)</f>
        <v>0</v>
      </c>
      <c r="AG53" s="70">
        <f>SUMIFS(разходи!$L:$L,разходи!$E:$E,'ПП Април'!$C$57,разходи!$M:$M,'ПП Април'!AG2)</f>
        <v>0</v>
      </c>
      <c r="AH53" s="74">
        <f>SUMIFS(разходи!$L:$L,разходи!$E:$E,'ПП Април'!$C$57,разходи!$M:$M,'ПП Април'!AH2)</f>
        <v>0</v>
      </c>
      <c r="AI53" s="61">
        <f t="shared" si="15"/>
        <v>0</v>
      </c>
      <c r="AJ53" s="69">
        <f t="shared" si="16"/>
        <v>0</v>
      </c>
    </row>
    <row r="54" spans="1:36" s="53" customFormat="1" ht="20.100000000000001" customHeight="1" outlineLevel="2" x14ac:dyDescent="0.3">
      <c r="A54" s="51"/>
      <c r="B54" s="52"/>
      <c r="C54" s="49" t="s">
        <v>869</v>
      </c>
      <c r="D54" s="68"/>
      <c r="E54" s="59">
        <f>SUMIFS(разходи!$L:$L,разходи!$E:$E,'ПП Април'!$C$54,разходи!$M:$M,'ПП Април'!E2)</f>
        <v>0</v>
      </c>
      <c r="F54" s="74">
        <f>SUMIFS(разходи!$L:$L,разходи!$E:$E,'ПП Април'!$C$54,разходи!$M:$M,'ПП Април'!F2)</f>
        <v>0</v>
      </c>
      <c r="G54" s="74">
        <f>SUMIFS(разходи!$L:$L,разходи!$E:$E,'ПП Април'!$C$54,разходи!$M:$M,'ПП Април'!G2)</f>
        <v>0</v>
      </c>
      <c r="H54" s="74">
        <f>SUMIFS(разходи!$L:$L,разходи!$E:$E,'ПП Април'!$C$54,разходи!$M:$M,'ПП Април'!H2)</f>
        <v>0</v>
      </c>
      <c r="I54" s="70">
        <f>SUMIFS(разходи!$L:$L,разходи!$E:$E,'ПП Април'!$C$54,разходи!$M:$M,'ПП Април'!I2)</f>
        <v>0</v>
      </c>
      <c r="J54" s="76">
        <f>SUMIFS(разходи!$L:$L,разходи!$E:$E,'ПП Април'!$C$54,разходи!$M:$M,'ПП Април'!J2)</f>
        <v>0</v>
      </c>
      <c r="K54" s="76">
        <f>SUMIFS(разходи!$L:$L,разходи!$E:$E,'ПП Април'!$C$54,разходи!$M:$M,'ПП Април'!K2)</f>
        <v>0</v>
      </c>
      <c r="L54" s="70">
        <f>SUMIFS(разходи!$L:$L,разходи!$E:$E,'ПП Април'!$C$54,разходи!$M:$M,'ПП Април'!L2)</f>
        <v>0</v>
      </c>
      <c r="M54" s="74">
        <f>SUMIFS(разходи!$L:$L,разходи!$E:$E,'ПП Април'!$C$54,разходи!$M:$M,'ПП Април'!M2)</f>
        <v>0</v>
      </c>
      <c r="N54" s="74">
        <f>SUMIFS(разходи!$L:$L,разходи!$E:$E,'ПП Април'!$C$54,разходи!$M:$M,'ПП Април'!N2)</f>
        <v>0</v>
      </c>
      <c r="O54" s="70">
        <f>SUMIFS(разходи!$L:$L,разходи!$E:$E,'ПП Април'!$C$54,разходи!$M:$M,'ПП Април'!O2)</f>
        <v>0</v>
      </c>
      <c r="P54" s="70">
        <f>SUMIFS(разходи!$L:$L,разходи!$E:$E,'ПП Април'!$C$54,разходи!$M:$M,'ПП Април'!P2)</f>
        <v>0</v>
      </c>
      <c r="Q54" s="76">
        <f>SUMIFS(разходи!$L:$L,разходи!$E:$E,'ПП Април'!$C$54,разходи!$M:$M,'ПП Април'!Q2)</f>
        <v>0</v>
      </c>
      <c r="R54" s="76">
        <f>SUMIFS(разходи!$L:$L,разходи!$E:$E,'ПП Април'!$C$54,разходи!$M:$M,'ПП Април'!R2)</f>
        <v>0</v>
      </c>
      <c r="S54" s="70">
        <f>SUMIFS(разходи!$L:$L,разходи!$E:$E,'ПП Април'!$C$54,разходи!$M:$M,'ПП Април'!S2)</f>
        <v>0</v>
      </c>
      <c r="T54" s="74">
        <f>SUMIFS(разходи!$L:$L,разходи!$E:$E,'ПП Април'!$C$54,разходи!$M:$M,'ПП Април'!T2)</f>
        <v>0</v>
      </c>
      <c r="U54" s="74">
        <f>SUMIFS(разходи!$L:$L,разходи!$E:$E,'ПП Април'!$C$54,разходи!$M:$M,'ПП Април'!U2)</f>
        <v>0</v>
      </c>
      <c r="V54" s="70">
        <f>SUMIFS(разходи!$L:$L,разходи!$E:$E,'ПП Април'!$C$54,разходи!$M:$M,'ПП Април'!V2)</f>
        <v>0</v>
      </c>
      <c r="W54" s="70">
        <f>SUMIFS(разходи!$L:$L,разходи!$E:$E,'ПП Април'!$C$54,разходи!$M:$M,'ПП Април'!W2)</f>
        <v>0</v>
      </c>
      <c r="X54" s="76">
        <f>SUMIFS(разходи!$L:$L,разходи!$E:$E,'ПП Април'!$C$54,разходи!$M:$M,'ПП Април'!X2)</f>
        <v>0</v>
      </c>
      <c r="Y54" s="76">
        <f>SUMIFS(разходи!$L:$L,разходи!$E:$E,'ПП Април'!$C$54,разходи!$M:$M,'ПП Април'!Y2)</f>
        <v>0</v>
      </c>
      <c r="Z54" s="70">
        <f>SUMIFS(разходи!$L:$L,разходи!$E:$E,'ПП Април'!$C$54,разходи!$M:$M,'ПП Април'!Z2)</f>
        <v>0</v>
      </c>
      <c r="AA54" s="74">
        <f>SUMIFS(разходи!$L:$L,разходи!$E:$E,'ПП Април'!$C$54,разходи!$M:$M,'ПП Април'!AA2)</f>
        <v>0</v>
      </c>
      <c r="AB54" s="74">
        <f>SUMIFS(разходи!$L:$L,разходи!$E:$E,'ПП Април'!$C$54,разходи!$M:$M,'ПП Април'!AB2)</f>
        <v>0</v>
      </c>
      <c r="AC54" s="70">
        <f>SUMIFS(разходи!$L:$L,разходи!$E:$E,'ПП Април'!$C$54,разходи!$M:$M,'ПП Април'!AC2)</f>
        <v>0</v>
      </c>
      <c r="AD54" s="70">
        <f>SUMIFS(разходи!$L:$L,разходи!$E:$E,'ПП Април'!$C$54,разходи!$M:$M,'ПП Април'!AD2)</f>
        <v>0</v>
      </c>
      <c r="AE54" s="76">
        <f>SUMIFS(разходи!$L:$L,разходи!$E:$E,'ПП Април'!$C$54,разходи!$M:$M,'ПП Април'!AE2)</f>
        <v>0</v>
      </c>
      <c r="AF54" s="76">
        <f>SUMIFS(разходи!$L:$L,разходи!$E:$E,'ПП Април'!$C$54,разходи!$M:$M,'ПП Април'!AF2)</f>
        <v>0</v>
      </c>
      <c r="AG54" s="70">
        <f>SUMIFS(разходи!$L:$L,разходи!$E:$E,'ПП Април'!$C$54,разходи!$M:$M,'ПП Април'!AG2)</f>
        <v>0</v>
      </c>
      <c r="AH54" s="74">
        <f>SUMIFS(разходи!$L:$L,разходи!$E:$E,'ПП Април'!$C$54,разходи!$M:$M,'ПП Април'!AH2)</f>
        <v>0</v>
      </c>
      <c r="AI54" s="61">
        <f t="shared" si="15"/>
        <v>0</v>
      </c>
      <c r="AJ54" s="69">
        <f t="shared" si="16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68">
        <v>3000</v>
      </c>
      <c r="E55" s="59">
        <f>SUMIFS(разходи!$L:$L,разходи!$E:$E,'ПП Април'!$C$55,разходи!$M:$M,'ПП Април'!E2)</f>
        <v>0</v>
      </c>
      <c r="F55" s="74">
        <f>SUMIFS(разходи!$L:$L,разходи!$E:$E,'ПП Април'!$C$55,разходи!$M:$M,'ПП Април'!F2)</f>
        <v>0</v>
      </c>
      <c r="G55" s="74">
        <f>SUMIFS(разходи!$L:$L,разходи!$E:$E,'ПП Април'!$C$55,разходи!$M:$M,'ПП Април'!G2)</f>
        <v>0</v>
      </c>
      <c r="H55" s="74">
        <f>SUMIFS(разходи!$L:$L,разходи!$E:$E,'ПП Април'!$C$55,разходи!$M:$M,'ПП Април'!H2)</f>
        <v>0</v>
      </c>
      <c r="I55" s="70">
        <f>SUMIFS(разходи!$L:$L,разходи!$E:$E,'ПП Април'!$C$55,разходи!$M:$M,'ПП Април'!I2)</f>
        <v>0</v>
      </c>
      <c r="J55" s="76">
        <f>SUMIFS(разходи!$L:$L,разходи!$E:$E,'ПП Април'!$C$55,разходи!$M:$M,'ПП Април'!J2)</f>
        <v>0</v>
      </c>
      <c r="K55" s="76">
        <f>SUMIFS(разходи!$L:$L,разходи!$E:$E,'ПП Април'!$C$55,разходи!$M:$M,'ПП Април'!K2)</f>
        <v>0</v>
      </c>
      <c r="L55" s="70">
        <f>SUMIFS(разходи!$L:$L,разходи!$E:$E,'ПП Април'!$C$55,разходи!$M:$M,'ПП Април'!L2)</f>
        <v>0</v>
      </c>
      <c r="M55" s="74">
        <f>SUMIFS(разходи!$L:$L,разходи!$E:$E,'ПП Април'!$C$55,разходи!$M:$M,'ПП Април'!M2)</f>
        <v>0</v>
      </c>
      <c r="N55" s="74">
        <f>SUMIFS(разходи!$L:$L,разходи!$E:$E,'ПП Април'!$C$55,разходи!$M:$M,'ПП Април'!N2)</f>
        <v>0</v>
      </c>
      <c r="O55" s="70">
        <f>SUMIFS(разходи!$L:$L,разходи!$E:$E,'ПП Април'!$C$55,разходи!$M:$M,'ПП Април'!O2)</f>
        <v>0</v>
      </c>
      <c r="P55" s="70">
        <f>SUMIFS(разходи!$L:$L,разходи!$E:$E,'ПП Април'!$C$55,разходи!$M:$M,'ПП Април'!P2)</f>
        <v>0</v>
      </c>
      <c r="Q55" s="76">
        <f>SUMIFS(разходи!$L:$L,разходи!$E:$E,'ПП Април'!$C$55,разходи!$M:$M,'ПП Април'!Q2)</f>
        <v>0</v>
      </c>
      <c r="R55" s="76">
        <f>SUMIFS(разходи!$L:$L,разходи!$E:$E,'ПП Април'!$C$55,разходи!$M:$M,'ПП Април'!R2)</f>
        <v>0</v>
      </c>
      <c r="S55" s="70">
        <f>SUMIFS(разходи!$L:$L,разходи!$E:$E,'ПП Април'!$C$55,разходи!$M:$M,'ПП Април'!S2)</f>
        <v>0</v>
      </c>
      <c r="T55" s="74">
        <f>SUMIFS(разходи!$L:$L,разходи!$E:$E,'ПП Април'!$C$55,разходи!$M:$M,'ПП Април'!T2)</f>
        <v>0</v>
      </c>
      <c r="U55" s="74">
        <f>SUMIFS(разходи!$L:$L,разходи!$E:$E,'ПП Април'!$C$55,разходи!$M:$M,'ПП Април'!U2)</f>
        <v>0</v>
      </c>
      <c r="V55" s="70">
        <f>SUMIFS(разходи!$L:$L,разходи!$E:$E,'ПП Април'!$C$55,разходи!$M:$M,'ПП Април'!V2)</f>
        <v>0</v>
      </c>
      <c r="W55" s="70">
        <f>SUMIFS(разходи!$L:$L,разходи!$E:$E,'ПП Април'!$C$55,разходи!$M:$M,'ПП Април'!W2)</f>
        <v>0</v>
      </c>
      <c r="X55" s="76">
        <f>SUMIFS(разходи!$L:$L,разходи!$E:$E,'ПП Април'!$C$55,разходи!$M:$M,'ПП Април'!X2)</f>
        <v>0</v>
      </c>
      <c r="Y55" s="76">
        <f>SUMIFS(разходи!$L:$L,разходи!$E:$E,'ПП Април'!$C$55,разходи!$M:$M,'ПП Април'!Y2)</f>
        <v>0</v>
      </c>
      <c r="Z55" s="70">
        <f>SUMIFS(разходи!$L:$L,разходи!$E:$E,'ПП Април'!$C$55,разходи!$M:$M,'ПП Април'!Z2)</f>
        <v>0</v>
      </c>
      <c r="AA55" s="74">
        <f>SUMIFS(разходи!$L:$L,разходи!$E:$E,'ПП Април'!$C$55,разходи!$M:$M,'ПП Април'!AA2)</f>
        <v>0</v>
      </c>
      <c r="AB55" s="74">
        <f>SUMIFS(разходи!$L:$L,разходи!$E:$E,'ПП Април'!$C$55,разходи!$M:$M,'ПП Април'!AB2)</f>
        <v>0</v>
      </c>
      <c r="AC55" s="70">
        <f>SUMIFS(разходи!$L:$L,разходи!$E:$E,'ПП Април'!$C$55,разходи!$M:$M,'ПП Април'!AC2)</f>
        <v>0</v>
      </c>
      <c r="AD55" s="70">
        <f>SUMIFS(разходи!$L:$L,разходи!$E:$E,'ПП Април'!$C$55,разходи!$M:$M,'ПП Април'!AD2)</f>
        <v>0</v>
      </c>
      <c r="AE55" s="76">
        <f>SUMIFS(разходи!$L:$L,разходи!$E:$E,'ПП Април'!$C$55,разходи!$M:$M,'ПП Април'!AE2)</f>
        <v>0</v>
      </c>
      <c r="AF55" s="76">
        <f>SUMIFS(разходи!$L:$L,разходи!$E:$E,'ПП Април'!$C$55,разходи!$M:$M,'ПП Април'!AF2)</f>
        <v>0</v>
      </c>
      <c r="AG55" s="70">
        <f>SUMIFS(разходи!$L:$L,разходи!$E:$E,'ПП Април'!$C$55,разходи!$M:$M,'ПП Април'!AG2)</f>
        <v>0</v>
      </c>
      <c r="AH55" s="74">
        <f>SUMIFS(разходи!$L:$L,разходи!$E:$E,'ПП Април'!$C$55,разходи!$M:$M,'ПП Април'!AH2)</f>
        <v>0</v>
      </c>
      <c r="AI55" s="61">
        <f t="shared" si="15"/>
        <v>0</v>
      </c>
      <c r="AJ55" s="69">
        <f t="shared" si="16"/>
        <v>3000</v>
      </c>
    </row>
    <row r="56" spans="1:36" s="39" customFormat="1" ht="20.100000000000001" customHeight="1" outlineLevel="1" x14ac:dyDescent="0.3">
      <c r="A56" s="37"/>
      <c r="B56" s="38"/>
      <c r="C56" s="48" t="s">
        <v>870</v>
      </c>
      <c r="D56" s="68"/>
      <c r="E56" s="70">
        <f t="shared" ref="E56:AH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0">
        <f t="shared" si="21"/>
        <v>0</v>
      </c>
      <c r="J56" s="76">
        <f t="shared" si="21"/>
        <v>0</v>
      </c>
      <c r="K56" s="76">
        <f t="shared" si="21"/>
        <v>0</v>
      </c>
      <c r="L56" s="70">
        <f t="shared" si="21"/>
        <v>0</v>
      </c>
      <c r="M56" s="74">
        <f t="shared" si="21"/>
        <v>0</v>
      </c>
      <c r="N56" s="74">
        <f t="shared" si="21"/>
        <v>0</v>
      </c>
      <c r="O56" s="70">
        <f t="shared" si="21"/>
        <v>0</v>
      </c>
      <c r="P56" s="70">
        <f t="shared" si="21"/>
        <v>0</v>
      </c>
      <c r="Q56" s="76">
        <f t="shared" si="21"/>
        <v>0</v>
      </c>
      <c r="R56" s="76">
        <f t="shared" si="21"/>
        <v>0</v>
      </c>
      <c r="S56" s="70">
        <f t="shared" si="21"/>
        <v>0</v>
      </c>
      <c r="T56" s="74">
        <f t="shared" si="21"/>
        <v>3145.73</v>
      </c>
      <c r="U56" s="74">
        <f t="shared" si="21"/>
        <v>0</v>
      </c>
      <c r="V56" s="70">
        <f t="shared" si="21"/>
        <v>0</v>
      </c>
      <c r="W56" s="70">
        <f t="shared" si="21"/>
        <v>0</v>
      </c>
      <c r="X56" s="76">
        <f t="shared" si="21"/>
        <v>0</v>
      </c>
      <c r="Y56" s="76">
        <f t="shared" si="21"/>
        <v>0</v>
      </c>
      <c r="Z56" s="70">
        <f t="shared" si="21"/>
        <v>0</v>
      </c>
      <c r="AA56" s="74">
        <f t="shared" si="21"/>
        <v>0</v>
      </c>
      <c r="AB56" s="74">
        <f t="shared" si="21"/>
        <v>0</v>
      </c>
      <c r="AC56" s="70">
        <f t="shared" si="21"/>
        <v>0</v>
      </c>
      <c r="AD56" s="70">
        <f t="shared" si="21"/>
        <v>0</v>
      </c>
      <c r="AE56" s="76">
        <f t="shared" si="21"/>
        <v>0</v>
      </c>
      <c r="AF56" s="76">
        <f t="shared" si="21"/>
        <v>0</v>
      </c>
      <c r="AG56" s="70">
        <f t="shared" si="21"/>
        <v>0</v>
      </c>
      <c r="AH56" s="74">
        <f t="shared" si="21"/>
        <v>0</v>
      </c>
      <c r="AI56" s="61">
        <f t="shared" si="15"/>
        <v>3145.73</v>
      </c>
      <c r="AJ56" s="69">
        <f t="shared" si="16"/>
        <v>-3145.73</v>
      </c>
    </row>
    <row r="57" spans="1:36" s="39" customFormat="1" ht="20.100000000000001" customHeight="1" outlineLevel="2" x14ac:dyDescent="0.3">
      <c r="A57" s="37"/>
      <c r="B57" s="38"/>
      <c r="C57" s="49" t="s">
        <v>871</v>
      </c>
      <c r="D57" s="68"/>
      <c r="E57" s="70">
        <f>SUMIFS(разходи!$L:$L,разходи!$E:$E,'ПП Април'!$C$57,разходи!$M:$M,'ПП Април'!E2)</f>
        <v>0</v>
      </c>
      <c r="F57" s="74">
        <f>SUMIFS(разходи!$L:$L,разходи!$E:$E,'ПП Април'!$C$57,разходи!$M:$M,'ПП Април'!F2)</f>
        <v>0</v>
      </c>
      <c r="G57" s="74">
        <f>SUMIFS(разходи!$L:$L,разходи!$E:$E,'ПП Април'!$C$57,разходи!$M:$M,'ПП Април'!G2)</f>
        <v>0</v>
      </c>
      <c r="H57" s="74">
        <f>SUMIFS(разходи!$L:$L,разходи!$E:$E,'ПП Април'!$C$57,разходи!$M:$M,'ПП Април'!H2)</f>
        <v>0</v>
      </c>
      <c r="I57" s="70">
        <f>SUMIFS(разходи!$L:$L,разходи!$E:$E,'ПП Април'!$C$57,разходи!$M:$M,'ПП Април'!I2)</f>
        <v>0</v>
      </c>
      <c r="J57" s="76">
        <f>SUMIFS(разходи!$L:$L,разходи!$E:$E,'ПП Април'!$C$57,разходи!$M:$M,'ПП Април'!J2)</f>
        <v>0</v>
      </c>
      <c r="K57" s="76">
        <f>SUMIFS(разходи!$L:$L,разходи!$E:$E,'ПП Април'!$C$57,разходи!$M:$M,'ПП Април'!K2)</f>
        <v>0</v>
      </c>
      <c r="L57" s="70">
        <f>SUMIFS(разходи!$L:$L,разходи!$E:$E,'ПП Април'!$C$57,разходи!$M:$M,'ПП Април'!L2)</f>
        <v>0</v>
      </c>
      <c r="M57" s="74">
        <f>SUMIFS(разходи!$L:$L,разходи!$E:$E,'ПП Април'!$C$57,разходи!$M:$M,'ПП Април'!M2)</f>
        <v>0</v>
      </c>
      <c r="N57" s="74">
        <f>SUMIFS(разходи!$L:$L,разходи!$E:$E,'ПП Април'!$C$57,разходи!$M:$M,'ПП Април'!N2)</f>
        <v>0</v>
      </c>
      <c r="O57" s="70">
        <f>SUMIFS(разходи!$L:$L,разходи!$E:$E,'ПП Април'!$C$57,разходи!$M:$M,'ПП Април'!O2)</f>
        <v>0</v>
      </c>
      <c r="P57" s="70">
        <f>SUMIFS(разходи!$L:$L,разходи!$E:$E,'ПП Април'!$C$57,разходи!$M:$M,'ПП Април'!P2)</f>
        <v>0</v>
      </c>
      <c r="Q57" s="76">
        <f>SUMIFS(разходи!$L:$L,разходи!$E:$E,'ПП Април'!$C$57,разходи!$M:$M,'ПП Април'!Q2)</f>
        <v>0</v>
      </c>
      <c r="R57" s="76">
        <f>SUMIFS(разходи!$L:$L,разходи!$E:$E,'ПП Април'!$C$57,разходи!$M:$M,'ПП Април'!R2)</f>
        <v>0</v>
      </c>
      <c r="S57" s="70">
        <f>SUMIFS(разходи!$L:$L,разходи!$E:$E,'ПП Април'!$C$57,разходи!$M:$M,'ПП Април'!S2)</f>
        <v>0</v>
      </c>
      <c r="T57" s="74">
        <f>SUMIFS(разходи!$L:$L,разходи!$E:$E,'ПП Април'!$C$57,разходи!$M:$M,'ПП Април'!T2)</f>
        <v>0</v>
      </c>
      <c r="U57" s="74">
        <f>SUMIFS(разходи!$L:$L,разходи!$E:$E,'ПП Април'!$C$57,разходи!$M:$M,'ПП Април'!U2)</f>
        <v>0</v>
      </c>
      <c r="V57" s="70">
        <f>SUMIFS(разходи!$L:$L,разходи!$E:$E,'ПП Април'!$C$57,разходи!$M:$M,'ПП Април'!V2)</f>
        <v>0</v>
      </c>
      <c r="W57" s="70">
        <f>SUMIFS(разходи!$L:$L,разходи!$E:$E,'ПП Април'!$C$57,разходи!$M:$M,'ПП Април'!W2)</f>
        <v>0</v>
      </c>
      <c r="X57" s="76">
        <f>SUMIFS(разходи!$L:$L,разходи!$E:$E,'ПП Април'!$C$57,разходи!$M:$M,'ПП Април'!X2)</f>
        <v>0</v>
      </c>
      <c r="Y57" s="76">
        <f>SUMIFS(разходи!$L:$L,разходи!$E:$E,'ПП Април'!$C$57,разходи!$M:$M,'ПП Април'!Y2)</f>
        <v>0</v>
      </c>
      <c r="Z57" s="70">
        <f>SUMIFS(разходи!$L:$L,разходи!$E:$E,'ПП Април'!$C$57,разходи!$M:$M,'ПП Април'!Z2)</f>
        <v>0</v>
      </c>
      <c r="AA57" s="74">
        <f>SUMIFS(разходи!$L:$L,разходи!$E:$E,'ПП Април'!$C$57,разходи!$M:$M,'ПП Април'!AA2)</f>
        <v>0</v>
      </c>
      <c r="AB57" s="74">
        <f>SUMIFS(разходи!$L:$L,разходи!$E:$E,'ПП Април'!$C$57,разходи!$M:$M,'ПП Април'!AB2)</f>
        <v>0</v>
      </c>
      <c r="AC57" s="70">
        <f>SUMIFS(разходи!$L:$L,разходи!$E:$E,'ПП Април'!$C$57,разходи!$M:$M,'ПП Април'!AC2)</f>
        <v>0</v>
      </c>
      <c r="AD57" s="70">
        <f>SUMIFS(разходи!$L:$L,разходи!$E:$E,'ПП Април'!$C$57,разходи!$M:$M,'ПП Април'!AD2)</f>
        <v>0</v>
      </c>
      <c r="AE57" s="76">
        <f>SUMIFS(разходи!$L:$L,разходи!$E:$E,'ПП Април'!$C$57,разходи!$M:$M,'ПП Април'!AE2)</f>
        <v>0</v>
      </c>
      <c r="AF57" s="76">
        <f>SUMIFS(разходи!$L:$L,разходи!$E:$E,'ПП Април'!$C$57,разходи!$M:$M,'ПП Април'!AF2)</f>
        <v>0</v>
      </c>
      <c r="AG57" s="70">
        <f>SUMIFS(разходи!$L:$L,разходи!$E:$E,'ПП Април'!$C$57,разходи!$M:$M,'ПП Април'!AG2)</f>
        <v>0</v>
      </c>
      <c r="AH57" s="74">
        <f>SUMIFS(разходи!$L:$L,разходи!$E:$E,'ПП Април'!$C$57,разходи!$M:$M,'ПП Април'!AH2)</f>
        <v>0</v>
      </c>
      <c r="AI57" s="61">
        <f t="shared" si="15"/>
        <v>0</v>
      </c>
      <c r="AJ57" s="69">
        <f t="shared" si="16"/>
        <v>0</v>
      </c>
    </row>
    <row r="58" spans="1:36" s="39" customFormat="1" ht="20.100000000000001" customHeight="1" outlineLevel="2" x14ac:dyDescent="0.3">
      <c r="A58" s="37"/>
      <c r="B58" s="38"/>
      <c r="C58" s="49" t="s">
        <v>872</v>
      </c>
      <c r="D58" s="68">
        <v>2000</v>
      </c>
      <c r="E58" s="70">
        <f>SUMIFS(разходи!$L:$L,разходи!$E:$E,'ПП Април'!$C$58,разходи!$M:$M,'ПП Април'!E2)</f>
        <v>0</v>
      </c>
      <c r="F58" s="74">
        <f>SUMIFS(разходи!$L:$L,разходи!$E:$E,'ПП Април'!$C$58,разходи!$M:$M,'ПП Април'!F2)</f>
        <v>0</v>
      </c>
      <c r="G58" s="74">
        <f>SUMIFS(разходи!$L:$L,разходи!$E:$E,'ПП Април'!$C$58,разходи!$M:$M,'ПП Април'!G2)</f>
        <v>0</v>
      </c>
      <c r="H58" s="74">
        <f>SUMIFS(разходи!$L:$L,разходи!$E:$E,'ПП Април'!$C$58,разходи!$M:$M,'ПП Април'!H2)</f>
        <v>0</v>
      </c>
      <c r="I58" s="70">
        <f>SUMIFS(разходи!$L:$L,разходи!$E:$E,'ПП Април'!$C$58,разходи!$M:$M,'ПП Април'!I2)</f>
        <v>0</v>
      </c>
      <c r="J58" s="76">
        <f>SUMIFS(разходи!$L:$L,разходи!$E:$E,'ПП Април'!$C$58,разходи!$M:$M,'ПП Април'!J2)</f>
        <v>0</v>
      </c>
      <c r="K58" s="76">
        <f>SUMIFS(разходи!$L:$L,разходи!$E:$E,'ПП Април'!$C$58,разходи!$M:$M,'ПП Април'!K2)</f>
        <v>0</v>
      </c>
      <c r="L58" s="70">
        <f>SUMIFS(разходи!$L:$L,разходи!$E:$E,'ПП Април'!$C$58,разходи!$M:$M,'ПП Април'!L2)</f>
        <v>0</v>
      </c>
      <c r="M58" s="74">
        <f>SUMIFS(разходи!$L:$L,разходи!$E:$E,'ПП Април'!$C$58,разходи!$M:$M,'ПП Април'!M2)</f>
        <v>0</v>
      </c>
      <c r="N58" s="74">
        <f>SUMIFS(разходи!$L:$L,разходи!$E:$E,'ПП Април'!$C$58,разходи!$M:$M,'ПП Април'!N2)</f>
        <v>0</v>
      </c>
      <c r="O58" s="70">
        <f>SUMIFS(разходи!$L:$L,разходи!$E:$E,'ПП Април'!$C$58,разходи!$M:$M,'ПП Април'!O2)</f>
        <v>0</v>
      </c>
      <c r="P58" s="70">
        <f>SUMIFS(разходи!$L:$L,разходи!$E:$E,'ПП Април'!$C$58,разходи!$M:$M,'ПП Април'!P2)</f>
        <v>0</v>
      </c>
      <c r="Q58" s="76">
        <f>SUMIFS(разходи!$L:$L,разходи!$E:$E,'ПП Април'!$C$58,разходи!$M:$M,'ПП Април'!Q2)</f>
        <v>0</v>
      </c>
      <c r="R58" s="76">
        <f>SUMIFS(разходи!$L:$L,разходи!$E:$E,'ПП Април'!$C$58,разходи!$M:$M,'ПП Април'!R2)</f>
        <v>0</v>
      </c>
      <c r="S58" s="70">
        <f>SUMIFS(разходи!$L:$L,разходи!$E:$E,'ПП Април'!$C$58,разходи!$M:$M,'ПП Април'!S2)</f>
        <v>0</v>
      </c>
      <c r="T58" s="74">
        <f>SUMIFS(разходи!$L:$L,разходи!$E:$E,'ПП Април'!$C$58,разходи!$M:$M,'ПП Април'!T2)</f>
        <v>0</v>
      </c>
      <c r="U58" s="74">
        <f>SUMIFS(разходи!$L:$L,разходи!$E:$E,'ПП Април'!$C$58,разходи!$M:$M,'ПП Април'!U2)</f>
        <v>0</v>
      </c>
      <c r="V58" s="70">
        <f>SUMIFS(разходи!$L:$L,разходи!$E:$E,'ПП Април'!$C$58,разходи!$M:$M,'ПП Април'!V2)</f>
        <v>0</v>
      </c>
      <c r="W58" s="70">
        <f>SUMIFS(разходи!$L:$L,разходи!$E:$E,'ПП Април'!$C$58,разходи!$M:$M,'ПП Април'!W2)</f>
        <v>0</v>
      </c>
      <c r="X58" s="76">
        <f>SUMIFS(разходи!$L:$L,разходи!$E:$E,'ПП Април'!$C$58,разходи!$M:$M,'ПП Април'!X2)</f>
        <v>0</v>
      </c>
      <c r="Y58" s="76">
        <f>SUMIFS(разходи!$L:$L,разходи!$E:$E,'ПП Април'!$C$58,разходи!$M:$M,'ПП Април'!Y2)</f>
        <v>0</v>
      </c>
      <c r="Z58" s="70">
        <f>SUMIFS(разходи!$L:$L,разходи!$E:$E,'ПП Април'!$C$58,разходи!$M:$M,'ПП Април'!Z2)</f>
        <v>0</v>
      </c>
      <c r="AA58" s="74">
        <f>SUMIFS(разходи!$L:$L,разходи!$E:$E,'ПП Април'!$C$58,разходи!$M:$M,'ПП Април'!AA2)</f>
        <v>0</v>
      </c>
      <c r="AB58" s="74">
        <f>SUMIFS(разходи!$L:$L,разходи!$E:$E,'ПП Април'!$C$58,разходи!$M:$M,'ПП Април'!AB2)</f>
        <v>0</v>
      </c>
      <c r="AC58" s="70">
        <f>SUMIFS(разходи!$L:$L,разходи!$E:$E,'ПП Април'!$C$58,разходи!$M:$M,'ПП Април'!AC2)</f>
        <v>0</v>
      </c>
      <c r="AD58" s="70">
        <f>SUMIFS(разходи!$L:$L,разходи!$E:$E,'ПП Април'!$C$58,разходи!$M:$M,'ПП Април'!AD2)</f>
        <v>0</v>
      </c>
      <c r="AE58" s="76">
        <f>SUMIFS(разходи!$L:$L,разходи!$E:$E,'ПП Април'!$C$58,разходи!$M:$M,'ПП Април'!AE2)</f>
        <v>0</v>
      </c>
      <c r="AF58" s="76">
        <f>SUMIFS(разходи!$L:$L,разходи!$E:$E,'ПП Април'!$C$58,разходи!$M:$M,'ПП Април'!AF2)</f>
        <v>0</v>
      </c>
      <c r="AG58" s="70">
        <f>SUMIFS(разходи!$L:$L,разходи!$E:$E,'ПП Април'!$C$58,разходи!$M:$M,'ПП Април'!AG2)</f>
        <v>0</v>
      </c>
      <c r="AH58" s="74">
        <f>SUMIFS(разходи!$L:$L,разходи!$E:$E,'ПП Април'!$C$58,разходи!$M:$M,'ПП Април'!AH2)</f>
        <v>0</v>
      </c>
      <c r="AI58" s="61">
        <f t="shared" si="15"/>
        <v>0</v>
      </c>
      <c r="AJ58" s="69">
        <f t="shared" si="16"/>
        <v>2000</v>
      </c>
    </row>
    <row r="59" spans="1:36" s="39" customFormat="1" ht="20.100000000000001" customHeight="1" outlineLevel="2" x14ac:dyDescent="0.3">
      <c r="A59" s="37"/>
      <c r="B59" s="38"/>
      <c r="C59" s="49" t="s">
        <v>786</v>
      </c>
      <c r="D59" s="68"/>
      <c r="E59" s="70">
        <f>SUMIFS(разходи!$L:$L,разходи!$E:$E,'ПП Април'!$C$59,разходи!$M:$M,'ПП Април'!E2)</f>
        <v>0</v>
      </c>
      <c r="F59" s="74">
        <f>SUMIFS(разходи!$L:$L,разходи!$E:$E,'ПП Април'!$C$59,разходи!$M:$M,'ПП Април'!F2)</f>
        <v>0</v>
      </c>
      <c r="G59" s="74">
        <f>SUMIFS(разходи!$L:$L,разходи!$E:$E,'ПП Април'!$C$59,разходи!$M:$M,'ПП Април'!G2)</f>
        <v>0</v>
      </c>
      <c r="H59" s="74">
        <f>SUMIFS(разходи!$L:$L,разходи!$E:$E,'ПП Април'!$C$59,разходи!$M:$M,'ПП Април'!H2)</f>
        <v>0</v>
      </c>
      <c r="I59" s="70">
        <f>SUMIFS(разходи!$L:$L,разходи!$E:$E,'ПП Април'!$C$59,разходи!$M:$M,'ПП Април'!I2)</f>
        <v>0</v>
      </c>
      <c r="J59" s="76">
        <f>SUMIFS(разходи!$L:$L,разходи!$E:$E,'ПП Април'!$C$59,разходи!$M:$M,'ПП Април'!J2)</f>
        <v>0</v>
      </c>
      <c r="K59" s="76">
        <f>SUMIFS(разходи!$L:$L,разходи!$E:$E,'ПП Април'!$C$59,разходи!$M:$M,'ПП Април'!K2)</f>
        <v>0</v>
      </c>
      <c r="L59" s="70">
        <f>SUMIFS(разходи!$L:$L,разходи!$E:$E,'ПП Април'!$C$59,разходи!$M:$M,'ПП Април'!L2)</f>
        <v>0</v>
      </c>
      <c r="M59" s="74">
        <f>SUMIFS(разходи!$L:$L,разходи!$E:$E,'ПП Април'!$C$59,разходи!$M:$M,'ПП Април'!M2)</f>
        <v>0</v>
      </c>
      <c r="N59" s="74">
        <f>SUMIFS(разходи!$L:$L,разходи!$E:$E,'ПП Април'!$C$59,разходи!$M:$M,'ПП Април'!N2)</f>
        <v>0</v>
      </c>
      <c r="O59" s="70">
        <f>SUMIFS(разходи!$L:$L,разходи!$E:$E,'ПП Април'!$C$59,разходи!$M:$M,'ПП Април'!O2)</f>
        <v>0</v>
      </c>
      <c r="P59" s="70">
        <f>SUMIFS(разходи!$L:$L,разходи!$E:$E,'ПП Април'!$C$59,разходи!$M:$M,'ПП Април'!P2)</f>
        <v>0</v>
      </c>
      <c r="Q59" s="76">
        <f>SUMIFS(разходи!$L:$L,разходи!$E:$E,'ПП Април'!$C$59,разходи!$M:$M,'ПП Април'!Q2)</f>
        <v>0</v>
      </c>
      <c r="R59" s="76">
        <f>SUMIFS(разходи!$L:$L,разходи!$E:$E,'ПП Април'!$C$59,разходи!$M:$M,'ПП Април'!R2)</f>
        <v>0</v>
      </c>
      <c r="S59" s="70">
        <f>SUMIFS(разходи!$L:$L,разходи!$E:$E,'ПП Април'!$C$59,разходи!$M:$M,'ПП Април'!S2)</f>
        <v>0</v>
      </c>
      <c r="T59" s="74">
        <f>SUMIFS(разходи!$L:$L,разходи!$E:$E,'ПП Април'!$C$59,разходи!$M:$M,'ПП Април'!T2)</f>
        <v>3145.73</v>
      </c>
      <c r="U59" s="74">
        <f>SUMIFS(разходи!$L:$L,разходи!$E:$E,'ПП Април'!$C$59,разходи!$M:$M,'ПП Април'!U2)</f>
        <v>0</v>
      </c>
      <c r="V59" s="70">
        <f>SUMIFS(разходи!$L:$L,разходи!$E:$E,'ПП Април'!$C$59,разходи!$M:$M,'ПП Април'!V2)</f>
        <v>0</v>
      </c>
      <c r="W59" s="70">
        <f>SUMIFS(разходи!$L:$L,разходи!$E:$E,'ПП Април'!$C$59,разходи!$M:$M,'ПП Април'!W2)</f>
        <v>0</v>
      </c>
      <c r="X59" s="76">
        <f>SUMIFS(разходи!$L:$L,разходи!$E:$E,'ПП Април'!$C$59,разходи!$M:$M,'ПП Април'!X2)</f>
        <v>0</v>
      </c>
      <c r="Y59" s="76">
        <f>SUMIFS(разходи!$L:$L,разходи!$E:$E,'ПП Април'!$C$59,разходи!$M:$M,'ПП Април'!Y2)</f>
        <v>0</v>
      </c>
      <c r="Z59" s="70">
        <f>SUMIFS(разходи!$L:$L,разходи!$E:$E,'ПП Април'!$C$59,разходи!$M:$M,'ПП Април'!Z2)</f>
        <v>0</v>
      </c>
      <c r="AA59" s="74">
        <f>SUMIFS(разходи!$L:$L,разходи!$E:$E,'ПП Април'!$C$59,разходи!$M:$M,'ПП Април'!AA2)</f>
        <v>0</v>
      </c>
      <c r="AB59" s="74">
        <f>SUMIFS(разходи!$L:$L,разходи!$E:$E,'ПП Април'!$C$59,разходи!$M:$M,'ПП Април'!AB2)</f>
        <v>0</v>
      </c>
      <c r="AC59" s="70">
        <f>SUMIFS(разходи!$L:$L,разходи!$E:$E,'ПП Април'!$C$59,разходи!$M:$M,'ПП Април'!AC2)</f>
        <v>0</v>
      </c>
      <c r="AD59" s="70">
        <f>SUMIFS(разходи!$L:$L,разходи!$E:$E,'ПП Април'!$C$59,разходи!$M:$M,'ПП Април'!AD2)</f>
        <v>0</v>
      </c>
      <c r="AE59" s="76">
        <f>SUMIFS(разходи!$L:$L,разходи!$E:$E,'ПП Април'!$C$59,разходи!$M:$M,'ПП Април'!AE2)</f>
        <v>0</v>
      </c>
      <c r="AF59" s="76">
        <f>SUMIFS(разходи!$L:$L,разходи!$E:$E,'ПП Април'!$C$59,разходи!$M:$M,'ПП Април'!AF2)</f>
        <v>0</v>
      </c>
      <c r="AG59" s="70">
        <f>SUMIFS(разходи!$L:$L,разходи!$E:$E,'ПП Април'!$C$59,разходи!$M:$M,'ПП Април'!AG2)</f>
        <v>0</v>
      </c>
      <c r="AH59" s="74">
        <f>SUMIFS(разходи!$L:$L,разходи!$E:$E,'ПП Април'!$C$59,разходи!$M:$M,'ПП Април'!AH2)</f>
        <v>0</v>
      </c>
      <c r="AI59" s="61">
        <f t="shared" si="15"/>
        <v>3145.73</v>
      </c>
      <c r="AJ59" s="69">
        <f t="shared" si="16"/>
        <v>-3145.73</v>
      </c>
    </row>
    <row r="60" spans="1:36" s="39" customFormat="1" ht="20.100000000000001" customHeight="1" outlineLevel="2" x14ac:dyDescent="0.3">
      <c r="A60" s="37"/>
      <c r="B60" s="38"/>
      <c r="C60" s="49" t="s">
        <v>873</v>
      </c>
      <c r="D60" s="68"/>
      <c r="E60" s="70">
        <f>SUMIFS(разходи!$L:$L,разходи!$E:$E,'ПП Април'!$C$60,разходи!$M:$M,'ПП Април'!E2)</f>
        <v>0</v>
      </c>
      <c r="F60" s="74">
        <f>SUMIFS(разходи!$L:$L,разходи!$E:$E,'ПП Април'!$C$60,разходи!$M:$M,'ПП Април'!F2)</f>
        <v>0</v>
      </c>
      <c r="G60" s="74">
        <f>SUMIFS(разходи!$L:$L,разходи!$E:$E,'ПП Април'!$C$60,разходи!$M:$M,'ПП Април'!G2)</f>
        <v>0</v>
      </c>
      <c r="H60" s="74">
        <f>SUMIFS(разходи!$L:$L,разходи!$E:$E,'ПП Април'!$C$60,разходи!$M:$M,'ПП Април'!H2)</f>
        <v>0</v>
      </c>
      <c r="I60" s="70">
        <f>SUMIFS(разходи!$L:$L,разходи!$E:$E,'ПП Април'!$C$60,разходи!$M:$M,'ПП Април'!I2)</f>
        <v>0</v>
      </c>
      <c r="J60" s="76">
        <f>SUMIFS(разходи!$L:$L,разходи!$E:$E,'ПП Април'!$C$60,разходи!$M:$M,'ПП Април'!J2)</f>
        <v>0</v>
      </c>
      <c r="K60" s="76">
        <f>SUMIFS(разходи!$L:$L,разходи!$E:$E,'ПП Април'!$C$60,разходи!$M:$M,'ПП Април'!K2)</f>
        <v>0</v>
      </c>
      <c r="L60" s="70">
        <f>SUMIFS(разходи!$L:$L,разходи!$E:$E,'ПП Април'!$C$60,разходи!$M:$M,'ПП Април'!L2)</f>
        <v>0</v>
      </c>
      <c r="M60" s="74">
        <f>SUMIFS(разходи!$L:$L,разходи!$E:$E,'ПП Април'!$C$60,разходи!$M:$M,'ПП Април'!M2)</f>
        <v>0</v>
      </c>
      <c r="N60" s="74">
        <f>SUMIFS(разходи!$L:$L,разходи!$E:$E,'ПП Април'!$C$60,разходи!$M:$M,'ПП Април'!N2)</f>
        <v>0</v>
      </c>
      <c r="O60" s="70">
        <f>SUMIFS(разходи!$L:$L,разходи!$E:$E,'ПП Април'!$C$60,разходи!$M:$M,'ПП Април'!O2)</f>
        <v>0</v>
      </c>
      <c r="P60" s="70">
        <f>SUMIFS(разходи!$L:$L,разходи!$E:$E,'ПП Април'!$C$60,разходи!$M:$M,'ПП Април'!P2)</f>
        <v>0</v>
      </c>
      <c r="Q60" s="76">
        <f>SUMIFS(разходи!$L:$L,разходи!$E:$E,'ПП Април'!$C$60,разходи!$M:$M,'ПП Април'!Q2)</f>
        <v>0</v>
      </c>
      <c r="R60" s="76">
        <f>SUMIFS(разходи!$L:$L,разходи!$E:$E,'ПП Април'!$C$60,разходи!$M:$M,'ПП Април'!R2)</f>
        <v>0</v>
      </c>
      <c r="S60" s="70">
        <f>SUMIFS(разходи!$L:$L,разходи!$E:$E,'ПП Април'!$C$60,разходи!$M:$M,'ПП Април'!S2)</f>
        <v>0</v>
      </c>
      <c r="T60" s="74">
        <f>SUMIFS(разходи!$L:$L,разходи!$E:$E,'ПП Април'!$C$60,разходи!$M:$M,'ПП Април'!T2)</f>
        <v>0</v>
      </c>
      <c r="U60" s="74">
        <f>SUMIFS(разходи!$L:$L,разходи!$E:$E,'ПП Април'!$C$60,разходи!$M:$M,'ПП Април'!U2)</f>
        <v>0</v>
      </c>
      <c r="V60" s="70">
        <f>SUMIFS(разходи!$L:$L,разходи!$E:$E,'ПП Април'!$C$60,разходи!$M:$M,'ПП Април'!V2)</f>
        <v>0</v>
      </c>
      <c r="W60" s="70">
        <f>SUMIFS(разходи!$L:$L,разходи!$E:$E,'ПП Април'!$C$60,разходи!$M:$M,'ПП Април'!W2)</f>
        <v>0</v>
      </c>
      <c r="X60" s="76">
        <f>SUMIFS(разходи!$L:$L,разходи!$E:$E,'ПП Април'!$C$60,разходи!$M:$M,'ПП Април'!X2)</f>
        <v>0</v>
      </c>
      <c r="Y60" s="76">
        <f>SUMIFS(разходи!$L:$L,разходи!$E:$E,'ПП Април'!$C$60,разходи!$M:$M,'ПП Април'!Y2)</f>
        <v>0</v>
      </c>
      <c r="Z60" s="70">
        <f>SUMIFS(разходи!$L:$L,разходи!$E:$E,'ПП Април'!$C$60,разходи!$M:$M,'ПП Април'!Z2)</f>
        <v>0</v>
      </c>
      <c r="AA60" s="74">
        <f>SUMIFS(разходи!$L:$L,разходи!$E:$E,'ПП Април'!$C$60,разходи!$M:$M,'ПП Април'!AA2)</f>
        <v>0</v>
      </c>
      <c r="AB60" s="74">
        <f>SUMIFS(разходи!$L:$L,разходи!$E:$E,'ПП Април'!$C$60,разходи!$M:$M,'ПП Април'!AB2)</f>
        <v>0</v>
      </c>
      <c r="AC60" s="70">
        <f>SUMIFS(разходи!$L:$L,разходи!$E:$E,'ПП Април'!$C$60,разходи!$M:$M,'ПП Април'!AC2)</f>
        <v>0</v>
      </c>
      <c r="AD60" s="70">
        <f>SUMIFS(разходи!$L:$L,разходи!$E:$E,'ПП Април'!$C$60,разходи!$M:$M,'ПП Април'!AD2)</f>
        <v>0</v>
      </c>
      <c r="AE60" s="76">
        <f>SUMIFS(разходи!$L:$L,разходи!$E:$E,'ПП Април'!$C$60,разходи!$M:$M,'ПП Април'!AE2)</f>
        <v>0</v>
      </c>
      <c r="AF60" s="76">
        <f>SUMIFS(разходи!$L:$L,разходи!$E:$E,'ПП Април'!$C$60,разходи!$M:$M,'ПП Април'!AF2)</f>
        <v>0</v>
      </c>
      <c r="AG60" s="70">
        <f>SUMIFS(разходи!$L:$L,разходи!$E:$E,'ПП Април'!$C$60,разходи!$M:$M,'ПП Април'!AG2)</f>
        <v>0</v>
      </c>
      <c r="AH60" s="74">
        <f>SUMIFS(разходи!$L:$L,разходи!$E:$E,'ПП Април'!$C$60,разходи!$M:$M,'ПП Април'!AH2)</f>
        <v>0</v>
      </c>
      <c r="AI60" s="61">
        <f t="shared" si="15"/>
        <v>0</v>
      </c>
      <c r="AJ60" s="69">
        <f t="shared" si="16"/>
        <v>0</v>
      </c>
    </row>
    <row r="61" spans="1:36" s="39" customFormat="1" ht="20.100000000000001" customHeight="1" outlineLevel="2" x14ac:dyDescent="0.3">
      <c r="A61" s="37"/>
      <c r="B61" s="38"/>
      <c r="C61" s="49" t="s">
        <v>874</v>
      </c>
      <c r="D61" s="68"/>
      <c r="E61" s="70">
        <f>SUMIFS(разходи!$L:$L,разходи!$E:$E,'ПП Април'!$C$61,разходи!$M:$M,'ПП Април'!E2)</f>
        <v>0</v>
      </c>
      <c r="F61" s="74">
        <f>SUMIFS(разходи!$L:$L,разходи!$E:$E,'ПП Април'!$C$61,разходи!$M:$M,'ПП Април'!F2)</f>
        <v>0</v>
      </c>
      <c r="G61" s="74">
        <f>SUMIFS(разходи!$L:$L,разходи!$E:$E,'ПП Април'!$C$61,разходи!$M:$M,'ПП Април'!G2)</f>
        <v>0</v>
      </c>
      <c r="H61" s="74">
        <f>SUMIFS(разходи!$L:$L,разходи!$E:$E,'ПП Април'!$C$61,разходи!$M:$M,'ПП Април'!H2)</f>
        <v>0</v>
      </c>
      <c r="I61" s="70">
        <f>SUMIFS(разходи!$L:$L,разходи!$E:$E,'ПП Април'!$C$61,разходи!$M:$M,'ПП Април'!I2)</f>
        <v>0</v>
      </c>
      <c r="J61" s="76">
        <f>SUMIFS(разходи!$L:$L,разходи!$E:$E,'ПП Април'!$C$61,разходи!$M:$M,'ПП Април'!J2)</f>
        <v>0</v>
      </c>
      <c r="K61" s="76">
        <f>SUMIFS(разходи!$L:$L,разходи!$E:$E,'ПП Април'!$C$61,разходи!$M:$M,'ПП Април'!K2)</f>
        <v>0</v>
      </c>
      <c r="L61" s="70">
        <f>SUMIFS(разходи!$L:$L,разходи!$E:$E,'ПП Април'!$C$61,разходи!$M:$M,'ПП Април'!L2)</f>
        <v>0</v>
      </c>
      <c r="M61" s="74">
        <f>SUMIFS(разходи!$L:$L,разходи!$E:$E,'ПП Април'!$C$61,разходи!$M:$M,'ПП Април'!M2)</f>
        <v>0</v>
      </c>
      <c r="N61" s="74">
        <f>SUMIFS(разходи!$L:$L,разходи!$E:$E,'ПП Април'!$C$61,разходи!$M:$M,'ПП Април'!N2)</f>
        <v>0</v>
      </c>
      <c r="O61" s="70">
        <f>SUMIFS(разходи!$L:$L,разходи!$E:$E,'ПП Април'!$C$61,разходи!$M:$M,'ПП Април'!O2)</f>
        <v>0</v>
      </c>
      <c r="P61" s="70">
        <f>SUMIFS(разходи!$L:$L,разходи!$E:$E,'ПП Април'!$C$61,разходи!$M:$M,'ПП Април'!P2)</f>
        <v>0</v>
      </c>
      <c r="Q61" s="76">
        <f>SUMIFS(разходи!$L:$L,разходи!$E:$E,'ПП Април'!$C$61,разходи!$M:$M,'ПП Април'!Q2)</f>
        <v>0</v>
      </c>
      <c r="R61" s="76">
        <f>SUMIFS(разходи!$L:$L,разходи!$E:$E,'ПП Април'!$C$61,разходи!$M:$M,'ПП Април'!R2)</f>
        <v>0</v>
      </c>
      <c r="S61" s="70">
        <f>SUMIFS(разходи!$L:$L,разходи!$E:$E,'ПП Април'!$C$61,разходи!$M:$M,'ПП Април'!S2)</f>
        <v>0</v>
      </c>
      <c r="T61" s="74">
        <f>SUMIFS(разходи!$L:$L,разходи!$E:$E,'ПП Април'!$C$61,разходи!$M:$M,'ПП Април'!T2)</f>
        <v>0</v>
      </c>
      <c r="U61" s="74">
        <f>SUMIFS(разходи!$L:$L,разходи!$E:$E,'ПП Април'!$C$61,разходи!$M:$M,'ПП Април'!U2)</f>
        <v>0</v>
      </c>
      <c r="V61" s="70">
        <f>SUMIFS(разходи!$L:$L,разходи!$E:$E,'ПП Април'!$C$61,разходи!$M:$M,'ПП Април'!V2)</f>
        <v>0</v>
      </c>
      <c r="W61" s="70">
        <f>SUMIFS(разходи!$L:$L,разходи!$E:$E,'ПП Април'!$C$61,разходи!$M:$M,'ПП Април'!W2)</f>
        <v>0</v>
      </c>
      <c r="X61" s="76">
        <f>SUMIFS(разходи!$L:$L,разходи!$E:$E,'ПП Април'!$C$61,разходи!$M:$M,'ПП Април'!X2)</f>
        <v>0</v>
      </c>
      <c r="Y61" s="76">
        <f>SUMIFS(разходи!$L:$L,разходи!$E:$E,'ПП Април'!$C$61,разходи!$M:$M,'ПП Април'!Y2)</f>
        <v>0</v>
      </c>
      <c r="Z61" s="70">
        <f>SUMIFS(разходи!$L:$L,разходи!$E:$E,'ПП Април'!$C$61,разходи!$M:$M,'ПП Април'!Z2)</f>
        <v>0</v>
      </c>
      <c r="AA61" s="74">
        <f>SUMIFS(разходи!$L:$L,разходи!$E:$E,'ПП Април'!$C$61,разходи!$M:$M,'ПП Април'!AA2)</f>
        <v>0</v>
      </c>
      <c r="AB61" s="74">
        <f>SUMIFS(разходи!$L:$L,разходи!$E:$E,'ПП Април'!$C$61,разходи!$M:$M,'ПП Април'!AB2)</f>
        <v>0</v>
      </c>
      <c r="AC61" s="70">
        <f>SUMIFS(разходи!$L:$L,разходи!$E:$E,'ПП Април'!$C$61,разходи!$M:$M,'ПП Април'!AC2)</f>
        <v>0</v>
      </c>
      <c r="AD61" s="70">
        <f>SUMIFS(разходи!$L:$L,разходи!$E:$E,'ПП Април'!$C$61,разходи!$M:$M,'ПП Април'!AD2)</f>
        <v>0</v>
      </c>
      <c r="AE61" s="76">
        <f>SUMIFS(разходи!$L:$L,разходи!$E:$E,'ПП Април'!$C$61,разходи!$M:$M,'ПП Април'!AE2)</f>
        <v>0</v>
      </c>
      <c r="AF61" s="76">
        <f>SUMIFS(разходи!$L:$L,разходи!$E:$E,'ПП Април'!$C$61,разходи!$M:$M,'ПП Април'!AF2)</f>
        <v>0</v>
      </c>
      <c r="AG61" s="70">
        <f>SUMIFS(разходи!$L:$L,разходи!$E:$E,'ПП Април'!$C$61,разходи!$M:$M,'ПП Април'!AG2)</f>
        <v>0</v>
      </c>
      <c r="AH61" s="74">
        <f>SUMIFS(разходи!$L:$L,разходи!$E:$E,'ПП Април'!$C$61,разходи!$M:$M,'ПП Април'!AH2)</f>
        <v>0</v>
      </c>
      <c r="AI61" s="61">
        <f t="shared" si="15"/>
        <v>0</v>
      </c>
      <c r="AJ61" s="69">
        <f t="shared" si="16"/>
        <v>0</v>
      </c>
    </row>
    <row r="62" spans="1:36" s="39" customFormat="1" ht="20.100000000000001" customHeight="1" outlineLevel="1" x14ac:dyDescent="0.3">
      <c r="A62" s="37"/>
      <c r="B62" s="38"/>
      <c r="C62" s="32" t="s">
        <v>875</v>
      </c>
      <c r="D62" s="68"/>
      <c r="E62" s="70">
        <f t="shared" ref="E62:AH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0">
        <f t="shared" si="22"/>
        <v>0</v>
      </c>
      <c r="J62" s="76">
        <f t="shared" si="22"/>
        <v>0</v>
      </c>
      <c r="K62" s="76">
        <f t="shared" si="22"/>
        <v>0</v>
      </c>
      <c r="L62" s="70">
        <f t="shared" si="22"/>
        <v>0</v>
      </c>
      <c r="M62" s="74">
        <f t="shared" si="22"/>
        <v>0</v>
      </c>
      <c r="N62" s="74">
        <f t="shared" si="22"/>
        <v>0</v>
      </c>
      <c r="O62" s="70">
        <f t="shared" si="22"/>
        <v>0</v>
      </c>
      <c r="P62" s="70">
        <f t="shared" si="22"/>
        <v>0</v>
      </c>
      <c r="Q62" s="76">
        <f t="shared" si="22"/>
        <v>0</v>
      </c>
      <c r="R62" s="76">
        <f t="shared" si="22"/>
        <v>0</v>
      </c>
      <c r="S62" s="70">
        <f t="shared" si="22"/>
        <v>0</v>
      </c>
      <c r="T62" s="74">
        <f t="shared" si="22"/>
        <v>0</v>
      </c>
      <c r="U62" s="74">
        <f t="shared" si="22"/>
        <v>0</v>
      </c>
      <c r="V62" s="70">
        <f t="shared" si="22"/>
        <v>0</v>
      </c>
      <c r="W62" s="70">
        <f t="shared" si="22"/>
        <v>0</v>
      </c>
      <c r="X62" s="76">
        <f t="shared" si="22"/>
        <v>0</v>
      </c>
      <c r="Y62" s="76">
        <f t="shared" si="22"/>
        <v>0</v>
      </c>
      <c r="Z62" s="70">
        <f t="shared" si="22"/>
        <v>22778.35</v>
      </c>
      <c r="AA62" s="74">
        <f t="shared" si="22"/>
        <v>0</v>
      </c>
      <c r="AB62" s="74">
        <f t="shared" si="22"/>
        <v>0</v>
      </c>
      <c r="AC62" s="70">
        <f t="shared" si="22"/>
        <v>0</v>
      </c>
      <c r="AD62" s="70">
        <f t="shared" si="22"/>
        <v>0</v>
      </c>
      <c r="AE62" s="76">
        <f t="shared" si="22"/>
        <v>0</v>
      </c>
      <c r="AF62" s="76">
        <f t="shared" si="22"/>
        <v>0</v>
      </c>
      <c r="AG62" s="70">
        <f t="shared" si="22"/>
        <v>0</v>
      </c>
      <c r="AH62" s="74">
        <f t="shared" si="22"/>
        <v>0</v>
      </c>
      <c r="AI62" s="61">
        <f t="shared" si="15"/>
        <v>22778.35</v>
      </c>
      <c r="AJ62" s="69">
        <f t="shared" si="16"/>
        <v>-22778.35</v>
      </c>
    </row>
    <row r="63" spans="1:36" s="39" customFormat="1" ht="20.100000000000001" customHeight="1" outlineLevel="2" x14ac:dyDescent="0.3">
      <c r="A63" s="37"/>
      <c r="B63" s="38"/>
      <c r="C63" s="50" t="s">
        <v>876</v>
      </c>
      <c r="D63" s="68">
        <v>28000</v>
      </c>
      <c r="E63" s="70">
        <f>SUMIFS(разходи!$L:$L,разходи!$E:$E,'ПП Април'!$C$63,разходи!$M:$M,'ПП Април'!E2)</f>
        <v>0</v>
      </c>
      <c r="F63" s="74">
        <f>SUMIFS(разходи!$L:$L,разходи!$E:$E,'ПП Април'!$C$63,разходи!$M:$M,'ПП Април'!F2)</f>
        <v>0</v>
      </c>
      <c r="G63" s="74">
        <f>SUMIFS(разходи!$L:$L,разходи!$E:$E,'ПП Април'!$C$63,разходи!$M:$M,'ПП Април'!G2)</f>
        <v>0</v>
      </c>
      <c r="H63" s="74">
        <f>SUMIFS(разходи!$L:$L,разходи!$E:$E,'ПП Април'!$C$63,разходи!$M:$M,'ПП Април'!H2)</f>
        <v>0</v>
      </c>
      <c r="I63" s="70">
        <f>SUMIFS(разходи!$L:$L,разходи!$E:$E,'ПП Април'!$C$63,разходи!$M:$M,'ПП Април'!I2)</f>
        <v>0</v>
      </c>
      <c r="J63" s="76">
        <f>SUMIFS(разходи!$L:$L,разходи!$E:$E,'ПП Април'!$C$63,разходи!$M:$M,'ПП Април'!J2)</f>
        <v>0</v>
      </c>
      <c r="K63" s="76">
        <f>SUMIFS(разходи!$L:$L,разходи!$E:$E,'ПП Април'!$C$63,разходи!$M:$M,'ПП Април'!K2)</f>
        <v>0</v>
      </c>
      <c r="L63" s="70">
        <f>SUMIFS(разходи!$L:$L,разходи!$E:$E,'ПП Април'!$C$63,разходи!$M:$M,'ПП Април'!L2)</f>
        <v>0</v>
      </c>
      <c r="M63" s="74">
        <f>SUMIFS(разходи!$L:$L,разходи!$E:$E,'ПП Април'!$C$63,разходи!$M:$M,'ПП Април'!M2)</f>
        <v>0</v>
      </c>
      <c r="N63" s="74">
        <f>SUMIFS(разходи!$L:$L,разходи!$E:$E,'ПП Април'!$C$63,разходи!$M:$M,'ПП Април'!N2)</f>
        <v>0</v>
      </c>
      <c r="O63" s="70">
        <f>SUMIFS(разходи!$L:$L,разходи!$E:$E,'ПП Април'!$C$63,разходи!$M:$M,'ПП Април'!O2)</f>
        <v>0</v>
      </c>
      <c r="P63" s="70">
        <f>SUMIFS(разходи!$L:$L,разходи!$E:$E,'ПП Април'!$C$63,разходи!$M:$M,'ПП Април'!P2)</f>
        <v>0</v>
      </c>
      <c r="Q63" s="76">
        <f>SUMIFS(разходи!$L:$L,разходи!$E:$E,'ПП Април'!$C$63,разходи!$M:$M,'ПП Април'!Q2)</f>
        <v>0</v>
      </c>
      <c r="R63" s="76">
        <f>SUMIFS(разходи!$L:$L,разходи!$E:$E,'ПП Април'!$C$63,разходи!$M:$M,'ПП Април'!R2)</f>
        <v>0</v>
      </c>
      <c r="S63" s="70">
        <f>SUMIFS(разходи!$L:$L,разходи!$E:$E,'ПП Април'!$C$63,разходи!$M:$M,'ПП Април'!S2)</f>
        <v>0</v>
      </c>
      <c r="T63" s="74">
        <f>SUMIFS(разходи!$L:$L,разходи!$E:$E,'ПП Април'!$C$63,разходи!$M:$M,'ПП Април'!T2)</f>
        <v>0</v>
      </c>
      <c r="U63" s="74">
        <f>SUMIFS(разходи!$L:$L,разходи!$E:$E,'ПП Април'!$C$63,разходи!$M:$M,'ПП Април'!U2)</f>
        <v>0</v>
      </c>
      <c r="V63" s="70">
        <f>SUMIFS(разходи!$L:$L,разходи!$E:$E,'ПП Април'!$C$63,разходи!$M:$M,'ПП Април'!V2)</f>
        <v>0</v>
      </c>
      <c r="W63" s="70">
        <f>SUMIFS(разходи!$L:$L,разходи!$E:$E,'ПП Април'!$C$63,разходи!$M:$M,'ПП Април'!W2)</f>
        <v>0</v>
      </c>
      <c r="X63" s="76">
        <f>SUMIFS(разходи!$L:$L,разходи!$E:$E,'ПП Април'!$C$63,разходи!$M:$M,'ПП Април'!X2)</f>
        <v>0</v>
      </c>
      <c r="Y63" s="76">
        <f>SUMIFS(разходи!$L:$L,разходи!$E:$E,'ПП Април'!$C$63,разходи!$M:$M,'ПП Април'!Y2)</f>
        <v>0</v>
      </c>
      <c r="Z63" s="70">
        <f>SUMIFS(разходи!$L:$L,разходи!$E:$E,'ПП Април'!$C$63,разходи!$M:$M,'ПП Април'!Z2)</f>
        <v>0</v>
      </c>
      <c r="AA63" s="74">
        <f>SUMIFS(разходи!$L:$L,разходи!$E:$E,'ПП Април'!$C$63,разходи!$M:$M,'ПП Април'!AA2)</f>
        <v>0</v>
      </c>
      <c r="AB63" s="74">
        <f>SUMIFS(разходи!$L:$L,разходи!$E:$E,'ПП Април'!$C$63,разходи!$M:$M,'ПП Април'!AB2)</f>
        <v>0</v>
      </c>
      <c r="AC63" s="70">
        <f>SUMIFS(разходи!$L:$L,разходи!$E:$E,'ПП Април'!$C$63,разходи!$M:$M,'ПП Април'!AC2)</f>
        <v>0</v>
      </c>
      <c r="AD63" s="70">
        <f>SUMIFS(разходи!$L:$L,разходи!$E:$E,'ПП Април'!$C$63,разходи!$M:$M,'ПП Април'!AD2)</f>
        <v>0</v>
      </c>
      <c r="AE63" s="76">
        <f>SUMIFS(разходи!$L:$L,разходи!$E:$E,'ПП Април'!$C$63,разходи!$M:$M,'ПП Април'!AE2)</f>
        <v>0</v>
      </c>
      <c r="AF63" s="76">
        <f>SUMIFS(разходи!$L:$L,разходи!$E:$E,'ПП Април'!$C$63,разходи!$M:$M,'ПП Април'!AF2)</f>
        <v>0</v>
      </c>
      <c r="AG63" s="70">
        <f>SUMIFS(разходи!$L:$L,разходи!$E:$E,'ПП Април'!$C$63,разходи!$M:$M,'ПП Април'!AG2)</f>
        <v>0</v>
      </c>
      <c r="AH63" s="74">
        <f>SUMIFS(разходи!$L:$L,разходи!$E:$E,'ПП Април'!$C$63,разходи!$M:$M,'ПП Април'!AH2)</f>
        <v>0</v>
      </c>
      <c r="AI63" s="61">
        <f t="shared" si="15"/>
        <v>0</v>
      </c>
      <c r="AJ63" s="69">
        <f t="shared" si="16"/>
        <v>28000</v>
      </c>
    </row>
    <row r="64" spans="1:36" s="39" customFormat="1" ht="20.100000000000001" customHeight="1" outlineLevel="2" x14ac:dyDescent="0.3">
      <c r="A64" s="37"/>
      <c r="B64" s="38"/>
      <c r="C64" s="50" t="s">
        <v>623</v>
      </c>
      <c r="D64" s="68">
        <v>8000</v>
      </c>
      <c r="E64" s="70">
        <f>SUMIFS(разходи!$L:$L,разходи!$E:$E,'ПП Април'!$C$64,разходи!$M:$M,'ПП Април'!E2)</f>
        <v>0</v>
      </c>
      <c r="F64" s="74">
        <f>SUMIFS(разходи!$L:$L,разходи!$E:$E,'ПП Април'!$C$64,разходи!$M:$M,'ПП Април'!F2)</f>
        <v>0</v>
      </c>
      <c r="G64" s="74">
        <f>SUMIFS(разходи!$L:$L,разходи!$E:$E,'ПП Април'!$C$64,разходи!$M:$M,'ПП Април'!G2)</f>
        <v>0</v>
      </c>
      <c r="H64" s="74">
        <f>SUMIFS(разходи!$L:$L,разходи!$E:$E,'ПП Април'!$C$64,разходи!$M:$M,'ПП Април'!H2)</f>
        <v>0</v>
      </c>
      <c r="I64" s="70">
        <f>SUMIFS(разходи!$L:$L,разходи!$E:$E,'ПП Април'!$C$64,разходи!$M:$M,'ПП Април'!I2)</f>
        <v>0</v>
      </c>
      <c r="J64" s="76">
        <f>SUMIFS(разходи!$L:$L,разходи!$E:$E,'ПП Април'!$C$64,разходи!$M:$M,'ПП Април'!J2)</f>
        <v>0</v>
      </c>
      <c r="K64" s="76">
        <f>SUMIFS(разходи!$L:$L,разходи!$E:$E,'ПП Април'!$C$64,разходи!$M:$M,'ПП Април'!K2)</f>
        <v>0</v>
      </c>
      <c r="L64" s="70">
        <f>SUMIFS(разходи!$L:$L,разходи!$E:$E,'ПП Април'!$C$64,разходи!$M:$M,'ПП Април'!L2)</f>
        <v>0</v>
      </c>
      <c r="M64" s="74">
        <f>SUMIFS(разходи!$L:$L,разходи!$E:$E,'ПП Април'!$C$64,разходи!$M:$M,'ПП Април'!M2)</f>
        <v>0</v>
      </c>
      <c r="N64" s="74">
        <f>SUMIFS(разходи!$L:$L,разходи!$E:$E,'ПП Април'!$C$64,разходи!$M:$M,'ПП Април'!N2)</f>
        <v>0</v>
      </c>
      <c r="O64" s="70">
        <f>SUMIFS(разходи!$L:$L,разходи!$E:$E,'ПП Април'!$C$64,разходи!$M:$M,'ПП Април'!O2)</f>
        <v>0</v>
      </c>
      <c r="P64" s="70">
        <f>SUMIFS(разходи!$L:$L,разходи!$E:$E,'ПП Април'!$C$64,разходи!$M:$M,'ПП Април'!P2)</f>
        <v>0</v>
      </c>
      <c r="Q64" s="76">
        <f>SUMIFS(разходи!$L:$L,разходи!$E:$E,'ПП Април'!$C$64,разходи!$M:$M,'ПП Април'!Q2)</f>
        <v>0</v>
      </c>
      <c r="R64" s="76">
        <f>SUMIFS(разходи!$L:$L,разходи!$E:$E,'ПП Април'!$C$64,разходи!$M:$M,'ПП Април'!R2)</f>
        <v>0</v>
      </c>
      <c r="S64" s="70">
        <f>SUMIFS(разходи!$L:$L,разходи!$E:$E,'ПП Април'!$C$64,разходи!$M:$M,'ПП Април'!S2)</f>
        <v>0</v>
      </c>
      <c r="T64" s="74">
        <f>SUMIFS(разходи!$L:$L,разходи!$E:$E,'ПП Април'!$C$64,разходи!$M:$M,'ПП Април'!T2)</f>
        <v>0</v>
      </c>
      <c r="U64" s="74">
        <f>SUMIFS(разходи!$L:$L,разходи!$E:$E,'ПП Април'!$C$64,разходи!$M:$M,'ПП Април'!U2)</f>
        <v>0</v>
      </c>
      <c r="V64" s="70">
        <f>SUMIFS(разходи!$L:$L,разходи!$E:$E,'ПП Април'!$C$64,разходи!$M:$M,'ПП Април'!V2)</f>
        <v>0</v>
      </c>
      <c r="W64" s="70">
        <f>SUMIFS(разходи!$L:$L,разходи!$E:$E,'ПП Април'!$C$64,разходи!$M:$M,'ПП Април'!W2)</f>
        <v>0</v>
      </c>
      <c r="X64" s="76">
        <f>SUMIFS(разходи!$L:$L,разходи!$E:$E,'ПП Април'!$C$64,разходи!$M:$M,'ПП Април'!X2)</f>
        <v>0</v>
      </c>
      <c r="Y64" s="76">
        <f>SUMIFS(разходи!$L:$L,разходи!$E:$E,'ПП Април'!$C$64,разходи!$M:$M,'ПП Април'!Y2)</f>
        <v>0</v>
      </c>
      <c r="Z64" s="70">
        <f>SUMIFS(разходи!$L:$L,разходи!$E:$E,'ПП Април'!$C$64,разходи!$M:$M,'ПП Април'!Z2)</f>
        <v>22778.35</v>
      </c>
      <c r="AA64" s="74">
        <f>SUMIFS(разходи!$L:$L,разходи!$E:$E,'ПП Април'!$C$64,разходи!$M:$M,'ПП Април'!AA2)</f>
        <v>0</v>
      </c>
      <c r="AB64" s="74">
        <f>SUMIFS(разходи!$L:$L,разходи!$E:$E,'ПП Април'!$C$64,разходи!$M:$M,'ПП Април'!AB2)</f>
        <v>0</v>
      </c>
      <c r="AC64" s="70">
        <f>SUMIFS(разходи!$L:$L,разходи!$E:$E,'ПП Април'!$C$64,разходи!$M:$M,'ПП Април'!AC2)</f>
        <v>0</v>
      </c>
      <c r="AD64" s="70">
        <f>SUMIFS(разходи!$L:$L,разходи!$E:$E,'ПП Април'!$C$64,разходи!$M:$M,'ПП Април'!AD2)</f>
        <v>0</v>
      </c>
      <c r="AE64" s="76">
        <f>SUMIFS(разходи!$L:$L,разходи!$E:$E,'ПП Април'!$C$64,разходи!$M:$M,'ПП Април'!AE2)</f>
        <v>0</v>
      </c>
      <c r="AF64" s="76">
        <f>SUMIFS(разходи!$L:$L,разходи!$E:$E,'ПП Април'!$C$64,разходи!$M:$M,'ПП Април'!AF2)</f>
        <v>0</v>
      </c>
      <c r="AG64" s="70">
        <f>SUMIFS(разходи!$L:$L,разходи!$E:$E,'ПП Април'!$C$64,разходи!$M:$M,'ПП Април'!AG2)</f>
        <v>0</v>
      </c>
      <c r="AH64" s="74">
        <f>SUMIFS(разходи!$L:$L,разходи!$E:$E,'ПП Април'!$C$64,разходи!$M:$M,'ПП Април'!AH2)</f>
        <v>0</v>
      </c>
      <c r="AI64" s="61">
        <f t="shared" si="15"/>
        <v>22778.35</v>
      </c>
      <c r="AJ64" s="69">
        <f t="shared" si="16"/>
        <v>-14778.349999999999</v>
      </c>
    </row>
    <row r="65" spans="1:36" s="39" customFormat="1" ht="20.100000000000001" customHeight="1" outlineLevel="2" x14ac:dyDescent="0.3">
      <c r="A65" s="37"/>
      <c r="B65" s="38"/>
      <c r="C65" s="50" t="s">
        <v>877</v>
      </c>
      <c r="D65" s="68"/>
      <c r="E65" s="70">
        <f>SUMIFS(разходи!$L:$L,разходи!$E:$E,'ПП Април'!$C$65,разходи!$M:$M,'ПП Април'!E2)</f>
        <v>0</v>
      </c>
      <c r="F65" s="74">
        <f>SUMIFS(разходи!$L:$L,разходи!$E:$E,'ПП Април'!$C$65,разходи!$M:$M,'ПП Април'!F2)</f>
        <v>0</v>
      </c>
      <c r="G65" s="74">
        <f>SUMIFS(разходи!$L:$L,разходи!$E:$E,'ПП Април'!$C$65,разходи!$M:$M,'ПП Април'!G2)</f>
        <v>0</v>
      </c>
      <c r="H65" s="74">
        <f>SUMIFS(разходи!$L:$L,разходи!$E:$E,'ПП Април'!$C$65,разходи!$M:$M,'ПП Април'!H2)</f>
        <v>0</v>
      </c>
      <c r="I65" s="70">
        <f>SUMIFS(разходи!$L:$L,разходи!$E:$E,'ПП Април'!$C$65,разходи!$M:$M,'ПП Април'!I2)</f>
        <v>0</v>
      </c>
      <c r="J65" s="76">
        <f>SUMIFS(разходи!$L:$L,разходи!$E:$E,'ПП Април'!$C$65,разходи!$M:$M,'ПП Април'!J2)</f>
        <v>0</v>
      </c>
      <c r="K65" s="76">
        <f>SUMIFS(разходи!$L:$L,разходи!$E:$E,'ПП Април'!$C$65,разходи!$M:$M,'ПП Април'!K2)</f>
        <v>0</v>
      </c>
      <c r="L65" s="70">
        <f>SUMIFS(разходи!$L:$L,разходи!$E:$E,'ПП Април'!$C$65,разходи!$M:$M,'ПП Април'!L2)</f>
        <v>0</v>
      </c>
      <c r="M65" s="74">
        <f>SUMIFS(разходи!$L:$L,разходи!$E:$E,'ПП Април'!$C$65,разходи!$M:$M,'ПП Април'!M2)</f>
        <v>0</v>
      </c>
      <c r="N65" s="74">
        <f>SUMIFS(разходи!$L:$L,разходи!$E:$E,'ПП Април'!$C$65,разходи!$M:$M,'ПП Април'!N2)</f>
        <v>0</v>
      </c>
      <c r="O65" s="70">
        <f>SUMIFS(разходи!$L:$L,разходи!$E:$E,'ПП Април'!$C$65,разходи!$M:$M,'ПП Април'!O2)</f>
        <v>0</v>
      </c>
      <c r="P65" s="70">
        <f>SUMIFS(разходи!$L:$L,разходи!$E:$E,'ПП Април'!$C$65,разходи!$M:$M,'ПП Април'!P2)</f>
        <v>0</v>
      </c>
      <c r="Q65" s="76">
        <f>SUMIFS(разходи!$L:$L,разходи!$E:$E,'ПП Април'!$C$65,разходи!$M:$M,'ПП Април'!Q2)</f>
        <v>0</v>
      </c>
      <c r="R65" s="76">
        <f>SUMIFS(разходи!$L:$L,разходи!$E:$E,'ПП Април'!$C$65,разходи!$M:$M,'ПП Април'!R2)</f>
        <v>0</v>
      </c>
      <c r="S65" s="70">
        <f>SUMIFS(разходи!$L:$L,разходи!$E:$E,'ПП Април'!$C$65,разходи!$M:$M,'ПП Април'!S2)</f>
        <v>0</v>
      </c>
      <c r="T65" s="74">
        <f>SUMIFS(разходи!$L:$L,разходи!$E:$E,'ПП Април'!$C$65,разходи!$M:$M,'ПП Април'!T2)</f>
        <v>0</v>
      </c>
      <c r="U65" s="74">
        <f>SUMIFS(разходи!$L:$L,разходи!$E:$E,'ПП Април'!$C$65,разходи!$M:$M,'ПП Април'!U2)</f>
        <v>0</v>
      </c>
      <c r="V65" s="70">
        <f>SUMIFS(разходи!$L:$L,разходи!$E:$E,'ПП Април'!$C$65,разходи!$M:$M,'ПП Април'!V2)</f>
        <v>0</v>
      </c>
      <c r="W65" s="70">
        <f>SUMIFS(разходи!$L:$L,разходи!$E:$E,'ПП Април'!$C$65,разходи!$M:$M,'ПП Април'!W2)</f>
        <v>0</v>
      </c>
      <c r="X65" s="76">
        <f>SUMIFS(разходи!$L:$L,разходи!$E:$E,'ПП Април'!$C$65,разходи!$M:$M,'ПП Април'!X2)</f>
        <v>0</v>
      </c>
      <c r="Y65" s="76">
        <f>SUMIFS(разходи!$L:$L,разходи!$E:$E,'ПП Април'!$C$65,разходи!$M:$M,'ПП Април'!Y2)</f>
        <v>0</v>
      </c>
      <c r="Z65" s="70">
        <f>SUMIFS(разходи!$L:$L,разходи!$E:$E,'ПП Април'!$C$65,разходи!$M:$M,'ПП Април'!Z2)</f>
        <v>0</v>
      </c>
      <c r="AA65" s="74">
        <f>SUMIFS(разходи!$L:$L,разходи!$E:$E,'ПП Април'!$C$65,разходи!$M:$M,'ПП Април'!AA2)</f>
        <v>0</v>
      </c>
      <c r="AB65" s="74">
        <f>SUMIFS(разходи!$L:$L,разходи!$E:$E,'ПП Април'!$C$65,разходи!$M:$M,'ПП Април'!AB2)</f>
        <v>0</v>
      </c>
      <c r="AC65" s="70">
        <f>SUMIFS(разходи!$L:$L,разходи!$E:$E,'ПП Април'!$C$65,разходи!$M:$M,'ПП Април'!AC2)</f>
        <v>0</v>
      </c>
      <c r="AD65" s="70">
        <f>SUMIFS(разходи!$L:$L,разходи!$E:$E,'ПП Април'!$C$65,разходи!$M:$M,'ПП Април'!AD2)</f>
        <v>0</v>
      </c>
      <c r="AE65" s="76">
        <f>SUMIFS(разходи!$L:$L,разходи!$E:$E,'ПП Април'!$C$65,разходи!$M:$M,'ПП Април'!AE2)</f>
        <v>0</v>
      </c>
      <c r="AF65" s="76">
        <f>SUMIFS(разходи!$L:$L,разходи!$E:$E,'ПП Април'!$C$65,разходи!$M:$M,'ПП Април'!AF2)</f>
        <v>0</v>
      </c>
      <c r="AG65" s="70">
        <f>SUMIFS(разходи!$L:$L,разходи!$E:$E,'ПП Април'!$C$65,разходи!$M:$M,'ПП Април'!AG2)</f>
        <v>0</v>
      </c>
      <c r="AH65" s="74">
        <f>SUMIFS(разходи!$L:$L,разходи!$E:$E,'ПП Април'!$C$65,разходи!$M:$M,'ПП Април'!AH2)</f>
        <v>0</v>
      </c>
      <c r="AI65" s="61">
        <f t="shared" si="15"/>
        <v>0</v>
      </c>
      <c r="AJ65" s="69">
        <f t="shared" si="16"/>
        <v>0</v>
      </c>
    </row>
    <row r="66" spans="1:3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H66" si="23">D3-D23</f>
        <v>10225738.293198159</v>
      </c>
      <c r="E66" s="54">
        <f t="shared" si="23"/>
        <v>-83858.98000000001</v>
      </c>
      <c r="F66" s="54">
        <f t="shared" si="23"/>
        <v>52.359999999996774</v>
      </c>
      <c r="G66" s="54">
        <f t="shared" si="23"/>
        <v>-41295.47</v>
      </c>
      <c r="H66" s="54">
        <f t="shared" si="23"/>
        <v>-81979.429999999993</v>
      </c>
      <c r="I66" s="54">
        <f t="shared" si="23"/>
        <v>-46257.209999999992</v>
      </c>
      <c r="J66" s="54">
        <f t="shared" si="23"/>
        <v>0</v>
      </c>
      <c r="K66" s="54">
        <f t="shared" si="23"/>
        <v>0</v>
      </c>
      <c r="L66" s="54">
        <f t="shared" si="23"/>
        <v>742560.79</v>
      </c>
      <c r="M66" s="54">
        <f t="shared" si="23"/>
        <v>5011.4299999999994</v>
      </c>
      <c r="N66" s="54">
        <f t="shared" si="23"/>
        <v>-240099.71000000002</v>
      </c>
      <c r="O66" s="54">
        <f t="shared" si="23"/>
        <v>-281996.39</v>
      </c>
      <c r="P66" s="54">
        <f t="shared" si="23"/>
        <v>812188.45</v>
      </c>
      <c r="Q66" s="54">
        <f t="shared" si="23"/>
        <v>0</v>
      </c>
      <c r="R66" s="54">
        <f t="shared" si="23"/>
        <v>0</v>
      </c>
      <c r="S66" s="54">
        <f t="shared" si="23"/>
        <v>107062.864</v>
      </c>
      <c r="T66" s="54">
        <f t="shared" si="23"/>
        <v>-57725.73</v>
      </c>
      <c r="U66" s="54">
        <f t="shared" si="23"/>
        <v>-87269.43</v>
      </c>
      <c r="V66" s="54">
        <f t="shared" si="23"/>
        <v>-31700.379999999997</v>
      </c>
      <c r="W66" s="54">
        <f t="shared" si="23"/>
        <v>0</v>
      </c>
      <c r="X66" s="54">
        <f t="shared" si="23"/>
        <v>0</v>
      </c>
      <c r="Y66" s="54">
        <f t="shared" si="23"/>
        <v>-12319.998481615999</v>
      </c>
      <c r="Z66" s="54">
        <f t="shared" si="23"/>
        <v>-22778.35</v>
      </c>
      <c r="AA66" s="54">
        <f t="shared" si="23"/>
        <v>-91869</v>
      </c>
      <c r="AB66" s="54">
        <f t="shared" si="23"/>
        <v>-10680</v>
      </c>
      <c r="AC66" s="54">
        <f t="shared" si="23"/>
        <v>-54812.65</v>
      </c>
      <c r="AD66" s="54">
        <f t="shared" si="23"/>
        <v>1258894.4025784801</v>
      </c>
      <c r="AE66" s="54">
        <f t="shared" si="23"/>
        <v>0</v>
      </c>
      <c r="AF66" s="54">
        <f t="shared" si="23"/>
        <v>0</v>
      </c>
      <c r="AG66" s="54">
        <f t="shared" si="23"/>
        <v>491193.35599999997</v>
      </c>
      <c r="AH66" s="54">
        <f t="shared" si="23"/>
        <v>0</v>
      </c>
      <c r="AI66" s="54">
        <f t="shared" si="15"/>
        <v>2272320.9240968642</v>
      </c>
      <c r="AJ66" s="54">
        <f t="shared" si="16"/>
        <v>7953417.3691012952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792-8CE9-4D1E-A67D-BDC2747617D8}">
  <sheetPr>
    <tabColor theme="7" tint="0.79998168889431442"/>
  </sheetPr>
  <dimension ref="A1:AK67"/>
  <sheetViews>
    <sheetView topLeftCell="A25" zoomScale="60" zoomScaleNormal="60" workbookViewId="0">
      <pane xSplit="4" topLeftCell="Q1" activePane="topRight" state="frozen"/>
      <selection activeCell="D1" sqref="D1"/>
      <selection pane="topRight" activeCell="C46" sqref="C46"/>
    </sheetView>
  </sheetViews>
  <sheetFormatPr defaultColWidth="8.85546875" defaultRowHeight="15.75" outlineLevelRow="2" x14ac:dyDescent="0.25"/>
  <cols>
    <col min="1" max="1" width="11.28515625" style="14" customWidth="1"/>
    <col min="2" max="2" width="3.5703125" style="14" customWidth="1"/>
    <col min="3" max="3" width="82.28515625" style="28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0" width="27" style="14" customWidth="1"/>
    <col min="21" max="21" width="17" style="14" customWidth="1"/>
    <col min="22" max="22" width="16.42578125" style="14" customWidth="1"/>
    <col min="23" max="23" width="15.28515625" style="14" customWidth="1"/>
    <col min="24" max="24" width="17.28515625" style="14" customWidth="1"/>
    <col min="25" max="27" width="19.5703125" style="14" customWidth="1"/>
    <col min="28" max="28" width="15.7109375" style="14" customWidth="1"/>
    <col min="29" max="29" width="15.140625" style="14" customWidth="1"/>
    <col min="30" max="30" width="14.140625" style="14" customWidth="1"/>
    <col min="31" max="31" width="16.85546875" style="14" bestFit="1" customWidth="1"/>
    <col min="32" max="32" width="18.85546875" style="14" customWidth="1"/>
    <col min="33" max="33" width="16.85546875" style="14" bestFit="1" customWidth="1"/>
    <col min="34" max="34" width="16.7109375" style="14" customWidth="1"/>
    <col min="35" max="35" width="16.42578125" style="14" customWidth="1"/>
    <col min="36" max="36" width="21.28515625" style="30" bestFit="1" customWidth="1"/>
    <col min="37" max="37" width="23.42578125" style="14" customWidth="1"/>
    <col min="38" max="38" width="20.5703125" style="14" bestFit="1" customWidth="1"/>
    <col min="39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ht="31.5" x14ac:dyDescent="0.25">
      <c r="A2" s="15"/>
      <c r="B2" s="16"/>
      <c r="C2" s="17" t="s">
        <v>842</v>
      </c>
      <c r="D2" s="17" t="s">
        <v>843</v>
      </c>
      <c r="E2" s="83">
        <v>45413</v>
      </c>
      <c r="F2" s="81">
        <f>+E2+1</f>
        <v>45414</v>
      </c>
      <c r="G2" s="83">
        <f t="shared" ref="G2:AI2" si="0">+F2+1</f>
        <v>45415</v>
      </c>
      <c r="H2" s="83">
        <f t="shared" si="0"/>
        <v>45416</v>
      </c>
      <c r="I2" s="83">
        <f t="shared" si="0"/>
        <v>45417</v>
      </c>
      <c r="J2" s="83">
        <f t="shared" si="0"/>
        <v>45418</v>
      </c>
      <c r="K2" s="81">
        <f t="shared" si="0"/>
        <v>45419</v>
      </c>
      <c r="L2" s="81">
        <f t="shared" si="0"/>
        <v>45420</v>
      </c>
      <c r="M2" s="81">
        <f t="shared" si="0"/>
        <v>45421</v>
      </c>
      <c r="N2" s="81">
        <f t="shared" si="0"/>
        <v>45422</v>
      </c>
      <c r="O2" s="83">
        <f>+N2+1</f>
        <v>45423</v>
      </c>
      <c r="P2" s="83">
        <f t="shared" si="0"/>
        <v>45424</v>
      </c>
      <c r="Q2" s="82">
        <f t="shared" si="0"/>
        <v>45425</v>
      </c>
      <c r="R2" s="82">
        <f t="shared" si="0"/>
        <v>45426</v>
      </c>
      <c r="S2" s="81">
        <f t="shared" si="0"/>
        <v>45427</v>
      </c>
      <c r="T2" s="81">
        <f t="shared" si="0"/>
        <v>45428</v>
      </c>
      <c r="U2" s="81">
        <f t="shared" si="0"/>
        <v>45429</v>
      </c>
      <c r="V2" s="83">
        <f t="shared" si="0"/>
        <v>45430</v>
      </c>
      <c r="W2" s="83">
        <f t="shared" si="0"/>
        <v>45431</v>
      </c>
      <c r="X2" s="81">
        <f t="shared" si="0"/>
        <v>45432</v>
      </c>
      <c r="Y2" s="81">
        <f t="shared" si="0"/>
        <v>45433</v>
      </c>
      <c r="Z2" s="81">
        <f t="shared" si="0"/>
        <v>45434</v>
      </c>
      <c r="AA2" s="81">
        <f t="shared" si="0"/>
        <v>45435</v>
      </c>
      <c r="AB2" s="83">
        <f t="shared" si="0"/>
        <v>45436</v>
      </c>
      <c r="AC2" s="83">
        <f t="shared" si="0"/>
        <v>45437</v>
      </c>
      <c r="AD2" s="83">
        <f t="shared" si="0"/>
        <v>45438</v>
      </c>
      <c r="AE2" s="81">
        <f t="shared" si="0"/>
        <v>45439</v>
      </c>
      <c r="AF2" s="81">
        <f t="shared" si="0"/>
        <v>45440</v>
      </c>
      <c r="AG2" s="81">
        <f t="shared" si="0"/>
        <v>45441</v>
      </c>
      <c r="AH2" s="81">
        <f t="shared" si="0"/>
        <v>45442</v>
      </c>
      <c r="AI2" s="81">
        <f t="shared" si="0"/>
        <v>45443</v>
      </c>
      <c r="AJ2" s="19" t="s">
        <v>844</v>
      </c>
      <c r="AK2" s="20" t="s">
        <v>845</v>
      </c>
    </row>
    <row r="3" spans="1:37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11408.196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755676.68399999989</v>
      </c>
      <c r="AF3" s="54">
        <f t="shared" si="1"/>
        <v>1856679.5160000001</v>
      </c>
      <c r="AG3" s="54">
        <f t="shared" si="1"/>
        <v>10435.968000000001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2634200.3639999996</v>
      </c>
      <c r="AK3" s="54">
        <f t="shared" ref="AK3:AK4" si="3">+AJ3</f>
        <v>2634200.3639999996</v>
      </c>
    </row>
    <row r="4" spans="1:37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0</v>
      </c>
      <c r="E4" s="77">
        <f>SUM(E5,E9,E10)</f>
        <v>0</v>
      </c>
      <c r="F4" s="73">
        <f>SUM(F5,F9,F10)</f>
        <v>0</v>
      </c>
      <c r="G4" s="77">
        <f>SUM(G5,G9,G10)</f>
        <v>0</v>
      </c>
      <c r="H4" s="77">
        <f>+H5+H9+H10</f>
        <v>0</v>
      </c>
      <c r="I4" s="77">
        <f t="shared" ref="I4:AI4" si="5">SUM(I5,I9,I10)</f>
        <v>0</v>
      </c>
      <c r="J4" s="77">
        <f t="shared" si="5"/>
        <v>0</v>
      </c>
      <c r="K4" s="73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0</v>
      </c>
      <c r="O4" s="77">
        <f t="shared" si="5"/>
        <v>0</v>
      </c>
      <c r="P4" s="77">
        <f t="shared" si="5"/>
        <v>0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3">
        <f t="shared" si="5"/>
        <v>0</v>
      </c>
      <c r="V4" s="77">
        <f t="shared" si="5"/>
        <v>0</v>
      </c>
      <c r="W4" s="77">
        <f t="shared" si="5"/>
        <v>0</v>
      </c>
      <c r="X4" s="73">
        <f t="shared" si="5"/>
        <v>10435.968000000001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7">
        <f t="shared" si="5"/>
        <v>0</v>
      </c>
      <c r="AE4" s="73">
        <f t="shared" si="5"/>
        <v>671550.97199999995</v>
      </c>
      <c r="AF4" s="73">
        <f t="shared" si="5"/>
        <v>1798132.176</v>
      </c>
      <c r="AG4" s="73">
        <f t="shared" si="5"/>
        <v>10435.968000000001</v>
      </c>
      <c r="AH4" s="73">
        <f t="shared" si="5"/>
        <v>0</v>
      </c>
      <c r="AI4" s="73">
        <f t="shared" si="5"/>
        <v>0</v>
      </c>
      <c r="AJ4" s="57">
        <f t="shared" si="2"/>
        <v>2490555.0839999998</v>
      </c>
      <c r="AK4" s="58">
        <f t="shared" si="3"/>
        <v>2490555.0839999998</v>
      </c>
    </row>
    <row r="5" spans="1:37" s="4" customFormat="1" ht="20.100000000000001" customHeight="1" x14ac:dyDescent="0.3">
      <c r="B5" s="7">
        <v>1</v>
      </c>
      <c r="C5" s="8" t="s">
        <v>850</v>
      </c>
      <c r="D5" s="74">
        <f>SUM(D6:D8)</f>
        <v>0</v>
      </c>
      <c r="E5" s="76">
        <f t="shared" ref="E5" si="6">SUM(E6:E8)</f>
        <v>0</v>
      </c>
      <c r="F5" s="74">
        <f>SUM(F6:F8)</f>
        <v>0</v>
      </c>
      <c r="G5" s="76">
        <f>SUM(G6:G8)</f>
        <v>0</v>
      </c>
      <c r="H5" s="76">
        <f>+H6+H7+H8</f>
        <v>0</v>
      </c>
      <c r="I5" s="76">
        <f t="shared" ref="I5:AI5" si="7">SUM(I6:I8)</f>
        <v>0</v>
      </c>
      <c r="J5" s="76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0</v>
      </c>
      <c r="O5" s="76">
        <f t="shared" si="7"/>
        <v>0</v>
      </c>
      <c r="P5" s="76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4">
        <f t="shared" si="7"/>
        <v>0</v>
      </c>
      <c r="V5" s="76">
        <f t="shared" si="7"/>
        <v>0</v>
      </c>
      <c r="W5" s="76">
        <f t="shared" si="7"/>
        <v>0</v>
      </c>
      <c r="X5" s="74">
        <f t="shared" si="7"/>
        <v>10435.968000000001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6">
        <f t="shared" si="7"/>
        <v>0</v>
      </c>
      <c r="AE5" s="74">
        <f t="shared" si="7"/>
        <v>671550.97199999995</v>
      </c>
      <c r="AF5" s="74">
        <f t="shared" si="7"/>
        <v>1798132.176</v>
      </c>
      <c r="AG5" s="74">
        <f t="shared" si="7"/>
        <v>10435.968000000001</v>
      </c>
      <c r="AH5" s="74">
        <f t="shared" si="7"/>
        <v>0</v>
      </c>
      <c r="AI5" s="74">
        <f t="shared" si="7"/>
        <v>0</v>
      </c>
      <c r="AJ5" s="61">
        <f t="shared" si="2"/>
        <v>2490555.0839999998</v>
      </c>
      <c r="AK5" s="62">
        <f>+AJ5</f>
        <v>2490555.0839999998</v>
      </c>
    </row>
    <row r="6" spans="1:37" s="23" customFormat="1" ht="20.100000000000001" customHeight="1" outlineLevel="1" x14ac:dyDescent="0.3">
      <c r="B6" s="24"/>
      <c r="C6" s="25" t="s">
        <v>851</v>
      </c>
      <c r="D6" s="79"/>
      <c r="E6" s="78"/>
      <c r="F6" s="75"/>
      <c r="G6" s="78"/>
      <c r="H6" s="78"/>
      <c r="I6" s="78"/>
      <c r="J6" s="78"/>
      <c r="K6" s="75"/>
      <c r="L6" s="75"/>
      <c r="M6" s="75"/>
      <c r="N6" s="75"/>
      <c r="O6" s="78"/>
      <c r="P6" s="78"/>
      <c r="Q6" s="75"/>
      <c r="R6" s="75"/>
      <c r="S6" s="75"/>
      <c r="T6" s="75"/>
      <c r="U6" s="75"/>
      <c r="V6" s="78"/>
      <c r="W6" s="78"/>
      <c r="X6" s="75"/>
      <c r="Y6" s="75"/>
      <c r="Z6" s="75"/>
      <c r="AA6" s="75"/>
      <c r="AB6" s="78"/>
      <c r="AC6" s="78"/>
      <c r="AD6" s="78"/>
      <c r="AE6" s="75"/>
      <c r="AF6" s="75"/>
      <c r="AG6" s="75"/>
      <c r="AH6" s="75"/>
      <c r="AI6" s="75"/>
      <c r="AJ6" s="66">
        <f t="shared" si="2"/>
        <v>0</v>
      </c>
      <c r="AK6" s="62">
        <f t="shared" ref="AK6:AK22" si="8">+AJ6</f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6">
        <f>SUMIFS(приходи!$L:$L,приходи!$E:$E,'ПП Май'!$C$7,приходи!$M:$M,'ПП Май'!E2)</f>
        <v>0</v>
      </c>
      <c r="F7" s="74">
        <f>SUMIFS(приходи!$L:$L,приходи!$E:$E,'ПП Май'!$C$7,приходи!$M:$M,'ПП Май'!F2)</f>
        <v>0</v>
      </c>
      <c r="G7" s="76">
        <f>SUMIFS(приходи!$L:$L,приходи!$E:$E,'ПП Май'!$C$7,приходи!$M:$M,'ПП Май'!G2)</f>
        <v>0</v>
      </c>
      <c r="H7" s="76">
        <f>SUMIFS(приходи!$L:$L,приходи!$E:$E,'ПП Май'!$C$7,приходи!$M:$M,'ПП Май'!H2)</f>
        <v>0</v>
      </c>
      <c r="I7" s="76">
        <f>SUMIFS(приходи!$L:$L,приходи!$E:$E,'ПП Май'!$C$7,приходи!$M:$M,'ПП Май'!I2)</f>
        <v>0</v>
      </c>
      <c r="J7" s="76">
        <f>SUMIFS(приходи!$L:$L,приходи!$E:$E,'ПП Май'!$C$7,приходи!$M:$M,'ПП Май'!J2)</f>
        <v>0</v>
      </c>
      <c r="K7" s="74">
        <f>SUMIFS(приходи!$L:$L,приходи!$E:$E,'ПП Май'!$C$7,приходи!$M:$M,'ПП Май'!K2)</f>
        <v>0</v>
      </c>
      <c r="L7" s="74">
        <f>SUMIFS(приходи!$L:$L,приходи!$E:$E,'ПП Май'!$C$7,приходи!$M:$M,'ПП Май'!L2)</f>
        <v>0</v>
      </c>
      <c r="M7" s="74">
        <f>SUMIFS(приходи!$L:$L,приходи!$E:$E,'ПП Май'!$C$7,приходи!$M:$M,'ПП Май'!M2)</f>
        <v>0</v>
      </c>
      <c r="N7" s="74">
        <f>SUMIFS(приходи!$L:$L,приходи!$E:$E,'ПП Май'!$C$7,приходи!$M:$M,'ПП Май'!N2)</f>
        <v>0</v>
      </c>
      <c r="O7" s="76">
        <f>SUMIFS(приходи!$L:$L,приходи!$E:$E,'ПП Май'!$C$7,приходи!$M:$M,'ПП Май'!O2)</f>
        <v>0</v>
      </c>
      <c r="P7" s="76">
        <f>SUMIFS(приходи!$L:$L,приходи!$E:$E,'ПП Май'!$C$7,приходи!$M:$M,'ПП Май'!P2)</f>
        <v>0</v>
      </c>
      <c r="Q7" s="74">
        <f>SUMIFS(приходи!$L:$L,приходи!$E:$E,'ПП Май'!$C$7,приходи!$M:$M,'ПП Май'!Q2)</f>
        <v>0</v>
      </c>
      <c r="R7" s="74">
        <f>SUMIFS(приходи!$L:$L,приходи!$E:$E,'ПП Май'!$C$7,приходи!$M:$M,'ПП Май'!R2)</f>
        <v>0</v>
      </c>
      <c r="S7" s="74">
        <f>SUMIFS(приходи!$L:$L,приходи!$E:$E,'ПП Май'!$C$7,приходи!$M:$M,'ПП Май'!S2)</f>
        <v>0</v>
      </c>
      <c r="T7" s="74">
        <f>SUMIFS(приходи!$L:$L,приходи!$E:$E,'ПП Май'!$C$7,приходи!$M:$M,'ПП Май'!T2)</f>
        <v>0</v>
      </c>
      <c r="U7" s="74">
        <f>SUMIFS(приходи!$L:$L,приходи!$E:$E,'ПП Май'!$C$7,приходи!$M:$M,'ПП Май'!U2)</f>
        <v>0</v>
      </c>
      <c r="V7" s="76">
        <f>SUMIFS(приходи!$L:$L,приходи!$E:$E,'ПП Май'!$C$7,приходи!$M:$M,'ПП Май'!V2)</f>
        <v>0</v>
      </c>
      <c r="W7" s="76">
        <f>SUMIFS(приходи!$L:$L,приходи!$E:$E,'ПП Май'!$C$7,приходи!$M:$M,'ПП Май'!W2)</f>
        <v>0</v>
      </c>
      <c r="X7" s="74">
        <f>SUMIFS(приходи!$L:$L,приходи!$E:$E,'ПП Май'!$C$7,приходи!$M:$M,'ПП Май'!X2)</f>
        <v>0</v>
      </c>
      <c r="Y7" s="74">
        <f>SUMIFS(приходи!$L:$L,приходи!$E:$E,'ПП Май'!$C$7,приходи!$M:$M,'ПП Май'!Y2)</f>
        <v>0</v>
      </c>
      <c r="Z7" s="74">
        <f>SUMIFS(приходи!$L:$L,приходи!$E:$E,'ПП Май'!$C$7,приходи!$M:$M,'ПП Май'!Z2)</f>
        <v>0</v>
      </c>
      <c r="AA7" s="74">
        <f>SUMIFS(приходи!$L:$L,приходи!$E:$E,'ПП Май'!$C$7,приходи!$M:$M,'ПП Май'!AA2)</f>
        <v>0</v>
      </c>
      <c r="AB7" s="76">
        <f>SUMIFS(приходи!$L:$L,приходи!$E:$E,'ПП Май'!$C$7,приходи!$M:$M,'ПП Май'!AB2)</f>
        <v>0</v>
      </c>
      <c r="AC7" s="76">
        <f>SUMIFS(приходи!$L:$L,приходи!$E:$E,'ПП Май'!$C$7,приходи!$M:$M,'ПП Май'!AC2)</f>
        <v>0</v>
      </c>
      <c r="AD7" s="76">
        <f>SUMIFS(приходи!$L:$L,приходи!$E:$E,'ПП Май'!$C$7,приходи!$M:$M,'ПП Май'!AD2)</f>
        <v>0</v>
      </c>
      <c r="AE7" s="74">
        <f>SUMIFS(приходи!$L:$L,приходи!$E:$E,'ПП Май'!$C$7,приходи!$M:$M,'ПП Май'!AE2)</f>
        <v>671550.97199999995</v>
      </c>
      <c r="AF7" s="74">
        <f>SUMIFS(приходи!$L:$L,приходи!$E:$E,'ПП Май'!$C$7,приходи!$M:$M,'ПП Май'!AF2)</f>
        <v>1798132.176</v>
      </c>
      <c r="AG7" s="74">
        <f>SUMIFS(приходи!$L:$L,приходи!$E:$E,'ПП Май'!$C$7,приходи!$M:$M,'ПП Май'!AG2)</f>
        <v>0</v>
      </c>
      <c r="AH7" s="74">
        <f>SUMIFS(приходи!$L:$L,приходи!$E:$E,'ПП Май'!$C$7,приходи!$M:$M,'ПП Май'!AH2)</f>
        <v>0</v>
      </c>
      <c r="AI7" s="74">
        <f>SUMIFS(приходи!$L:$L,приходи!$E:$E,'ПП Май'!$C$7,приходи!$M:$M,'ПП Май'!AI2)</f>
        <v>0</v>
      </c>
      <c r="AJ7" s="61">
        <f t="shared" si="2"/>
        <v>2469683.148</v>
      </c>
      <c r="AK7" s="62">
        <f t="shared" si="8"/>
        <v>2469683.148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6">
        <f>SUMIFS(приходи!$L:$L,приходи!$E:$E,'ПП Май'!$C$8,приходи!$M:$M,'ПП Май'!E2)</f>
        <v>0</v>
      </c>
      <c r="F8" s="74">
        <f>SUMIFS(приходи!$L:$L,приходи!$E:$E,'ПП Май'!$C$8,приходи!$M:$M,'ПП Май'!F2)</f>
        <v>0</v>
      </c>
      <c r="G8" s="76">
        <f>SUMIFS(приходи!$L:$L,приходи!$E:$E,'ПП Май'!$C$8,приходи!$M:$M,'ПП Май'!G2)</f>
        <v>0</v>
      </c>
      <c r="H8" s="76">
        <f>SUMIFS(приходи!$L:$L,приходи!$E:$E,'ПП Май'!$C$8,приходи!$M:$M,'ПП Май'!H2)</f>
        <v>0</v>
      </c>
      <c r="I8" s="76">
        <f>SUMIFS(приходи!$L:$L,приходи!$E:$E,'ПП Май'!$C$8,приходи!$M:$M,'ПП Май'!I2)</f>
        <v>0</v>
      </c>
      <c r="J8" s="76">
        <f>SUMIFS(приходи!$L:$L,приходи!$E:$E,'ПП Май'!$C$8,приходи!$M:$M,'ПП Май'!J2)</f>
        <v>0</v>
      </c>
      <c r="K8" s="74">
        <f>SUMIFS(приходи!$L:$L,приходи!$E:$E,'ПП Май'!$C$8,приходи!$M:$M,'ПП Май'!K2)</f>
        <v>0</v>
      </c>
      <c r="L8" s="74">
        <f>SUMIFS(приходи!$L:$L,приходи!$E:$E,'ПП Май'!$C$8,приходи!$M:$M,'ПП Май'!L2)</f>
        <v>0</v>
      </c>
      <c r="M8" s="74">
        <f>SUMIFS(приходи!$L:$L,приходи!$E:$E,'ПП Май'!$C$8,приходи!$M:$M,'ПП Май'!M2)</f>
        <v>0</v>
      </c>
      <c r="N8" s="74">
        <f>SUMIFS(приходи!$L:$L,приходи!$E:$E,'ПП Май'!$C$8,приходи!$M:$M,'ПП Май'!N2)</f>
        <v>0</v>
      </c>
      <c r="O8" s="76">
        <f>SUMIFS(приходи!$L:$L,приходи!$E:$E,'ПП Май'!$C$8,приходи!$M:$M,'ПП Май'!O2)</f>
        <v>0</v>
      </c>
      <c r="P8" s="76">
        <f>SUMIFS(приходи!$L:$L,приходи!$E:$E,'ПП Май'!$C$8,приходи!$M:$M,'ПП Май'!P2)</f>
        <v>0</v>
      </c>
      <c r="Q8" s="74">
        <f>SUMIFS(приходи!$L:$L,приходи!$E:$E,'ПП Май'!$C$8,приходи!$M:$M,'ПП Май'!Q2)</f>
        <v>0</v>
      </c>
      <c r="R8" s="74">
        <f>SUMIFS(приходи!$L:$L,приходи!$E:$E,'ПП Май'!$C$8,приходи!$M:$M,'ПП Май'!R2)</f>
        <v>0</v>
      </c>
      <c r="S8" s="74">
        <f>SUMIFS(приходи!$L:$L,приходи!$E:$E,'ПП Май'!$C$8,приходи!$M:$M,'ПП Май'!S2)</f>
        <v>0</v>
      </c>
      <c r="T8" s="74">
        <f>SUMIFS(приходи!$L:$L,приходи!$E:$E,'ПП Май'!$C$8,приходи!$M:$M,'ПП Май'!T2)</f>
        <v>0</v>
      </c>
      <c r="U8" s="74">
        <f>SUMIFS(приходи!$L:$L,приходи!$E:$E,'ПП Май'!$C$8,приходи!$M:$M,'ПП Май'!U2)</f>
        <v>0</v>
      </c>
      <c r="V8" s="76">
        <f>SUMIFS(приходи!$L:$L,приходи!$E:$E,'ПП Май'!$C$8,приходи!$M:$M,'ПП Май'!V2)</f>
        <v>0</v>
      </c>
      <c r="W8" s="76">
        <f>SUMIFS(приходи!$L:$L,приходи!$E:$E,'ПП Май'!$C$8,приходи!$M:$M,'ПП Май'!W2)</f>
        <v>0</v>
      </c>
      <c r="X8" s="74">
        <f>SUMIFS(приходи!$L:$L,приходи!$E:$E,'ПП Май'!$C$8,приходи!$M:$M,'ПП Май'!X2)</f>
        <v>10435.968000000001</v>
      </c>
      <c r="Y8" s="74">
        <f>SUMIFS(приходи!$L:$L,приходи!$E:$E,'ПП Май'!$C$8,приходи!$M:$M,'ПП Май'!Y2)</f>
        <v>0</v>
      </c>
      <c r="Z8" s="74">
        <f>SUMIFS(приходи!$L:$L,приходи!$E:$E,'ПП Май'!$C$8,приходи!$M:$M,'ПП Май'!Z2)</f>
        <v>0</v>
      </c>
      <c r="AA8" s="74">
        <f>SUMIFS(приходи!$L:$L,приходи!$E:$E,'ПП Май'!$C$8,приходи!$M:$M,'ПП Май'!AA2)</f>
        <v>0</v>
      </c>
      <c r="AB8" s="76">
        <f>SUMIFS(приходи!$L:$L,приходи!$E:$E,'ПП Май'!$C$8,приходи!$M:$M,'ПП Май'!AB2)</f>
        <v>0</v>
      </c>
      <c r="AC8" s="76">
        <f>SUMIFS(приходи!$L:$L,приходи!$E:$E,'ПП Май'!$C$8,приходи!$M:$M,'ПП Май'!AC2)</f>
        <v>0</v>
      </c>
      <c r="AD8" s="76">
        <f>SUMIFS(приходи!$L:$L,приходи!$E:$E,'ПП Май'!$C$8,приходи!$M:$M,'ПП Май'!AD2)</f>
        <v>0</v>
      </c>
      <c r="AE8" s="74">
        <f>SUMIFS(приходи!$L:$L,приходи!$E:$E,'ПП Май'!$C$8,приходи!$M:$M,'ПП Май'!AE2)</f>
        <v>0</v>
      </c>
      <c r="AF8" s="74">
        <f>SUMIFS(приходи!$L:$L,приходи!$E:$E,'ПП Май'!$C$8,приходи!$M:$M,'ПП Май'!AF2)</f>
        <v>0</v>
      </c>
      <c r="AG8" s="74">
        <f>SUMIFS(приходи!$L:$L,приходи!$E:$E,'ПП Май'!$C$8,приходи!$M:$M,'ПП Май'!AG2)</f>
        <v>10435.968000000001</v>
      </c>
      <c r="AH8" s="74">
        <f>SUMIFS(приходи!$L:$L,приходи!$E:$E,'ПП Май'!$C$8,приходи!$M:$M,'ПП Май'!AH2)</f>
        <v>0</v>
      </c>
      <c r="AI8" s="74">
        <f>SUMIFS(приходи!$L:$L,приходи!$E:$E,'ПП Май'!$C$8,приходи!$M:$M,'ПП Май'!AI2)</f>
        <v>0</v>
      </c>
      <c r="AJ8" s="61">
        <f t="shared" si="2"/>
        <v>20871.936000000002</v>
      </c>
      <c r="AK8" s="62">
        <f t="shared" si="8"/>
        <v>20871.936000000002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Май'!$C$9,приходи!$M:$M,'ПП Май'!E2)</f>
        <v>0</v>
      </c>
      <c r="F9" s="74">
        <f>SUMIFS(приходи!$L:$L,приходи!$E:$E,'ПП Май'!$C$9,приходи!$M:$M,'ПП Май'!F2)</f>
        <v>0</v>
      </c>
      <c r="G9" s="76">
        <f>SUMIFS(приходи!$L:$L,приходи!$E:$E,'ПП Май'!$C$9,приходи!$M:$M,'ПП Май'!G2)</f>
        <v>0</v>
      </c>
      <c r="H9" s="76">
        <f>SUMIFS(приходи!$L:$L,приходи!$E:$E,'ПП Май'!$C$9,приходи!$M:$M,'ПП Май'!H2)</f>
        <v>0</v>
      </c>
      <c r="I9" s="76">
        <f>SUMIFS(приходи!$L:$L,приходи!$E:$E,'ПП Май'!$C$9,приходи!$M:$M,'ПП Май'!I2)</f>
        <v>0</v>
      </c>
      <c r="J9" s="76">
        <f>SUMIFS(приходи!$L:$L,приходи!$E:$E,'ПП Май'!$C$9,приходи!$M:$M,'ПП Май'!J2)</f>
        <v>0</v>
      </c>
      <c r="K9" s="74">
        <f>SUMIFS(приходи!$L:$L,приходи!$E:$E,'ПП Май'!$C$9,приходи!$M:$M,'ПП Май'!K2)</f>
        <v>0</v>
      </c>
      <c r="L9" s="74">
        <f>SUMIFS(приходи!$L:$L,приходи!$E:$E,'ПП Май'!$C$9,приходи!$M:$M,'ПП Май'!L2)</f>
        <v>0</v>
      </c>
      <c r="M9" s="74">
        <f>SUMIFS(приходи!$L:$L,приходи!$E:$E,'ПП Май'!$C$9,приходи!$M:$M,'ПП Май'!M2)</f>
        <v>0</v>
      </c>
      <c r="N9" s="74">
        <f>SUMIFS(приходи!$L:$L,приходи!$E:$E,'ПП Май'!$C$9,приходи!$M:$M,'ПП Май'!N2)</f>
        <v>0</v>
      </c>
      <c r="O9" s="76">
        <f>SUMIFS(приходи!$L:$L,приходи!$E:$E,'ПП Май'!$C$9,приходи!$M:$M,'ПП Май'!O2)</f>
        <v>0</v>
      </c>
      <c r="P9" s="76">
        <f>SUMIFS(приходи!$L:$L,приходи!$E:$E,'ПП Май'!$C$9,приходи!$M:$M,'ПП Май'!P2)</f>
        <v>0</v>
      </c>
      <c r="Q9" s="74">
        <f>SUMIFS(приходи!$L:$L,приходи!$E:$E,'ПП Май'!$C$9,приходи!$M:$M,'ПП Май'!Q2)</f>
        <v>0</v>
      </c>
      <c r="R9" s="74">
        <f>SUMIFS(приходи!$L:$L,приходи!$E:$E,'ПП Май'!$C$9,приходи!$M:$M,'ПП Май'!R2)</f>
        <v>0</v>
      </c>
      <c r="S9" s="74">
        <f>SUMIFS(приходи!$L:$L,приходи!$E:$E,'ПП Май'!$C$9,приходи!$M:$M,'ПП Май'!S2)</f>
        <v>0</v>
      </c>
      <c r="T9" s="74">
        <f>SUMIFS(приходи!$L:$L,приходи!$E:$E,'ПП Май'!$C$9,приходи!$M:$M,'ПП Май'!T2)</f>
        <v>0</v>
      </c>
      <c r="U9" s="74">
        <f>SUMIFS(приходи!$L:$L,приходи!$E:$E,'ПП Май'!$C$9,приходи!$M:$M,'ПП Май'!U2)</f>
        <v>0</v>
      </c>
      <c r="V9" s="76">
        <f>SUMIFS(приходи!$L:$L,приходи!$E:$E,'ПП Май'!$C$9,приходи!$M:$M,'ПП Май'!V2)</f>
        <v>0</v>
      </c>
      <c r="W9" s="76">
        <f>SUMIFS(приходи!$L:$L,приходи!$E:$E,'ПП Май'!$C$9,приходи!$M:$M,'ПП Май'!W2)</f>
        <v>0</v>
      </c>
      <c r="X9" s="74">
        <f>SUMIFS(приходи!$L:$L,приходи!$E:$E,'ПП Май'!$C$9,приходи!$M:$M,'ПП Май'!X2)</f>
        <v>0</v>
      </c>
      <c r="Y9" s="74">
        <f>SUMIFS(приходи!$L:$L,приходи!$E:$E,'ПП Май'!$C$9,приходи!$M:$M,'ПП Май'!Y2)</f>
        <v>0</v>
      </c>
      <c r="Z9" s="74">
        <f>SUMIFS(приходи!$L:$L,приходи!$E:$E,'ПП Май'!$C$9,приходи!$M:$M,'ПП Май'!Z2)</f>
        <v>0</v>
      </c>
      <c r="AA9" s="74">
        <f>SUMIFS(приходи!$L:$L,приходи!$E:$E,'ПП Май'!$C$9,приходи!$M:$M,'ПП Май'!AA2)</f>
        <v>0</v>
      </c>
      <c r="AB9" s="76">
        <f>SUMIFS(приходи!$L:$L,приходи!$E:$E,'ПП Май'!$C$9,приходи!$M:$M,'ПП Май'!AB2)</f>
        <v>0</v>
      </c>
      <c r="AC9" s="76">
        <f>SUMIFS(приходи!$L:$L,приходи!$E:$E,'ПП Май'!$C$9,приходи!$M:$M,'ПП Май'!AC2)</f>
        <v>0</v>
      </c>
      <c r="AD9" s="76">
        <f>SUMIFS(приходи!$L:$L,приходи!$E:$E,'ПП Май'!$C$9,приходи!$M:$M,'ПП Май'!AD2)</f>
        <v>0</v>
      </c>
      <c r="AE9" s="74">
        <f>SUMIFS(приходи!$L:$L,приходи!$E:$E,'ПП Май'!$C$9,приходи!$M:$M,'ПП Май'!AE2)</f>
        <v>0</v>
      </c>
      <c r="AF9" s="74">
        <f>SUMIFS(приходи!$L:$L,приходи!$E:$E,'ПП Май'!$C$9,приходи!$M:$M,'ПП Май'!AF2)</f>
        <v>0</v>
      </c>
      <c r="AG9" s="74">
        <f>SUMIFS(приходи!$L:$L,приходи!$E:$E,'ПП Май'!$C$9,приходи!$M:$M,'ПП Май'!AG2)</f>
        <v>0</v>
      </c>
      <c r="AH9" s="74">
        <f>SUMIFS(приходи!$L:$L,приходи!$E:$E,'ПП Май'!$C$9,приходи!$M:$M,'ПП Май'!AH2)</f>
        <v>0</v>
      </c>
      <c r="AI9" s="74">
        <f>SUMIFS(приходи!$L:$L,приходи!$E:$E,'ПП Май'!$C$9,приходи!$M:$M,'ПП Май'!AI2)</f>
        <v>0</v>
      </c>
      <c r="AJ9" s="61">
        <f t="shared" si="2"/>
        <v>0</v>
      </c>
      <c r="AK9" s="62">
        <f t="shared" si="8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Май'!$C$10,приходи!$M:$M,'ПП Май'!E2)</f>
        <v>0</v>
      </c>
      <c r="F10" s="74">
        <f>SUMIFS(приходи!$L:$L,приходи!$E:$E,'ПП Май'!$C$10,приходи!$M:$M,'ПП Май'!F2)</f>
        <v>0</v>
      </c>
      <c r="G10" s="76">
        <f>SUMIFS(приходи!$L:$L,приходи!$E:$E,'ПП Май'!$C$10,приходи!$M:$M,'ПП Май'!G2)</f>
        <v>0</v>
      </c>
      <c r="H10" s="76">
        <f>SUMIFS(приходи!$L:$L,приходи!$E:$E,'ПП Май'!$C$10,приходи!$M:$M,'ПП Май'!H2)</f>
        <v>0</v>
      </c>
      <c r="I10" s="76">
        <f>SUMIFS(приходи!$L:$L,приходи!$E:$E,'ПП Май'!$C$10,приходи!$M:$M,'ПП Май'!I2)</f>
        <v>0</v>
      </c>
      <c r="J10" s="76">
        <f>SUMIFS(приходи!$L:$L,приходи!$E:$E,'ПП Май'!$C$10,приходи!$M:$M,'ПП Май'!J2)</f>
        <v>0</v>
      </c>
      <c r="K10" s="74">
        <f>SUMIFS(приходи!$L:$L,приходи!$E:$E,'ПП Май'!$C$10,приходи!$M:$M,'ПП Май'!K2)</f>
        <v>0</v>
      </c>
      <c r="L10" s="74">
        <f>SUMIFS(приходи!$L:$L,приходи!$E:$E,'ПП Май'!$C$10,приходи!$M:$M,'ПП Май'!L2)</f>
        <v>0</v>
      </c>
      <c r="M10" s="74">
        <f>SUMIFS(приходи!$L:$L,приходи!$E:$E,'ПП Май'!$C$10,приходи!$M:$M,'ПП Май'!M2)</f>
        <v>0</v>
      </c>
      <c r="N10" s="74">
        <f>SUMIFS(приходи!$L:$L,приходи!$E:$E,'ПП Май'!$C$10,приходи!$M:$M,'ПП Май'!N2)</f>
        <v>0</v>
      </c>
      <c r="O10" s="76">
        <f>SUMIFS(приходи!$L:$L,приходи!$E:$E,'ПП Май'!$C$10,приходи!$M:$M,'ПП Май'!O2)</f>
        <v>0</v>
      </c>
      <c r="P10" s="76">
        <f>SUMIFS(приходи!$L:$L,приходи!$E:$E,'ПП Май'!$C$10,приходи!$M:$M,'ПП Май'!P2)</f>
        <v>0</v>
      </c>
      <c r="Q10" s="74">
        <f>SUMIFS(приходи!$L:$L,приходи!$E:$E,'ПП Май'!$C$10,приходи!$M:$M,'ПП Май'!Q2)</f>
        <v>0</v>
      </c>
      <c r="R10" s="74">
        <f>SUMIFS(приходи!$L:$L,приходи!$E:$E,'ПП Май'!$C$10,приходи!$M:$M,'ПП Май'!R2)</f>
        <v>0</v>
      </c>
      <c r="S10" s="74">
        <f>SUMIFS(приходи!$L:$L,приходи!$E:$E,'ПП Май'!$C$10,приходи!$M:$M,'ПП Май'!S2)</f>
        <v>0</v>
      </c>
      <c r="T10" s="74">
        <f>SUMIFS(приходи!$L:$L,приходи!$E:$E,'ПП Май'!$C$10,приходи!$M:$M,'ПП Май'!T2)</f>
        <v>0</v>
      </c>
      <c r="U10" s="74">
        <f>SUMIFS(приходи!$L:$L,приходи!$E:$E,'ПП Май'!$C$10,приходи!$M:$M,'ПП Май'!U2)</f>
        <v>0</v>
      </c>
      <c r="V10" s="76">
        <f>SUMIFS(приходи!$L:$L,приходи!$E:$E,'ПП Май'!$C$10,приходи!$M:$M,'ПП Май'!V2)</f>
        <v>0</v>
      </c>
      <c r="W10" s="76">
        <f>SUMIFS(приходи!$L:$L,приходи!$E:$E,'ПП Май'!$C$10,приходи!$M:$M,'ПП Май'!W2)</f>
        <v>0</v>
      </c>
      <c r="X10" s="74">
        <f>SUMIFS(приходи!$L:$L,приходи!$E:$E,'ПП Май'!$C$10,приходи!$M:$M,'ПП Май'!X2)</f>
        <v>0</v>
      </c>
      <c r="Y10" s="74">
        <f>SUMIFS(приходи!$L:$L,приходи!$E:$E,'ПП Май'!$C$10,приходи!$M:$M,'ПП Май'!Y2)</f>
        <v>0</v>
      </c>
      <c r="Z10" s="74">
        <f>SUMIFS(приходи!$L:$L,приходи!$E:$E,'ПП Май'!$C$10,приходи!$M:$M,'ПП Май'!Z2)</f>
        <v>0</v>
      </c>
      <c r="AA10" s="74">
        <f>SUMIFS(приходи!$L:$L,приходи!$E:$E,'ПП Май'!$C$10,приходи!$M:$M,'ПП Май'!AA2)</f>
        <v>0</v>
      </c>
      <c r="AB10" s="76">
        <f>SUMIFS(приходи!$L:$L,приходи!$E:$E,'ПП Май'!$C$10,приходи!$M:$M,'ПП Май'!AB2)</f>
        <v>0</v>
      </c>
      <c r="AC10" s="76">
        <f>SUMIFS(приходи!$L:$L,приходи!$E:$E,'ПП Май'!$C$10,приходи!$M:$M,'ПП Май'!AC2)</f>
        <v>0</v>
      </c>
      <c r="AD10" s="76">
        <f>SUMIFS(приходи!$L:$L,приходи!$E:$E,'ПП Май'!$C$10,приходи!$M:$M,'ПП Май'!AD2)</f>
        <v>0</v>
      </c>
      <c r="AE10" s="74">
        <f>SUMIFS(приходи!$L:$L,приходи!$E:$E,'ПП Май'!$C$10,приходи!$M:$M,'ПП Май'!AE2)</f>
        <v>0</v>
      </c>
      <c r="AF10" s="74">
        <f>SUMIFS(приходи!$L:$L,приходи!$E:$E,'ПП Май'!$C$10,приходи!$M:$M,'ПП Май'!AF2)</f>
        <v>0</v>
      </c>
      <c r="AG10" s="74">
        <f>SUMIFS(приходи!$L:$L,приходи!$E:$E,'ПП Май'!$C$10,приходи!$M:$M,'ПП Май'!AG2)</f>
        <v>0</v>
      </c>
      <c r="AH10" s="74">
        <f>SUMIFS(приходи!$L:$L,приходи!$E:$E,'ПП Май'!$C$10,приходи!$M:$M,'ПП Май'!AH2)</f>
        <v>0</v>
      </c>
      <c r="AI10" s="74">
        <f>SUMIFS(приходи!$L:$L,приходи!$E:$E,'ПП Май'!$C$10,приходи!$M:$M,'ПП Май'!AI2)</f>
        <v>0</v>
      </c>
      <c r="AJ10" s="61">
        <f t="shared" si="2"/>
        <v>0</v>
      </c>
      <c r="AK10" s="62">
        <f t="shared" si="8"/>
        <v>0</v>
      </c>
    </row>
    <row r="11" spans="1:37" s="4" customFormat="1" ht="20.100000000000001" customHeight="1" x14ac:dyDescent="0.3">
      <c r="B11" s="5" t="s">
        <v>852</v>
      </c>
      <c r="C11" s="6" t="s">
        <v>853</v>
      </c>
      <c r="D11" s="73">
        <f t="shared" ref="D11:AI11" si="9">SUM(D12:D13,D20,D21,D22)</f>
        <v>0</v>
      </c>
      <c r="E11" s="77">
        <f t="shared" si="9"/>
        <v>0</v>
      </c>
      <c r="F11" s="73">
        <f t="shared" si="9"/>
        <v>0</v>
      </c>
      <c r="G11" s="77">
        <f t="shared" si="9"/>
        <v>0</v>
      </c>
      <c r="H11" s="77">
        <f t="shared" si="9"/>
        <v>0</v>
      </c>
      <c r="I11" s="77">
        <f t="shared" si="9"/>
        <v>0</v>
      </c>
      <c r="J11" s="77">
        <f t="shared" si="9"/>
        <v>0</v>
      </c>
      <c r="K11" s="73">
        <f t="shared" si="9"/>
        <v>0</v>
      </c>
      <c r="L11" s="73">
        <f t="shared" si="9"/>
        <v>0</v>
      </c>
      <c r="M11" s="73">
        <f t="shared" si="9"/>
        <v>0</v>
      </c>
      <c r="N11" s="73">
        <f t="shared" si="9"/>
        <v>0</v>
      </c>
      <c r="O11" s="77">
        <f t="shared" si="9"/>
        <v>0</v>
      </c>
      <c r="P11" s="77">
        <f t="shared" si="9"/>
        <v>0</v>
      </c>
      <c r="Q11" s="73">
        <f t="shared" si="9"/>
        <v>0</v>
      </c>
      <c r="R11" s="73">
        <f t="shared" si="9"/>
        <v>0</v>
      </c>
      <c r="S11" s="73">
        <f t="shared" si="9"/>
        <v>0</v>
      </c>
      <c r="T11" s="73">
        <f t="shared" si="9"/>
        <v>0</v>
      </c>
      <c r="U11" s="73">
        <f t="shared" si="9"/>
        <v>0</v>
      </c>
      <c r="V11" s="77">
        <f t="shared" si="9"/>
        <v>0</v>
      </c>
      <c r="W11" s="77">
        <f t="shared" si="9"/>
        <v>0</v>
      </c>
      <c r="X11" s="73">
        <f t="shared" si="9"/>
        <v>972.22799999999995</v>
      </c>
      <c r="Y11" s="73">
        <f t="shared" si="9"/>
        <v>0</v>
      </c>
      <c r="Z11" s="73">
        <f t="shared" si="9"/>
        <v>0</v>
      </c>
      <c r="AA11" s="73">
        <f t="shared" si="9"/>
        <v>0</v>
      </c>
      <c r="AB11" s="77">
        <f t="shared" si="9"/>
        <v>0</v>
      </c>
      <c r="AC11" s="77">
        <f t="shared" si="9"/>
        <v>0</v>
      </c>
      <c r="AD11" s="77">
        <f t="shared" si="9"/>
        <v>0</v>
      </c>
      <c r="AE11" s="73">
        <f t="shared" si="9"/>
        <v>84125.712</v>
      </c>
      <c r="AF11" s="73">
        <f t="shared" si="9"/>
        <v>58547.340000000004</v>
      </c>
      <c r="AG11" s="73">
        <f t="shared" si="9"/>
        <v>0</v>
      </c>
      <c r="AH11" s="73">
        <f t="shared" si="9"/>
        <v>0</v>
      </c>
      <c r="AI11" s="73">
        <f t="shared" si="9"/>
        <v>0</v>
      </c>
      <c r="AJ11" s="57">
        <f t="shared" si="2"/>
        <v>143645.28</v>
      </c>
      <c r="AK11" s="62">
        <f t="shared" si="8"/>
        <v>143645.28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Май'!$C$12,приходи!$M:$M,'ПП Май'!E2)</f>
        <v>0</v>
      </c>
      <c r="F12" s="74">
        <f>SUMIFS(приходи!$L:$L,приходи!$E:$E,'ПП Май'!$C$12,приходи!$M:$M,'ПП Май'!F2)</f>
        <v>0</v>
      </c>
      <c r="G12" s="76">
        <f>SUMIFS(приходи!$L:$L,приходи!$E:$E,'ПП Май'!$C$12,приходи!$M:$M,'ПП Май'!G2)</f>
        <v>0</v>
      </c>
      <c r="H12" s="76">
        <f>SUMIFS(приходи!$L:$L,приходи!$E:$E,'ПП Май'!$C$12,приходи!$M:$M,'ПП Май'!H2)</f>
        <v>0</v>
      </c>
      <c r="I12" s="76">
        <f>SUMIFS(приходи!$L:$L,приходи!$E:$E,'ПП Май'!$C$12,приходи!$M:$M,'ПП Май'!I2)</f>
        <v>0</v>
      </c>
      <c r="J12" s="76">
        <f>SUMIFS(приходи!$L:$L,приходи!$E:$E,'ПП Май'!$C$12,приходи!$M:$M,'ПП Май'!J2)</f>
        <v>0</v>
      </c>
      <c r="K12" s="74">
        <f>SUMIFS(приходи!$L:$L,приходи!$E:$E,'ПП Май'!$C$12,приходи!$M:$M,'ПП Май'!K2)</f>
        <v>0</v>
      </c>
      <c r="L12" s="74">
        <f>SUMIFS(приходи!$L:$L,приходи!$E:$E,'ПП Май'!$C$12,приходи!$M:$M,'ПП Май'!L2)</f>
        <v>0</v>
      </c>
      <c r="M12" s="74">
        <f>SUMIFS(приходи!$L:$L,приходи!$E:$E,'ПП Май'!$C$12,приходи!$M:$M,'ПП Май'!M2)</f>
        <v>0</v>
      </c>
      <c r="N12" s="74">
        <f>SUMIFS(приходи!$L:$L,приходи!$E:$E,'ПП Май'!$C$12,приходи!$M:$M,'ПП Май'!N2)</f>
        <v>0</v>
      </c>
      <c r="O12" s="76">
        <f>SUMIFS(приходи!$L:$L,приходи!$E:$E,'ПП Май'!$C$12,приходи!$M:$M,'ПП Май'!O2)</f>
        <v>0</v>
      </c>
      <c r="P12" s="76">
        <f>SUMIFS(приходи!$L:$L,приходи!$E:$E,'ПП Май'!$C$12,приходи!$M:$M,'ПП Май'!P2)</f>
        <v>0</v>
      </c>
      <c r="Q12" s="74">
        <f>SUMIFS(приходи!$L:$L,приходи!$E:$E,'ПП Май'!$C$12,приходи!$M:$M,'ПП Май'!Q2)</f>
        <v>0</v>
      </c>
      <c r="R12" s="74">
        <f>SUMIFS(приходи!$L:$L,приходи!$E:$E,'ПП Май'!$C$12,приходи!$M:$M,'ПП Май'!R2)</f>
        <v>0</v>
      </c>
      <c r="S12" s="74">
        <f>SUMIFS(приходи!$L:$L,приходи!$E:$E,'ПП Май'!$C$12,приходи!$M:$M,'ПП Май'!S2)</f>
        <v>0</v>
      </c>
      <c r="T12" s="74">
        <f>SUMIFS(приходи!$L:$L,приходи!$E:$E,'ПП Май'!$C$12,приходи!$M:$M,'ПП Май'!T2)</f>
        <v>0</v>
      </c>
      <c r="U12" s="74">
        <f>SUMIFS(приходи!$L:$L,приходи!$E:$E,'ПП Май'!$C$12,приходи!$M:$M,'ПП Май'!U2)</f>
        <v>0</v>
      </c>
      <c r="V12" s="76">
        <f>SUMIFS(приходи!$L:$L,приходи!$E:$E,'ПП Май'!$C$12,приходи!$M:$M,'ПП Май'!V2)</f>
        <v>0</v>
      </c>
      <c r="W12" s="76">
        <f>SUMIFS(приходи!$L:$L,приходи!$E:$E,'ПП Май'!$C$12,приходи!$M:$M,'ПП Май'!W2)</f>
        <v>0</v>
      </c>
      <c r="X12" s="74">
        <f>SUMIFS(приходи!$L:$L,приходи!$E:$E,'ПП Май'!$C$12,приходи!$M:$M,'ПП Май'!X2)</f>
        <v>0</v>
      </c>
      <c r="Y12" s="74">
        <f>SUMIFS(приходи!$L:$L,приходи!$E:$E,'ПП Май'!$C$12,приходи!$M:$M,'ПП Май'!Y2)</f>
        <v>0</v>
      </c>
      <c r="Z12" s="74">
        <f>SUMIFS(приходи!$L:$L,приходи!$E:$E,'ПП Май'!$C$12,приходи!$M:$M,'ПП Май'!Z2)</f>
        <v>0</v>
      </c>
      <c r="AA12" s="74">
        <f>SUMIFS(приходи!$L:$L,приходи!$E:$E,'ПП Май'!$C$12,приходи!$M:$M,'ПП Май'!AA2)</f>
        <v>0</v>
      </c>
      <c r="AB12" s="76">
        <f>SUMIFS(приходи!$L:$L,приходи!$E:$E,'ПП Май'!$C$12,приходи!$M:$M,'ПП Май'!AB2)</f>
        <v>0</v>
      </c>
      <c r="AC12" s="76">
        <f>SUMIFS(приходи!$L:$L,приходи!$E:$E,'ПП Май'!$C$12,приходи!$M:$M,'ПП Май'!AC2)</f>
        <v>0</v>
      </c>
      <c r="AD12" s="76">
        <f>SUMIFS(приходи!$L:$L,приходи!$E:$E,'ПП Май'!$C$12,приходи!$M:$M,'ПП Май'!AD2)</f>
        <v>0</v>
      </c>
      <c r="AE12" s="74">
        <f>SUMIFS(приходи!$L:$L,приходи!$E:$E,'ПП Май'!$C$12,приходи!$M:$M,'ПП Май'!AE2)</f>
        <v>0</v>
      </c>
      <c r="AF12" s="74">
        <f>SUMIFS(приходи!$L:$L,приходи!$E:$E,'ПП Май'!$C$12,приходи!$M:$M,'ПП Май'!AF2)</f>
        <v>0</v>
      </c>
      <c r="AG12" s="74">
        <f>SUMIFS(приходи!$L:$L,приходи!$E:$E,'ПП Май'!$C$12,приходи!$M:$M,'ПП Май'!AG2)</f>
        <v>0</v>
      </c>
      <c r="AH12" s="74">
        <f>SUMIFS(приходи!$L:$L,приходи!$E:$E,'ПП Май'!$C$12,приходи!$M:$M,'ПП Май'!AH2)</f>
        <v>0</v>
      </c>
      <c r="AI12" s="74">
        <f>SUMIFS(приходи!$L:$L,приходи!$E:$E,'ПП Май'!$C$12,приходи!$M:$M,'ПП Май'!AI2)</f>
        <v>0</v>
      </c>
      <c r="AJ12" s="61">
        <f t="shared" si="2"/>
        <v>0</v>
      </c>
      <c r="AK12" s="62">
        <f t="shared" si="8"/>
        <v>0</v>
      </c>
    </row>
    <row r="13" spans="1:37" s="4" customFormat="1" ht="20.100000000000001" customHeight="1" x14ac:dyDescent="0.3">
      <c r="B13" s="7">
        <v>2</v>
      </c>
      <c r="C13" s="8" t="s">
        <v>854</v>
      </c>
      <c r="D13" s="74">
        <f t="shared" ref="D13" si="10">SUM(D14:D18)</f>
        <v>0</v>
      </c>
      <c r="E13" s="76">
        <f t="shared" ref="E13:AI13" si="11">SUM(E14:E19)</f>
        <v>0</v>
      </c>
      <c r="F13" s="74">
        <f t="shared" si="11"/>
        <v>0</v>
      </c>
      <c r="G13" s="76">
        <f t="shared" si="11"/>
        <v>0</v>
      </c>
      <c r="H13" s="76">
        <f t="shared" si="11"/>
        <v>0</v>
      </c>
      <c r="I13" s="76">
        <f t="shared" si="11"/>
        <v>0</v>
      </c>
      <c r="J13" s="76">
        <f t="shared" si="11"/>
        <v>0</v>
      </c>
      <c r="K13" s="74">
        <f t="shared" si="11"/>
        <v>0</v>
      </c>
      <c r="L13" s="74">
        <f t="shared" si="11"/>
        <v>0</v>
      </c>
      <c r="M13" s="74">
        <f t="shared" si="11"/>
        <v>0</v>
      </c>
      <c r="N13" s="74">
        <f t="shared" si="11"/>
        <v>0</v>
      </c>
      <c r="O13" s="76">
        <f t="shared" si="11"/>
        <v>0</v>
      </c>
      <c r="P13" s="76">
        <f t="shared" si="11"/>
        <v>0</v>
      </c>
      <c r="Q13" s="74">
        <f t="shared" si="11"/>
        <v>0</v>
      </c>
      <c r="R13" s="74">
        <f t="shared" si="11"/>
        <v>0</v>
      </c>
      <c r="S13" s="74">
        <f t="shared" si="11"/>
        <v>0</v>
      </c>
      <c r="T13" s="74">
        <f t="shared" si="11"/>
        <v>0</v>
      </c>
      <c r="U13" s="74">
        <f t="shared" si="11"/>
        <v>0</v>
      </c>
      <c r="V13" s="76">
        <f t="shared" si="11"/>
        <v>0</v>
      </c>
      <c r="W13" s="76">
        <f t="shared" si="11"/>
        <v>0</v>
      </c>
      <c r="X13" s="74">
        <f t="shared" si="11"/>
        <v>972.22799999999995</v>
      </c>
      <c r="Y13" s="74">
        <f t="shared" si="11"/>
        <v>0</v>
      </c>
      <c r="Z13" s="74">
        <f t="shared" si="11"/>
        <v>0</v>
      </c>
      <c r="AA13" s="74">
        <f t="shared" si="11"/>
        <v>0</v>
      </c>
      <c r="AB13" s="76">
        <f t="shared" si="11"/>
        <v>0</v>
      </c>
      <c r="AC13" s="76">
        <f t="shared" si="11"/>
        <v>0</v>
      </c>
      <c r="AD13" s="76">
        <f t="shared" si="11"/>
        <v>0</v>
      </c>
      <c r="AE13" s="74">
        <f t="shared" si="11"/>
        <v>84125.712</v>
      </c>
      <c r="AF13" s="74">
        <f t="shared" si="11"/>
        <v>58547.340000000004</v>
      </c>
      <c r="AG13" s="74">
        <f t="shared" si="11"/>
        <v>0</v>
      </c>
      <c r="AH13" s="74">
        <f t="shared" si="11"/>
        <v>0</v>
      </c>
      <c r="AI13" s="74">
        <f t="shared" si="11"/>
        <v>0</v>
      </c>
      <c r="AJ13" s="61">
        <f t="shared" si="2"/>
        <v>143645.28</v>
      </c>
      <c r="AK13" s="62">
        <f t="shared" si="8"/>
        <v>143645.28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Май'!$C$14,приходи!$M:$M,'ПП Май'!E2)</f>
        <v>0</v>
      </c>
      <c r="F14" s="74">
        <f>SUMIFS(приходи!$L:$L,приходи!$E:$E,'ПП Май'!$C$14,приходи!$M:$M,'ПП Май'!F2)</f>
        <v>0</v>
      </c>
      <c r="G14" s="76">
        <f>SUMIFS(приходи!$L:$L,приходи!$E:$E,'ПП Май'!$C$14,приходи!$M:$M,'ПП Май'!G2)</f>
        <v>0</v>
      </c>
      <c r="H14" s="76">
        <f>SUMIFS(приходи!$L:$L,приходи!$E:$E,'ПП Май'!$C$14,приходи!$M:$M,'ПП Май'!H2)</f>
        <v>0</v>
      </c>
      <c r="I14" s="76">
        <f>SUMIFS(приходи!$L:$L,приходи!$E:$E,'ПП Май'!$C$14,приходи!$M:$M,'ПП Май'!I2)</f>
        <v>0</v>
      </c>
      <c r="J14" s="76">
        <f>SUMIFS(приходи!$L:$L,приходи!$E:$E,'ПП Май'!$C$14,приходи!$M:$M,'ПП Май'!J2)</f>
        <v>0</v>
      </c>
      <c r="K14" s="74">
        <f>SUMIFS(приходи!$L:$L,приходи!$E:$E,'ПП Май'!$C$14,приходи!$M:$M,'ПП Май'!K2)</f>
        <v>0</v>
      </c>
      <c r="L14" s="74">
        <f>SUMIFS(приходи!$L:$L,приходи!$E:$E,'ПП Май'!$C$14,приходи!$M:$M,'ПП Май'!L2)</f>
        <v>0</v>
      </c>
      <c r="M14" s="74">
        <f>SUMIFS(приходи!$L:$L,приходи!$E:$E,'ПП Май'!$C$14,приходи!$M:$M,'ПП Май'!M2)</f>
        <v>0</v>
      </c>
      <c r="N14" s="74">
        <f>SUMIFS(приходи!$L:$L,приходи!$E:$E,'ПП Май'!$C$14,приходи!$M:$M,'ПП Май'!N2)</f>
        <v>0</v>
      </c>
      <c r="O14" s="76">
        <f>SUMIFS(приходи!$L:$L,приходи!$E:$E,'ПП Май'!$C$14,приходи!$M:$M,'ПП Май'!O2)</f>
        <v>0</v>
      </c>
      <c r="P14" s="76">
        <f>SUMIFS(приходи!$L:$L,приходи!$E:$E,'ПП Май'!$C$14,приходи!$M:$M,'ПП Май'!P2)</f>
        <v>0</v>
      </c>
      <c r="Q14" s="74">
        <f>SUMIFS(приходи!$L:$L,приходи!$E:$E,'ПП Май'!$C$14,приходи!$M:$M,'ПП Май'!Q2)</f>
        <v>0</v>
      </c>
      <c r="R14" s="74">
        <f>SUMIFS(приходи!$L:$L,приходи!$E:$E,'ПП Май'!$C$14,приходи!$M:$M,'ПП Май'!R2)</f>
        <v>0</v>
      </c>
      <c r="S14" s="74">
        <f>SUMIFS(приходи!$L:$L,приходи!$E:$E,'ПП Май'!$C$14,приходи!$M:$M,'ПП Май'!S2)</f>
        <v>0</v>
      </c>
      <c r="T14" s="74">
        <f>SUMIFS(приходи!$L:$L,приходи!$E:$E,'ПП Май'!$C$14,приходи!$M:$M,'ПП Май'!T2)</f>
        <v>0</v>
      </c>
      <c r="U14" s="74">
        <f>SUMIFS(приходи!$L:$L,приходи!$E:$E,'ПП Май'!$C$14,приходи!$M:$M,'ПП Май'!U2)</f>
        <v>0</v>
      </c>
      <c r="V14" s="76">
        <f>SUMIFS(приходи!$L:$L,приходи!$E:$E,'ПП Май'!$C$14,приходи!$M:$M,'ПП Май'!V2)</f>
        <v>0</v>
      </c>
      <c r="W14" s="76">
        <f>SUMIFS(приходи!$L:$L,приходи!$E:$E,'ПП Май'!$C$14,приходи!$M:$M,'ПП Май'!W2)</f>
        <v>0</v>
      </c>
      <c r="X14" s="74">
        <f>SUMIFS(приходи!$L:$L,приходи!$E:$E,'ПП Май'!$C$14,приходи!$M:$M,'ПП Май'!X2)</f>
        <v>696.58799999999997</v>
      </c>
      <c r="Y14" s="74">
        <f>SUMIFS(приходи!$L:$L,приходи!$E:$E,'ПП Май'!$C$14,приходи!$M:$M,'ПП Май'!Y2)</f>
        <v>0</v>
      </c>
      <c r="Z14" s="74">
        <f>SUMIFS(приходи!$L:$L,приходи!$E:$E,'ПП Май'!$C$14,приходи!$M:$M,'ПП Май'!Z2)</f>
        <v>0</v>
      </c>
      <c r="AA14" s="74">
        <f>SUMIFS(приходи!$L:$L,приходи!$E:$E,'ПП Май'!$C$14,приходи!$M:$M,'ПП Май'!AA2)</f>
        <v>0</v>
      </c>
      <c r="AB14" s="76">
        <f>SUMIFS(приходи!$L:$L,приходи!$E:$E,'ПП Май'!$C$14,приходи!$M:$M,'ПП Май'!AB2)</f>
        <v>0</v>
      </c>
      <c r="AC14" s="76">
        <f>SUMIFS(приходи!$L:$L,приходи!$E:$E,'ПП Май'!$C$14,приходи!$M:$M,'ПП Май'!AC2)</f>
        <v>0</v>
      </c>
      <c r="AD14" s="76">
        <f>SUMIFS(приходи!$L:$L,приходи!$E:$E,'ПП Май'!$C$14,приходи!$M:$M,'ПП Май'!AD2)</f>
        <v>0</v>
      </c>
      <c r="AE14" s="74">
        <f>SUMIFS(приходи!$L:$L,приходи!$E:$E,'ПП Май'!$C$14,приходи!$M:$M,'ПП Май'!AE2)</f>
        <v>84125.712</v>
      </c>
      <c r="AF14" s="74">
        <f>SUMIFS(приходи!$L:$L,приходи!$E:$E,'ПП Май'!$C$14,приходи!$M:$M,'ПП Май'!AF2)</f>
        <v>3823.8959999999997</v>
      </c>
      <c r="AG14" s="74">
        <f>SUMIFS(приходи!$L:$L,приходи!$E:$E,'ПП Май'!$C$14,приходи!$M:$M,'ПП Май'!AG2)</f>
        <v>0</v>
      </c>
      <c r="AH14" s="74">
        <f>SUMIFS(приходи!$L:$L,приходи!$E:$E,'ПП Май'!$C$14,приходи!$M:$M,'ПП Май'!AH2)</f>
        <v>0</v>
      </c>
      <c r="AI14" s="74">
        <f>SUMIFS(приходи!$L:$L,приходи!$E:$E,'ПП Май'!$C$14,приходи!$M:$M,'ПП Май'!AI2)</f>
        <v>0</v>
      </c>
      <c r="AJ14" s="61">
        <f t="shared" si="2"/>
        <v>88646.195999999996</v>
      </c>
      <c r="AK14" s="62">
        <f t="shared" si="8"/>
        <v>88646.195999999996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Май'!$C$15,приходи!$M:$M,'ПП Май'!E2)</f>
        <v>0</v>
      </c>
      <c r="F15" s="74">
        <f>SUMIFS(приходи!$L:$L,приходи!$E:$E,'ПП Май'!$C$15,приходи!$M:$M,'ПП Май'!F2)</f>
        <v>0</v>
      </c>
      <c r="G15" s="76">
        <f>SUMIFS(приходи!$L:$L,приходи!$E:$E,'ПП Май'!$C$15,приходи!$M:$M,'ПП Май'!G2)</f>
        <v>0</v>
      </c>
      <c r="H15" s="76">
        <f>SUMIFS(приходи!$L:$L,приходи!$E:$E,'ПП Май'!$C$15,приходи!$M:$M,'ПП Май'!H2)</f>
        <v>0</v>
      </c>
      <c r="I15" s="76">
        <f>SUMIFS(приходи!$L:$L,приходи!$E:$E,'ПП Май'!$C$15,приходи!$M:$M,'ПП Май'!I2)</f>
        <v>0</v>
      </c>
      <c r="J15" s="76">
        <f>SUMIFS(приходи!$L:$L,приходи!$E:$E,'ПП Май'!$C$15,приходи!$M:$M,'ПП Май'!J2)</f>
        <v>0</v>
      </c>
      <c r="K15" s="74">
        <f>SUMIFS(приходи!$L:$L,приходи!$E:$E,'ПП Май'!$C$15,приходи!$M:$M,'ПП Май'!K2)</f>
        <v>0</v>
      </c>
      <c r="L15" s="74">
        <f>SUMIFS(приходи!$L:$L,приходи!$E:$E,'ПП Май'!$C$15,приходи!$M:$M,'ПП Май'!L2)</f>
        <v>0</v>
      </c>
      <c r="M15" s="74">
        <f>SUMIFS(приходи!$L:$L,приходи!$E:$E,'ПП Май'!$C$15,приходи!$M:$M,'ПП Май'!M2)</f>
        <v>0</v>
      </c>
      <c r="N15" s="74">
        <f>SUMIFS(приходи!$L:$L,приходи!$E:$E,'ПП Май'!$C$15,приходи!$M:$M,'ПП Май'!N2)</f>
        <v>0</v>
      </c>
      <c r="O15" s="76">
        <f>SUMIFS(приходи!$L:$L,приходи!$E:$E,'ПП Май'!$C$15,приходи!$M:$M,'ПП Май'!O2)</f>
        <v>0</v>
      </c>
      <c r="P15" s="76">
        <f>SUMIFS(приходи!$L:$L,приходи!$E:$E,'ПП Май'!$C$15,приходи!$M:$M,'ПП Май'!P2)</f>
        <v>0</v>
      </c>
      <c r="Q15" s="74">
        <f>SUMIFS(приходи!$L:$L,приходи!$E:$E,'ПП Май'!$C$15,приходи!$M:$M,'ПП Май'!Q2)</f>
        <v>0</v>
      </c>
      <c r="R15" s="74">
        <f>SUMIFS(приходи!$L:$L,приходи!$E:$E,'ПП Май'!$C$15,приходи!$M:$M,'ПП Май'!R2)</f>
        <v>0</v>
      </c>
      <c r="S15" s="74">
        <f>SUMIFS(приходи!$L:$L,приходи!$E:$E,'ПП Май'!$C$15,приходи!$M:$M,'ПП Май'!S2)</f>
        <v>0</v>
      </c>
      <c r="T15" s="74">
        <f>SUMIFS(приходи!$L:$L,приходи!$E:$E,'ПП Май'!$C$15,приходи!$M:$M,'ПП Май'!T2)</f>
        <v>0</v>
      </c>
      <c r="U15" s="74">
        <f>SUMIFS(приходи!$L:$L,приходи!$E:$E,'ПП Май'!$C$15,приходи!$M:$M,'ПП Май'!U2)</f>
        <v>0</v>
      </c>
      <c r="V15" s="76">
        <f>SUMIFS(приходи!$L:$L,приходи!$E:$E,'ПП Май'!$C$15,приходи!$M:$M,'ПП Май'!V2)</f>
        <v>0</v>
      </c>
      <c r="W15" s="76">
        <f>SUMIFS(приходи!$L:$L,приходи!$E:$E,'ПП Май'!$C$15,приходи!$M:$M,'ПП Май'!W2)</f>
        <v>0</v>
      </c>
      <c r="X15" s="74">
        <f>SUMIFS(приходи!$L:$L,приходи!$E:$E,'ПП Май'!$C$15,приходи!$M:$M,'ПП Май'!X2)</f>
        <v>0</v>
      </c>
      <c r="Y15" s="74">
        <f>SUMIFS(приходи!$L:$L,приходи!$E:$E,'ПП Май'!$C$15,приходи!$M:$M,'ПП Май'!Y2)</f>
        <v>0</v>
      </c>
      <c r="Z15" s="74">
        <f>SUMIFS(приходи!$L:$L,приходи!$E:$E,'ПП Май'!$C$15,приходи!$M:$M,'ПП Май'!Z2)</f>
        <v>0</v>
      </c>
      <c r="AA15" s="74">
        <f>SUMIFS(приходи!$L:$L,приходи!$E:$E,'ПП Май'!$C$15,приходи!$M:$M,'ПП Май'!AA2)</f>
        <v>0</v>
      </c>
      <c r="AB15" s="76">
        <f>SUMIFS(приходи!$L:$L,приходи!$E:$E,'ПП Май'!$C$15,приходи!$M:$M,'ПП Май'!AB2)</f>
        <v>0</v>
      </c>
      <c r="AC15" s="76">
        <f>SUMIFS(приходи!$L:$L,приходи!$E:$E,'ПП Май'!$C$15,приходи!$M:$M,'ПП Май'!AC2)</f>
        <v>0</v>
      </c>
      <c r="AD15" s="76">
        <f>SUMIFS(приходи!$L:$L,приходи!$E:$E,'ПП Май'!$C$15,приходи!$M:$M,'ПП Май'!AD2)</f>
        <v>0</v>
      </c>
      <c r="AE15" s="74">
        <f>SUMIFS(приходи!$L:$L,приходи!$E:$E,'ПП Май'!$C$15,приходи!$M:$M,'ПП Май'!AE2)</f>
        <v>0</v>
      </c>
      <c r="AF15" s="74">
        <f>SUMIFS(приходи!$L:$L,приходи!$E:$E,'ПП Май'!$C$15,приходи!$M:$M,'ПП Май'!AF2)</f>
        <v>0</v>
      </c>
      <c r="AG15" s="74">
        <f>SUMIFS(приходи!$L:$L,приходи!$E:$E,'ПП Май'!$C$15,приходи!$M:$M,'ПП Май'!AG2)</f>
        <v>0</v>
      </c>
      <c r="AH15" s="74">
        <f>SUMIFS(приходи!$L:$L,приходи!$E:$E,'ПП Май'!$C$15,приходи!$M:$M,'ПП Май'!AH2)</f>
        <v>0</v>
      </c>
      <c r="AI15" s="74">
        <f>SUMIFS(приходи!$L:$L,приходи!$E:$E,'ПП Май'!$C$15,приходи!$M:$M,'ПП Май'!AI2)</f>
        <v>0</v>
      </c>
      <c r="AJ15" s="61">
        <f t="shared" si="2"/>
        <v>0</v>
      </c>
      <c r="AK15" s="62">
        <f t="shared" si="8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Май'!$C$16,приходи!$M:$M,'ПП Май'!E2)</f>
        <v>0</v>
      </c>
      <c r="F16" s="74">
        <f>SUMIFS(приходи!$L:$L,приходи!$E:$E,'ПП Май'!$C$16,приходи!$M:$M,'ПП Май'!F2)</f>
        <v>0</v>
      </c>
      <c r="G16" s="76">
        <f>SUMIFS(приходи!$L:$L,приходи!$E:$E,'ПП Май'!$C$16,приходи!$M:$M,'ПП Май'!G2)</f>
        <v>0</v>
      </c>
      <c r="H16" s="76">
        <f>SUMIFS(приходи!$L:$L,приходи!$E:$E,'ПП Май'!$C$16,приходи!$M:$M,'ПП Май'!H2)</f>
        <v>0</v>
      </c>
      <c r="I16" s="76">
        <f>SUMIFS(приходи!$L:$L,приходи!$E:$E,'ПП Май'!$C$16,приходи!$M:$M,'ПП Май'!I2)</f>
        <v>0</v>
      </c>
      <c r="J16" s="76">
        <f>SUMIFS(приходи!$L:$L,приходи!$E:$E,'ПП Май'!$C$16,приходи!$M:$M,'ПП Май'!J2)</f>
        <v>0</v>
      </c>
      <c r="K16" s="74">
        <f>SUMIFS(приходи!$L:$L,приходи!$E:$E,'ПП Май'!$C$16,приходи!$M:$M,'ПП Май'!K2)</f>
        <v>0</v>
      </c>
      <c r="L16" s="74">
        <f>SUMIFS(приходи!$L:$L,приходи!$E:$E,'ПП Май'!$C$16,приходи!$M:$M,'ПП Май'!L2)</f>
        <v>0</v>
      </c>
      <c r="M16" s="74">
        <f>SUMIFS(приходи!$L:$L,приходи!$E:$E,'ПП Май'!$C$16,приходи!$M:$M,'ПП Май'!M2)</f>
        <v>0</v>
      </c>
      <c r="N16" s="74">
        <f>SUMIFS(приходи!$L:$L,приходи!$E:$E,'ПП Май'!$C$16,приходи!$M:$M,'ПП Май'!N2)</f>
        <v>0</v>
      </c>
      <c r="O16" s="76">
        <f>SUMIFS(приходи!$L:$L,приходи!$E:$E,'ПП Май'!$C$16,приходи!$M:$M,'ПП Май'!O2)</f>
        <v>0</v>
      </c>
      <c r="P16" s="76">
        <f>SUMIFS(приходи!$L:$L,приходи!$E:$E,'ПП Май'!$C$16,приходи!$M:$M,'ПП Май'!P2)</f>
        <v>0</v>
      </c>
      <c r="Q16" s="74">
        <f>SUMIFS(приходи!$L:$L,приходи!$E:$E,'ПП Май'!$C$16,приходи!$M:$M,'ПП Май'!Q2)</f>
        <v>0</v>
      </c>
      <c r="R16" s="74">
        <f>SUMIFS(приходи!$L:$L,приходи!$E:$E,'ПП Май'!$C$16,приходи!$M:$M,'ПП Май'!R2)</f>
        <v>0</v>
      </c>
      <c r="S16" s="74">
        <f>SUMIFS(приходи!$L:$L,приходи!$E:$E,'ПП Май'!$C$16,приходи!$M:$M,'ПП Май'!S2)</f>
        <v>0</v>
      </c>
      <c r="T16" s="74">
        <f>SUMIFS(приходи!$L:$L,приходи!$E:$E,'ПП Май'!$C$16,приходи!$M:$M,'ПП Май'!T2)</f>
        <v>0</v>
      </c>
      <c r="U16" s="74">
        <f>SUMIFS(приходи!$L:$L,приходи!$E:$E,'ПП Май'!$C$16,приходи!$M:$M,'ПП Май'!U2)</f>
        <v>0</v>
      </c>
      <c r="V16" s="76">
        <f>SUMIFS(приходи!$L:$L,приходи!$E:$E,'ПП Май'!$C$16,приходи!$M:$M,'ПП Май'!V2)</f>
        <v>0</v>
      </c>
      <c r="W16" s="76">
        <f>SUMIFS(приходи!$L:$L,приходи!$E:$E,'ПП Май'!$C$16,приходи!$M:$M,'ПП Май'!W2)</f>
        <v>0</v>
      </c>
      <c r="X16" s="74">
        <f>SUMIFS(приходи!$L:$L,приходи!$E:$E,'ПП Май'!$C$16,приходи!$M:$M,'ПП Май'!X2)</f>
        <v>275.64</v>
      </c>
      <c r="Y16" s="74">
        <f>SUMIFS(приходи!$L:$L,приходи!$E:$E,'ПП Май'!$C$16,приходи!$M:$M,'ПП Май'!Y2)</f>
        <v>0</v>
      </c>
      <c r="Z16" s="74">
        <f>SUMIFS(приходи!$L:$L,приходи!$E:$E,'ПП Май'!$C$16,приходи!$M:$M,'ПП Май'!Z2)</f>
        <v>0</v>
      </c>
      <c r="AA16" s="74">
        <f>SUMIFS(приходи!$L:$L,приходи!$E:$E,'ПП Май'!$C$16,приходи!$M:$M,'ПП Май'!AA2)</f>
        <v>0</v>
      </c>
      <c r="AB16" s="76">
        <f>SUMIFS(приходи!$L:$L,приходи!$E:$E,'ПП Май'!$C$16,приходи!$M:$M,'ПП Май'!AB2)</f>
        <v>0</v>
      </c>
      <c r="AC16" s="76">
        <f>SUMIFS(приходи!$L:$L,приходи!$E:$E,'ПП Май'!$C$16,приходи!$M:$M,'ПП Май'!AC2)</f>
        <v>0</v>
      </c>
      <c r="AD16" s="76">
        <f>SUMIFS(приходи!$L:$L,приходи!$E:$E,'ПП Май'!$C$16,приходи!$M:$M,'ПП Май'!AD2)</f>
        <v>0</v>
      </c>
      <c r="AE16" s="74">
        <f>SUMIFS(приходи!$L:$L,приходи!$E:$E,'ПП Май'!$C$16,приходи!$M:$M,'ПП Май'!AE2)</f>
        <v>0</v>
      </c>
      <c r="AF16" s="74">
        <f>SUMIFS(приходи!$L:$L,приходи!$E:$E,'ПП Май'!$C$16,приходи!$M:$M,'ПП Май'!AF2)</f>
        <v>54723.444000000003</v>
      </c>
      <c r="AG16" s="74">
        <f>SUMIFS(приходи!$L:$L,приходи!$E:$E,'ПП Май'!$C$16,приходи!$M:$M,'ПП Май'!AG2)</f>
        <v>0</v>
      </c>
      <c r="AH16" s="74">
        <f>SUMIFS(приходи!$L:$L,приходи!$E:$E,'ПП Май'!$C$16,приходи!$M:$M,'ПП Май'!AH2)</f>
        <v>0</v>
      </c>
      <c r="AI16" s="74">
        <f>SUMIFS(приходи!$L:$L,приходи!$E:$E,'ПП Май'!$C$16,приходи!$M:$M,'ПП Май'!AI2)</f>
        <v>0</v>
      </c>
      <c r="AJ16" s="61">
        <f t="shared" si="2"/>
        <v>54999.084000000003</v>
      </c>
      <c r="AK16" s="62">
        <f t="shared" si="8"/>
        <v>54999.084000000003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Май'!$C$17,приходи!$M:$M,'ПП Май'!E2)</f>
        <v>0</v>
      </c>
      <c r="F17" s="74">
        <f>SUMIFS(приходи!$L:$L,приходи!$E:$E,'ПП Май'!$C$17,приходи!$M:$M,'ПП Май'!F2)</f>
        <v>0</v>
      </c>
      <c r="G17" s="76">
        <f>SUMIFS(приходи!$L:$L,приходи!$E:$E,'ПП Май'!$C$17,приходи!$M:$M,'ПП Май'!G2)</f>
        <v>0</v>
      </c>
      <c r="H17" s="76">
        <f>SUMIFS(приходи!$L:$L,приходи!$E:$E,'ПП Май'!$C$17,приходи!$M:$M,'ПП Май'!H2)</f>
        <v>0</v>
      </c>
      <c r="I17" s="76">
        <f>SUMIFS(приходи!$L:$L,приходи!$E:$E,'ПП Май'!$C$17,приходи!$M:$M,'ПП Май'!I2)</f>
        <v>0</v>
      </c>
      <c r="J17" s="76">
        <f>SUMIFS(приходи!$L:$L,приходи!$E:$E,'ПП Май'!$C$17,приходи!$M:$M,'ПП Май'!J2)</f>
        <v>0</v>
      </c>
      <c r="K17" s="74">
        <f>SUMIFS(приходи!$L:$L,приходи!$E:$E,'ПП Май'!$C$17,приходи!$M:$M,'ПП Май'!K2)</f>
        <v>0</v>
      </c>
      <c r="L17" s="74">
        <f>SUMIFS(приходи!$L:$L,приходи!$E:$E,'ПП Май'!$C$17,приходи!$M:$M,'ПП Май'!L2)</f>
        <v>0</v>
      </c>
      <c r="M17" s="74">
        <f>SUMIFS(приходи!$L:$L,приходи!$E:$E,'ПП Май'!$C$17,приходи!$M:$M,'ПП Май'!M2)</f>
        <v>0</v>
      </c>
      <c r="N17" s="74">
        <f>SUMIFS(приходи!$L:$L,приходи!$E:$E,'ПП Май'!$C$17,приходи!$M:$M,'ПП Май'!N2)</f>
        <v>0</v>
      </c>
      <c r="O17" s="76">
        <f>SUMIFS(приходи!$L:$L,приходи!$E:$E,'ПП Май'!$C$17,приходи!$M:$M,'ПП Май'!O2)</f>
        <v>0</v>
      </c>
      <c r="P17" s="76">
        <f>SUMIFS(приходи!$L:$L,приходи!$E:$E,'ПП Май'!$C$17,приходи!$M:$M,'ПП Май'!P2)</f>
        <v>0</v>
      </c>
      <c r="Q17" s="74">
        <f>SUMIFS(приходи!$L:$L,приходи!$E:$E,'ПП Май'!$C$17,приходи!$M:$M,'ПП Май'!Q2)</f>
        <v>0</v>
      </c>
      <c r="R17" s="74">
        <f>SUMIFS(приходи!$L:$L,приходи!$E:$E,'ПП Май'!$C$17,приходи!$M:$M,'ПП Май'!R2)</f>
        <v>0</v>
      </c>
      <c r="S17" s="74">
        <f>SUMIFS(приходи!$L:$L,приходи!$E:$E,'ПП Май'!$C$17,приходи!$M:$M,'ПП Май'!S2)</f>
        <v>0</v>
      </c>
      <c r="T17" s="74">
        <f>SUMIFS(приходи!$L:$L,приходи!$E:$E,'ПП Май'!$C$17,приходи!$M:$M,'ПП Май'!T2)</f>
        <v>0</v>
      </c>
      <c r="U17" s="74">
        <f>SUMIFS(приходи!$L:$L,приходи!$E:$E,'ПП Май'!$C$17,приходи!$M:$M,'ПП Май'!U2)</f>
        <v>0</v>
      </c>
      <c r="V17" s="76">
        <f>SUMIFS(приходи!$L:$L,приходи!$E:$E,'ПП Май'!$C$17,приходи!$M:$M,'ПП Май'!V2)</f>
        <v>0</v>
      </c>
      <c r="W17" s="76">
        <f>SUMIFS(приходи!$L:$L,приходи!$E:$E,'ПП Май'!$C$17,приходи!$M:$M,'ПП Май'!W2)</f>
        <v>0</v>
      </c>
      <c r="X17" s="74">
        <f>SUMIFS(приходи!$L:$L,приходи!$E:$E,'ПП Май'!$C$17,приходи!$M:$M,'ПП Май'!X2)</f>
        <v>0</v>
      </c>
      <c r="Y17" s="74">
        <f>SUMIFS(приходи!$L:$L,приходи!$E:$E,'ПП Май'!$C$17,приходи!$M:$M,'ПП Май'!Y2)</f>
        <v>0</v>
      </c>
      <c r="Z17" s="74">
        <f>SUMIFS(приходи!$L:$L,приходи!$E:$E,'ПП Май'!$C$17,приходи!$M:$M,'ПП Май'!Z2)</f>
        <v>0</v>
      </c>
      <c r="AA17" s="74">
        <f>SUMIFS(приходи!$L:$L,приходи!$E:$E,'ПП Май'!$C$17,приходи!$M:$M,'ПП Май'!AA2)</f>
        <v>0</v>
      </c>
      <c r="AB17" s="76">
        <f>SUMIFS(приходи!$L:$L,приходи!$E:$E,'ПП Май'!$C$17,приходи!$M:$M,'ПП Май'!AB2)</f>
        <v>0</v>
      </c>
      <c r="AC17" s="76">
        <f>SUMIFS(приходи!$L:$L,приходи!$E:$E,'ПП Май'!$C$17,приходи!$M:$M,'ПП Май'!AC2)</f>
        <v>0</v>
      </c>
      <c r="AD17" s="76">
        <f>SUMIFS(приходи!$L:$L,приходи!$E:$E,'ПП Май'!$C$17,приходи!$M:$M,'ПП Май'!AD2)</f>
        <v>0</v>
      </c>
      <c r="AE17" s="74">
        <f>SUMIFS(приходи!$L:$L,приходи!$E:$E,'ПП Май'!$C$17,приходи!$M:$M,'ПП Май'!AE2)</f>
        <v>0</v>
      </c>
      <c r="AF17" s="74">
        <f>SUMIFS(приходи!$L:$L,приходи!$E:$E,'ПП Май'!$C$17,приходи!$M:$M,'ПП Май'!AF2)</f>
        <v>0</v>
      </c>
      <c r="AG17" s="74">
        <f>SUMIFS(приходи!$L:$L,приходи!$E:$E,'ПП Май'!$C$17,приходи!$M:$M,'ПП Май'!AG2)</f>
        <v>0</v>
      </c>
      <c r="AH17" s="74">
        <f>SUMIFS(приходи!$L:$L,приходи!$E:$E,'ПП Май'!$C$17,приходи!$M:$M,'ПП Май'!AH2)</f>
        <v>0</v>
      </c>
      <c r="AI17" s="74">
        <f>SUMIFS(приходи!$L:$L,приходи!$E:$E,'ПП Май'!$C$17,приходи!$M:$M,'ПП Май'!AI2)</f>
        <v>0</v>
      </c>
      <c r="AJ17" s="61">
        <f t="shared" si="2"/>
        <v>0</v>
      </c>
      <c r="AK17" s="62">
        <f t="shared" si="8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Май'!$C$18,приходи!$M:$M,'ПП Май'!E2)</f>
        <v>0</v>
      </c>
      <c r="F18" s="74">
        <f>SUMIFS(приходи!$L:$L,приходи!$E:$E,'ПП Май'!$C$18,приходи!$M:$M,'ПП Май'!F2)</f>
        <v>0</v>
      </c>
      <c r="G18" s="76">
        <f>SUMIFS(приходи!$L:$L,приходи!$E:$E,'ПП Май'!$C$18,приходи!$M:$M,'ПП Май'!G2)</f>
        <v>0</v>
      </c>
      <c r="H18" s="76">
        <f>SUMIFS(приходи!$L:$L,приходи!$E:$E,'ПП Май'!$C$18,приходи!$M:$M,'ПП Май'!H2)</f>
        <v>0</v>
      </c>
      <c r="I18" s="76">
        <f>SUMIFS(приходи!$L:$L,приходи!$E:$E,'ПП Май'!$C$18,приходи!$M:$M,'ПП Май'!I2)</f>
        <v>0</v>
      </c>
      <c r="J18" s="76">
        <f>SUMIFS(приходи!$L:$L,приходи!$E:$E,'ПП Май'!$C$18,приходи!$M:$M,'ПП Май'!J2)</f>
        <v>0</v>
      </c>
      <c r="K18" s="74">
        <f>SUMIFS(приходи!$L:$L,приходи!$E:$E,'ПП Май'!$C$18,приходи!$M:$M,'ПП Май'!K2)</f>
        <v>0</v>
      </c>
      <c r="L18" s="74">
        <f>SUMIFS(приходи!$L:$L,приходи!$E:$E,'ПП Май'!$C$18,приходи!$M:$M,'ПП Май'!L2)</f>
        <v>0</v>
      </c>
      <c r="M18" s="74">
        <f>SUMIFS(приходи!$L:$L,приходи!$E:$E,'ПП Май'!$C$18,приходи!$M:$M,'ПП Май'!M2)</f>
        <v>0</v>
      </c>
      <c r="N18" s="74">
        <f>SUMIFS(приходи!$L:$L,приходи!$E:$E,'ПП Май'!$C$18,приходи!$M:$M,'ПП Май'!N2)</f>
        <v>0</v>
      </c>
      <c r="O18" s="76">
        <f>SUMIFS(приходи!$L:$L,приходи!$E:$E,'ПП Май'!$C$18,приходи!$M:$M,'ПП Май'!O2)</f>
        <v>0</v>
      </c>
      <c r="P18" s="76">
        <f>SUMIFS(приходи!$L:$L,приходи!$E:$E,'ПП Май'!$C$18,приходи!$M:$M,'ПП Май'!P2)</f>
        <v>0</v>
      </c>
      <c r="Q18" s="74">
        <f>SUMIFS(приходи!$L:$L,приходи!$E:$E,'ПП Май'!$C$18,приходи!$M:$M,'ПП Май'!Q2)</f>
        <v>0</v>
      </c>
      <c r="R18" s="74">
        <f>SUMIFS(приходи!$L:$L,приходи!$E:$E,'ПП Май'!$C$18,приходи!$M:$M,'ПП Май'!R2)</f>
        <v>0</v>
      </c>
      <c r="S18" s="74">
        <f>SUMIFS(приходи!$L:$L,приходи!$E:$E,'ПП Май'!$C$18,приходи!$M:$M,'ПП Май'!S2)</f>
        <v>0</v>
      </c>
      <c r="T18" s="74">
        <f>SUMIFS(приходи!$L:$L,приходи!$E:$E,'ПП Май'!$C$18,приходи!$M:$M,'ПП Май'!T2)</f>
        <v>0</v>
      </c>
      <c r="U18" s="74">
        <f>SUMIFS(приходи!$L:$L,приходи!$E:$E,'ПП Май'!$C$18,приходи!$M:$M,'ПП Май'!U2)</f>
        <v>0</v>
      </c>
      <c r="V18" s="76">
        <f>SUMIFS(приходи!$L:$L,приходи!$E:$E,'ПП Май'!$C$18,приходи!$M:$M,'ПП Май'!V2)</f>
        <v>0</v>
      </c>
      <c r="W18" s="76">
        <f>SUMIFS(приходи!$L:$L,приходи!$E:$E,'ПП Май'!$C$18,приходи!$M:$M,'ПП Май'!W2)</f>
        <v>0</v>
      </c>
      <c r="X18" s="74">
        <f>SUMIFS(приходи!$L:$L,приходи!$E:$E,'ПП Май'!$C$18,приходи!$M:$M,'ПП Май'!X2)</f>
        <v>0</v>
      </c>
      <c r="Y18" s="74">
        <f>SUMIFS(приходи!$L:$L,приходи!$E:$E,'ПП Май'!$C$18,приходи!$M:$M,'ПП Май'!Y2)</f>
        <v>0</v>
      </c>
      <c r="Z18" s="74">
        <f>SUMIFS(приходи!$L:$L,приходи!$E:$E,'ПП Май'!$C$18,приходи!$M:$M,'ПП Май'!Z2)</f>
        <v>0</v>
      </c>
      <c r="AA18" s="74">
        <f>SUMIFS(приходи!$L:$L,приходи!$E:$E,'ПП Май'!$C$18,приходи!$M:$M,'ПП Май'!AA2)</f>
        <v>0</v>
      </c>
      <c r="AB18" s="76">
        <f>SUMIFS(приходи!$L:$L,приходи!$E:$E,'ПП Май'!$C$18,приходи!$M:$M,'ПП Май'!AB2)</f>
        <v>0</v>
      </c>
      <c r="AC18" s="76">
        <f>SUMIFS(приходи!$L:$L,приходи!$E:$E,'ПП Май'!$C$18,приходи!$M:$M,'ПП Май'!AC2)</f>
        <v>0</v>
      </c>
      <c r="AD18" s="76">
        <f>SUMIFS(приходи!$L:$L,приходи!$E:$E,'ПП Май'!$C$18,приходи!$M:$M,'ПП Май'!AD2)</f>
        <v>0</v>
      </c>
      <c r="AE18" s="74">
        <f>SUMIFS(приходи!$L:$L,приходи!$E:$E,'ПП Май'!$C$18,приходи!$M:$M,'ПП Май'!AE2)</f>
        <v>0</v>
      </c>
      <c r="AF18" s="74">
        <f>SUMIFS(приходи!$L:$L,приходи!$E:$E,'ПП Май'!$C$18,приходи!$M:$M,'ПП Май'!AF2)</f>
        <v>0</v>
      </c>
      <c r="AG18" s="74">
        <f>SUMIFS(приходи!$L:$L,приходи!$E:$E,'ПП Май'!$C$18,приходи!$M:$M,'ПП Май'!AG2)</f>
        <v>0</v>
      </c>
      <c r="AH18" s="74">
        <f>SUMIFS(приходи!$L:$L,приходи!$E:$E,'ПП Май'!$C$18,приходи!$M:$M,'ПП Май'!AH2)</f>
        <v>0</v>
      </c>
      <c r="AI18" s="74">
        <f>SUMIFS(приходи!$L:$L,приходи!$E:$E,'ПП Май'!$C$18,приходи!$M:$M,'ПП Май'!AI2)</f>
        <v>0</v>
      </c>
      <c r="AJ18" s="61">
        <f t="shared" si="2"/>
        <v>0</v>
      </c>
      <c r="AK18" s="62">
        <f t="shared" si="8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Май'!$C$19,приходи!$M:$M,'ПП Май'!E2)</f>
        <v>0</v>
      </c>
      <c r="F19" s="74">
        <f>SUMIFS(приходи!$L:$L,приходи!$E:$E,'ПП Май'!$C$19,приходи!$M:$M,'ПП Май'!F2)</f>
        <v>0</v>
      </c>
      <c r="G19" s="76">
        <f>SUMIFS(приходи!$L:$L,приходи!$E:$E,'ПП Май'!$C$19,приходи!$M:$M,'ПП Май'!G2)</f>
        <v>0</v>
      </c>
      <c r="H19" s="76">
        <f>SUMIFS(приходи!$L:$L,приходи!$E:$E,'ПП Май'!$C$19,приходи!$M:$M,'ПП Май'!H2)</f>
        <v>0</v>
      </c>
      <c r="I19" s="76">
        <f>SUMIFS(приходи!$L:$L,приходи!$E:$E,'ПП Май'!$C$19,приходи!$M:$M,'ПП Май'!I2)</f>
        <v>0</v>
      </c>
      <c r="J19" s="76">
        <f>SUMIFS(приходи!$L:$L,приходи!$E:$E,'ПП Май'!$C$19,приходи!$M:$M,'ПП Май'!J2)</f>
        <v>0</v>
      </c>
      <c r="K19" s="74">
        <f>SUMIFS(приходи!$L:$L,приходи!$E:$E,'ПП Май'!$C$19,приходи!$M:$M,'ПП Май'!K2)</f>
        <v>0</v>
      </c>
      <c r="L19" s="74">
        <f>SUMIFS(приходи!$L:$L,приходи!$E:$E,'ПП Май'!$C$19,приходи!$M:$M,'ПП Май'!L2)</f>
        <v>0</v>
      </c>
      <c r="M19" s="74">
        <f>SUMIFS(приходи!$L:$L,приходи!$E:$E,'ПП Май'!$C$19,приходи!$M:$M,'ПП Май'!M2)</f>
        <v>0</v>
      </c>
      <c r="N19" s="74">
        <f>SUMIFS(приходи!$L:$L,приходи!$E:$E,'ПП Май'!$C$19,приходи!$M:$M,'ПП Май'!N2)</f>
        <v>0</v>
      </c>
      <c r="O19" s="76">
        <f>SUMIFS(приходи!$L:$L,приходи!$E:$E,'ПП Май'!$C$19,приходи!$M:$M,'ПП Май'!O2)</f>
        <v>0</v>
      </c>
      <c r="P19" s="76">
        <f>SUMIFS(приходи!$L:$L,приходи!$E:$E,'ПП Май'!$C$19,приходи!$M:$M,'ПП Май'!P2)</f>
        <v>0</v>
      </c>
      <c r="Q19" s="74">
        <f>SUMIFS(приходи!$L:$L,приходи!$E:$E,'ПП Май'!$C$19,приходи!$M:$M,'ПП Май'!Q2)</f>
        <v>0</v>
      </c>
      <c r="R19" s="74">
        <f>SUMIFS(приходи!$L:$L,приходи!$E:$E,'ПП Май'!$C$19,приходи!$M:$M,'ПП Май'!R2)</f>
        <v>0</v>
      </c>
      <c r="S19" s="74">
        <f>SUMIFS(приходи!$L:$L,приходи!$E:$E,'ПП Май'!$C$19,приходи!$M:$M,'ПП Май'!S2)</f>
        <v>0</v>
      </c>
      <c r="T19" s="74">
        <f>SUMIFS(приходи!$L:$L,приходи!$E:$E,'ПП Май'!$C$19,приходи!$M:$M,'ПП Май'!T2)</f>
        <v>0</v>
      </c>
      <c r="U19" s="74">
        <f>SUMIFS(приходи!$L:$L,приходи!$E:$E,'ПП Май'!$C$19,приходи!$M:$M,'ПП Май'!U2)</f>
        <v>0</v>
      </c>
      <c r="V19" s="76">
        <f>SUMIFS(приходи!$L:$L,приходи!$E:$E,'ПП Май'!$C$19,приходи!$M:$M,'ПП Май'!V2)</f>
        <v>0</v>
      </c>
      <c r="W19" s="76">
        <f>SUMIFS(приходи!$L:$L,приходи!$E:$E,'ПП Май'!$C$19,приходи!$M:$M,'ПП Май'!W2)</f>
        <v>0</v>
      </c>
      <c r="X19" s="74">
        <f>SUMIFS(приходи!$L:$L,приходи!$E:$E,'ПП Май'!$C$19,приходи!$M:$M,'ПП Май'!X2)</f>
        <v>0</v>
      </c>
      <c r="Y19" s="74">
        <f>SUMIFS(приходи!$L:$L,приходи!$E:$E,'ПП Май'!$C$19,приходи!$M:$M,'ПП Май'!Y2)</f>
        <v>0</v>
      </c>
      <c r="Z19" s="74">
        <f>SUMIFS(приходи!$L:$L,приходи!$E:$E,'ПП Май'!$C$19,приходи!$M:$M,'ПП Май'!Z2)</f>
        <v>0</v>
      </c>
      <c r="AA19" s="74">
        <f>SUMIFS(приходи!$L:$L,приходи!$E:$E,'ПП Май'!$C$19,приходи!$M:$M,'ПП Май'!AA2)</f>
        <v>0</v>
      </c>
      <c r="AB19" s="76">
        <f>SUMIFS(приходи!$L:$L,приходи!$E:$E,'ПП Май'!$C$19,приходи!$M:$M,'ПП Май'!AB2)</f>
        <v>0</v>
      </c>
      <c r="AC19" s="76">
        <f>SUMIFS(приходи!$L:$L,приходи!$E:$E,'ПП Май'!$C$19,приходи!$M:$M,'ПП Май'!AC2)</f>
        <v>0</v>
      </c>
      <c r="AD19" s="76">
        <f>SUMIFS(приходи!$L:$L,приходи!$E:$E,'ПП Май'!$C$19,приходи!$M:$M,'ПП Май'!AD2)</f>
        <v>0</v>
      </c>
      <c r="AE19" s="74">
        <f>SUMIFS(приходи!$L:$L,приходи!$E:$E,'ПП Май'!$C$19,приходи!$M:$M,'ПП Май'!AE2)</f>
        <v>0</v>
      </c>
      <c r="AF19" s="74">
        <f>SUMIFS(приходи!$L:$L,приходи!$E:$E,'ПП Май'!$C$19,приходи!$M:$M,'ПП Май'!AF2)</f>
        <v>0</v>
      </c>
      <c r="AG19" s="74">
        <f>SUMIFS(приходи!$L:$L,приходи!$E:$E,'ПП Май'!$C$19,приходи!$M:$M,'ПП Май'!AG2)</f>
        <v>0</v>
      </c>
      <c r="AH19" s="74">
        <f>SUMIFS(приходи!$L:$L,приходи!$E:$E,'ПП Май'!$C$19,приходи!$M:$M,'ПП Май'!AH2)</f>
        <v>0</v>
      </c>
      <c r="AI19" s="74">
        <f>SUMIFS(приходи!$L:$L,приходи!$E:$E,'ПП Май'!$C$19,приходи!$M:$M,'ПП Май'!AI2)</f>
        <v>0</v>
      </c>
      <c r="AJ19" s="61">
        <f t="shared" si="2"/>
        <v>0</v>
      </c>
      <c r="AK19" s="62">
        <f t="shared" si="8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Май'!$C$20,приходи!$M:$M,'ПП Май'!E2)</f>
        <v>0</v>
      </c>
      <c r="F20" s="74">
        <f>SUMIFS(приходи!$L:$L,приходи!$E:$E,'ПП Май'!$C$20,приходи!$M:$M,'ПП Май'!F2)</f>
        <v>0</v>
      </c>
      <c r="G20" s="76">
        <f>SUMIFS(приходи!$L:$L,приходи!$E:$E,'ПП Май'!$C$20,приходи!$M:$M,'ПП Май'!G2)</f>
        <v>0</v>
      </c>
      <c r="H20" s="76">
        <f>SUMIFS(приходи!$L:$L,приходи!$E:$E,'ПП Май'!$C$20,приходи!$M:$M,'ПП Май'!H2)</f>
        <v>0</v>
      </c>
      <c r="I20" s="76">
        <f>SUMIFS(приходи!$L:$L,приходи!$E:$E,'ПП Май'!$C$20,приходи!$M:$M,'ПП Май'!I2)</f>
        <v>0</v>
      </c>
      <c r="J20" s="76">
        <f>SUMIFS(приходи!$L:$L,приходи!$E:$E,'ПП Май'!$C$20,приходи!$M:$M,'ПП Май'!J2)</f>
        <v>0</v>
      </c>
      <c r="K20" s="74">
        <f>SUMIFS(приходи!$L:$L,приходи!$E:$E,'ПП Май'!$C$20,приходи!$M:$M,'ПП Май'!K2)</f>
        <v>0</v>
      </c>
      <c r="L20" s="74">
        <f>SUMIFS(приходи!$L:$L,приходи!$E:$E,'ПП Май'!$C$20,приходи!$M:$M,'ПП Май'!L2)</f>
        <v>0</v>
      </c>
      <c r="M20" s="74">
        <f>SUMIFS(приходи!$L:$L,приходи!$E:$E,'ПП Май'!$C$20,приходи!$M:$M,'ПП Май'!M2)</f>
        <v>0</v>
      </c>
      <c r="N20" s="74">
        <f>SUMIFS(приходи!$L:$L,приходи!$E:$E,'ПП Май'!$C$20,приходи!$M:$M,'ПП Май'!N2)</f>
        <v>0</v>
      </c>
      <c r="O20" s="76">
        <f>SUMIFS(приходи!$L:$L,приходи!$E:$E,'ПП Май'!$C$20,приходи!$M:$M,'ПП Май'!O2)</f>
        <v>0</v>
      </c>
      <c r="P20" s="76">
        <f>SUMIFS(приходи!$L:$L,приходи!$E:$E,'ПП Май'!$C$20,приходи!$M:$M,'ПП Май'!P2)</f>
        <v>0</v>
      </c>
      <c r="Q20" s="74">
        <f>SUMIFS(приходи!$L:$L,приходи!$E:$E,'ПП Май'!$C$20,приходи!$M:$M,'ПП Май'!Q2)</f>
        <v>0</v>
      </c>
      <c r="R20" s="74">
        <f>SUMIFS(приходи!$L:$L,приходи!$E:$E,'ПП Май'!$C$20,приходи!$M:$M,'ПП Май'!R2)</f>
        <v>0</v>
      </c>
      <c r="S20" s="74">
        <f>SUMIFS(приходи!$L:$L,приходи!$E:$E,'ПП Май'!$C$20,приходи!$M:$M,'ПП Май'!S2)</f>
        <v>0</v>
      </c>
      <c r="T20" s="74">
        <f>SUMIFS(приходи!$L:$L,приходи!$E:$E,'ПП Май'!$C$20,приходи!$M:$M,'ПП Май'!T2)</f>
        <v>0</v>
      </c>
      <c r="U20" s="74">
        <f>SUMIFS(приходи!$L:$L,приходи!$E:$E,'ПП Май'!$C$20,приходи!$M:$M,'ПП Май'!U2)</f>
        <v>0</v>
      </c>
      <c r="V20" s="76">
        <f>SUMIFS(приходи!$L:$L,приходи!$E:$E,'ПП Май'!$C$20,приходи!$M:$M,'ПП Май'!V2)</f>
        <v>0</v>
      </c>
      <c r="W20" s="76">
        <f>SUMIFS(приходи!$L:$L,приходи!$E:$E,'ПП Май'!$C$20,приходи!$M:$M,'ПП Май'!W2)</f>
        <v>0</v>
      </c>
      <c r="X20" s="74">
        <f>SUMIFS(приходи!$L:$L,приходи!$E:$E,'ПП Май'!$C$20,приходи!$M:$M,'ПП Май'!X2)</f>
        <v>0</v>
      </c>
      <c r="Y20" s="74">
        <f>SUMIFS(приходи!$L:$L,приходи!$E:$E,'ПП Май'!$C$20,приходи!$M:$M,'ПП Май'!Y2)</f>
        <v>0</v>
      </c>
      <c r="Z20" s="74">
        <f>SUMIFS(приходи!$L:$L,приходи!$E:$E,'ПП Май'!$C$20,приходи!$M:$M,'ПП Май'!Z2)</f>
        <v>0</v>
      </c>
      <c r="AA20" s="74">
        <f>SUMIFS(приходи!$L:$L,приходи!$E:$E,'ПП Май'!$C$20,приходи!$M:$M,'ПП Май'!AA2)</f>
        <v>0</v>
      </c>
      <c r="AB20" s="76">
        <f>SUMIFS(приходи!$L:$L,приходи!$E:$E,'ПП Май'!$C$20,приходи!$M:$M,'ПП Май'!AB2)</f>
        <v>0</v>
      </c>
      <c r="AC20" s="76">
        <f>SUMIFS(приходи!$L:$L,приходи!$E:$E,'ПП Май'!$C$20,приходи!$M:$M,'ПП Май'!AC2)</f>
        <v>0</v>
      </c>
      <c r="AD20" s="76">
        <f>SUMIFS(приходи!$L:$L,приходи!$E:$E,'ПП Май'!$C$20,приходи!$M:$M,'ПП Май'!AD2)</f>
        <v>0</v>
      </c>
      <c r="AE20" s="74">
        <f>SUMIFS(приходи!$L:$L,приходи!$E:$E,'ПП Май'!$C$20,приходи!$M:$M,'ПП Май'!AE2)</f>
        <v>0</v>
      </c>
      <c r="AF20" s="74">
        <f>SUMIFS(приходи!$L:$L,приходи!$E:$E,'ПП Май'!$C$20,приходи!$M:$M,'ПП Май'!AF2)</f>
        <v>0</v>
      </c>
      <c r="AG20" s="74">
        <f>SUMIFS(приходи!$L:$L,приходи!$E:$E,'ПП Май'!$C$20,приходи!$M:$M,'ПП Май'!AG2)</f>
        <v>0</v>
      </c>
      <c r="AH20" s="74">
        <f>SUMIFS(приходи!$L:$L,приходи!$E:$E,'ПП Май'!$C$20,приходи!$M:$M,'ПП Май'!AH2)</f>
        <v>0</v>
      </c>
      <c r="AI20" s="74">
        <f>SUMIFS(приходи!$L:$L,приходи!$E:$E,'ПП Май'!$C$20,приходи!$M:$M,'ПП Май'!AI2)</f>
        <v>0</v>
      </c>
      <c r="AJ20" s="61">
        <f t="shared" si="2"/>
        <v>0</v>
      </c>
      <c r="AK20" s="62">
        <f t="shared" si="8"/>
        <v>0</v>
      </c>
    </row>
    <row r="21" spans="1:37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Май'!$C$21,приходи!$M:$M,'ПП Май'!E2)</f>
        <v>0</v>
      </c>
      <c r="F21" s="74">
        <f>SUMIFS(приходи!$L:$L,приходи!$E:$E,'ПП Май'!$C$21,приходи!$M:$M,'ПП Май'!F2)</f>
        <v>0</v>
      </c>
      <c r="G21" s="76">
        <f>SUMIFS(приходи!$L:$L,приходи!$E:$E,'ПП Май'!$C$21,приходи!$M:$M,'ПП Май'!G2)</f>
        <v>0</v>
      </c>
      <c r="H21" s="76">
        <f>SUMIFS(приходи!$L:$L,приходи!$E:$E,'ПП Май'!$C$21,приходи!$M:$M,'ПП Май'!H2)</f>
        <v>0</v>
      </c>
      <c r="I21" s="76">
        <f>SUMIFS(приходи!$L:$L,приходи!$E:$E,'ПП Май'!$C$21,приходи!$M:$M,'ПП Май'!I2)</f>
        <v>0</v>
      </c>
      <c r="J21" s="76">
        <f>SUMIFS(приходи!$L:$L,приходи!$E:$E,'ПП Май'!$C$21,приходи!$M:$M,'ПП Май'!J2)</f>
        <v>0</v>
      </c>
      <c r="K21" s="74">
        <f>SUMIFS(приходи!$L:$L,приходи!$E:$E,'ПП Май'!$C$21,приходи!$M:$M,'ПП Май'!K2)</f>
        <v>0</v>
      </c>
      <c r="L21" s="74">
        <f>SUMIFS(приходи!$L:$L,приходи!$E:$E,'ПП Май'!$C$21,приходи!$M:$M,'ПП Май'!L2)</f>
        <v>0</v>
      </c>
      <c r="M21" s="74">
        <f>SUMIFS(приходи!$L:$L,приходи!$E:$E,'ПП Май'!$C$21,приходи!$M:$M,'ПП Май'!M2)</f>
        <v>0</v>
      </c>
      <c r="N21" s="74">
        <f>SUMIFS(приходи!$L:$L,приходи!$E:$E,'ПП Май'!$C$21,приходи!$M:$M,'ПП Май'!N2)</f>
        <v>0</v>
      </c>
      <c r="O21" s="76">
        <f>SUMIFS(приходи!$L:$L,приходи!$E:$E,'ПП Май'!$C$21,приходи!$M:$M,'ПП Май'!O2)</f>
        <v>0</v>
      </c>
      <c r="P21" s="76">
        <f>SUMIFS(приходи!$L:$L,приходи!$E:$E,'ПП Май'!$C$21,приходи!$M:$M,'ПП Май'!P2)</f>
        <v>0</v>
      </c>
      <c r="Q21" s="74">
        <f>SUMIFS(приходи!$L:$L,приходи!$E:$E,'ПП Май'!$C$21,приходи!$M:$M,'ПП Май'!Q2)</f>
        <v>0</v>
      </c>
      <c r="R21" s="74">
        <f>SUMIFS(приходи!$L:$L,приходи!$E:$E,'ПП Май'!$C$21,приходи!$M:$M,'ПП Май'!R2)</f>
        <v>0</v>
      </c>
      <c r="S21" s="74">
        <f>SUMIFS(приходи!$L:$L,приходи!$E:$E,'ПП Май'!$C$21,приходи!$M:$M,'ПП Май'!S2)</f>
        <v>0</v>
      </c>
      <c r="T21" s="74">
        <f>SUMIFS(приходи!$L:$L,приходи!$E:$E,'ПП Май'!$C$21,приходи!$M:$M,'ПП Май'!T2)</f>
        <v>0</v>
      </c>
      <c r="U21" s="74">
        <f>SUMIFS(приходи!$L:$L,приходи!$E:$E,'ПП Май'!$C$21,приходи!$M:$M,'ПП Май'!U2)</f>
        <v>0</v>
      </c>
      <c r="V21" s="76">
        <f>SUMIFS(приходи!$L:$L,приходи!$E:$E,'ПП Май'!$C$21,приходи!$M:$M,'ПП Май'!V2)</f>
        <v>0</v>
      </c>
      <c r="W21" s="76">
        <f>SUMIFS(приходи!$L:$L,приходи!$E:$E,'ПП Май'!$C$21,приходи!$M:$M,'ПП Май'!W2)</f>
        <v>0</v>
      </c>
      <c r="X21" s="74">
        <f>SUMIFS(приходи!$L:$L,приходи!$E:$E,'ПП Май'!$C$21,приходи!$M:$M,'ПП Май'!X2)</f>
        <v>0</v>
      </c>
      <c r="Y21" s="74">
        <f>SUMIFS(приходи!$L:$L,приходи!$E:$E,'ПП Май'!$C$21,приходи!$M:$M,'ПП Май'!Y2)</f>
        <v>0</v>
      </c>
      <c r="Z21" s="74">
        <f>SUMIFS(приходи!$L:$L,приходи!$E:$E,'ПП Май'!$C$21,приходи!$M:$M,'ПП Май'!Z2)</f>
        <v>0</v>
      </c>
      <c r="AA21" s="74">
        <f>SUMIFS(приходи!$L:$L,приходи!$E:$E,'ПП Май'!$C$21,приходи!$M:$M,'ПП Май'!AA2)</f>
        <v>0</v>
      </c>
      <c r="AB21" s="76">
        <f>SUMIFS(приходи!$L:$L,приходи!$E:$E,'ПП Май'!$C$21,приходи!$M:$M,'ПП Май'!AB2)</f>
        <v>0</v>
      </c>
      <c r="AC21" s="76">
        <f>SUMIFS(приходи!$L:$L,приходи!$E:$E,'ПП Май'!$C$21,приходи!$M:$M,'ПП Май'!AC2)</f>
        <v>0</v>
      </c>
      <c r="AD21" s="76">
        <f>SUMIFS(приходи!$L:$L,приходи!$E:$E,'ПП Май'!$C$21,приходи!$M:$M,'ПП Май'!AD2)</f>
        <v>0</v>
      </c>
      <c r="AE21" s="74">
        <f>SUMIFS(приходи!$L:$L,приходи!$E:$E,'ПП Май'!$C$21,приходи!$M:$M,'ПП Май'!AE2)</f>
        <v>0</v>
      </c>
      <c r="AF21" s="74">
        <f>SUMIFS(приходи!$L:$L,приходи!$E:$E,'ПП Май'!$C$21,приходи!$M:$M,'ПП Май'!AF2)</f>
        <v>0</v>
      </c>
      <c r="AG21" s="74">
        <f>SUMIFS(приходи!$L:$L,приходи!$E:$E,'ПП Май'!$C$21,приходи!$M:$M,'ПП Май'!AG2)</f>
        <v>0</v>
      </c>
      <c r="AH21" s="74">
        <f>SUMIFS(приходи!$L:$L,приходи!$E:$E,'ПП Май'!$C$21,приходи!$M:$M,'ПП Май'!AH2)</f>
        <v>0</v>
      </c>
      <c r="AI21" s="74">
        <f>SUMIFS(приходи!$L:$L,приходи!$E:$E,'ПП Май'!$C$21,приходи!$M:$M,'ПП Май'!AI2)</f>
        <v>0</v>
      </c>
      <c r="AJ21" s="61">
        <f t="shared" si="2"/>
        <v>0</v>
      </c>
      <c r="AK21" s="62">
        <f t="shared" si="8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Май'!$C$22,приходи!$M:$M,'ПП Май'!E2)</f>
        <v>0</v>
      </c>
      <c r="F22" s="74">
        <f>SUMIFS(приходи!$L:$L,приходи!$E:$E,'ПП Май'!$C$22,приходи!$M:$M,'ПП Май'!F2)</f>
        <v>0</v>
      </c>
      <c r="G22" s="76">
        <f>SUMIFS(приходи!$L:$L,приходи!$E:$E,'ПП Май'!$C$22,приходи!$M:$M,'ПП Май'!G2)</f>
        <v>0</v>
      </c>
      <c r="H22" s="76">
        <f>SUMIFS(приходи!$L:$L,приходи!$E:$E,'ПП Май'!$C$22,приходи!$M:$M,'ПП Май'!H2)</f>
        <v>0</v>
      </c>
      <c r="I22" s="76">
        <f>SUMIFS(приходи!$L:$L,приходи!$E:$E,'ПП Май'!$C$22,приходи!$M:$M,'ПП Май'!I2)</f>
        <v>0</v>
      </c>
      <c r="J22" s="76">
        <f>SUMIFS(приходи!$L:$L,приходи!$E:$E,'ПП Май'!$C$22,приходи!$M:$M,'ПП Май'!J2)</f>
        <v>0</v>
      </c>
      <c r="K22" s="74">
        <f>SUMIFS(приходи!$L:$L,приходи!$E:$E,'ПП Май'!$C$22,приходи!$M:$M,'ПП Май'!K2)</f>
        <v>0</v>
      </c>
      <c r="L22" s="74">
        <f>SUMIFS(приходи!$L:$L,приходи!$E:$E,'ПП Май'!$C$22,приходи!$M:$M,'ПП Май'!L2)</f>
        <v>0</v>
      </c>
      <c r="M22" s="74">
        <f>SUMIFS(приходи!$L:$L,приходи!$E:$E,'ПП Май'!$C$22,приходи!$M:$M,'ПП Май'!M2)</f>
        <v>0</v>
      </c>
      <c r="N22" s="74">
        <f>SUMIFS(приходи!$L:$L,приходи!$E:$E,'ПП Май'!$C$22,приходи!$M:$M,'ПП Май'!N2)</f>
        <v>0</v>
      </c>
      <c r="O22" s="76">
        <f>SUMIFS(приходи!$L:$L,приходи!$E:$E,'ПП Май'!$C$22,приходи!$M:$M,'ПП Май'!O2)</f>
        <v>0</v>
      </c>
      <c r="P22" s="76">
        <f>SUMIFS(приходи!$L:$L,приходи!$E:$E,'ПП Май'!$C$22,приходи!$M:$M,'ПП Май'!P2)</f>
        <v>0</v>
      </c>
      <c r="Q22" s="74">
        <f>SUMIFS(приходи!$L:$L,приходи!$E:$E,'ПП Май'!$C$22,приходи!$M:$M,'ПП Май'!Q2)</f>
        <v>0</v>
      </c>
      <c r="R22" s="74">
        <f>SUMIFS(приходи!$L:$L,приходи!$E:$E,'ПП Май'!$C$22,приходи!$M:$M,'ПП Май'!R2)</f>
        <v>0</v>
      </c>
      <c r="S22" s="74">
        <f>SUMIFS(приходи!$L:$L,приходи!$E:$E,'ПП Май'!$C$22,приходи!$M:$M,'ПП Май'!S2)</f>
        <v>0</v>
      </c>
      <c r="T22" s="74">
        <f>SUMIFS(приходи!$L:$L,приходи!$E:$E,'ПП Май'!$C$22,приходи!$M:$M,'ПП Май'!T2)</f>
        <v>0</v>
      </c>
      <c r="U22" s="74">
        <f>SUMIFS(приходи!$L:$L,приходи!$E:$E,'ПП Май'!$C$22,приходи!$M:$M,'ПП Май'!U2)</f>
        <v>0</v>
      </c>
      <c r="V22" s="76">
        <f>SUMIFS(приходи!$L:$L,приходи!$E:$E,'ПП Май'!$C$22,приходи!$M:$M,'ПП Май'!V2)</f>
        <v>0</v>
      </c>
      <c r="W22" s="76">
        <f>SUMIFS(приходи!$L:$L,приходи!$E:$E,'ПП Май'!$C$22,приходи!$M:$M,'ПП Май'!W2)</f>
        <v>0</v>
      </c>
      <c r="X22" s="74">
        <f>SUMIFS(приходи!$L:$L,приходи!$E:$E,'ПП Май'!$C$22,приходи!$M:$M,'ПП Май'!X2)</f>
        <v>0</v>
      </c>
      <c r="Y22" s="74">
        <f>SUMIFS(приходи!$L:$L,приходи!$E:$E,'ПП Май'!$C$22,приходи!$M:$M,'ПП Май'!Y2)</f>
        <v>0</v>
      </c>
      <c r="Z22" s="74">
        <f>SUMIFS(приходи!$L:$L,приходи!$E:$E,'ПП Май'!$C$22,приходи!$M:$M,'ПП Май'!Z2)</f>
        <v>0</v>
      </c>
      <c r="AA22" s="74">
        <f>SUMIFS(приходи!$L:$L,приходи!$E:$E,'ПП Май'!$C$22,приходи!$M:$M,'ПП Май'!AA2)</f>
        <v>0</v>
      </c>
      <c r="AB22" s="76">
        <f>SUMIFS(приходи!$L:$L,приходи!$E:$E,'ПП Май'!$C$22,приходи!$M:$M,'ПП Май'!AB2)</f>
        <v>0</v>
      </c>
      <c r="AC22" s="76">
        <f>SUMIFS(приходи!$L:$L,приходи!$E:$E,'ПП Май'!$C$22,приходи!$M:$M,'ПП Май'!AC2)</f>
        <v>0</v>
      </c>
      <c r="AD22" s="76">
        <f>SUMIFS(приходи!$L:$L,приходи!$E:$E,'ПП Май'!$C$22,приходи!$M:$M,'ПП Май'!AD2)</f>
        <v>0</v>
      </c>
      <c r="AE22" s="74">
        <f>SUMIFS(приходи!$L:$L,приходи!$E:$E,'ПП Май'!$C$22,приходи!$M:$M,'ПП Май'!AE2)</f>
        <v>0</v>
      </c>
      <c r="AF22" s="74">
        <f>SUMIFS(приходи!$L:$L,приходи!$E:$E,'ПП Май'!$C$22,приходи!$M:$M,'ПП Май'!AF2)</f>
        <v>0</v>
      </c>
      <c r="AG22" s="74">
        <f>SUMIFS(приходи!$L:$L,приходи!$E:$E,'ПП Май'!$C$22,приходи!$M:$M,'ПП Май'!AG2)</f>
        <v>0</v>
      </c>
      <c r="AH22" s="74">
        <f>SUMIFS(приходи!$L:$L,приходи!$E:$E,'ПП Май'!$C$22,приходи!$M:$M,'ПП Май'!AH2)</f>
        <v>0</v>
      </c>
      <c r="AI22" s="74">
        <f>SUMIFS(приходи!$L:$L,приходи!$E:$E,'ПП Май'!$C$22,приходи!$M:$M,'ПП Май'!AI2)</f>
        <v>0</v>
      </c>
      <c r="AJ22" s="61">
        <f t="shared" si="2"/>
        <v>0</v>
      </c>
      <c r="AK22" s="62">
        <f t="shared" si="8"/>
        <v>0</v>
      </c>
    </row>
    <row r="23" spans="1:37" s="4" customFormat="1" ht="20.100000000000001" customHeight="1" x14ac:dyDescent="0.3">
      <c r="B23" s="2" t="s">
        <v>856</v>
      </c>
      <c r="C23" s="3" t="s">
        <v>857</v>
      </c>
      <c r="D23" s="54">
        <f>SUM(D24,D29,D36,D41,D42)</f>
        <v>6580077</v>
      </c>
      <c r="E23" s="54">
        <f t="shared" ref="E23:AI23" si="12">SUM(E24,E29,E36,E41,E42)</f>
        <v>0</v>
      </c>
      <c r="F23" s="54">
        <f t="shared" si="12"/>
        <v>905238.51249056007</v>
      </c>
      <c r="G23" s="54">
        <f t="shared" si="12"/>
        <v>0</v>
      </c>
      <c r="H23" s="54">
        <f t="shared" si="12"/>
        <v>0</v>
      </c>
      <c r="I23" s="54">
        <f t="shared" si="12"/>
        <v>0</v>
      </c>
      <c r="J23" s="54">
        <f t="shared" si="12"/>
        <v>0</v>
      </c>
      <c r="K23" s="54">
        <f t="shared" si="12"/>
        <v>54318.64</v>
      </c>
      <c r="L23" s="54">
        <f t="shared" si="12"/>
        <v>6422.58</v>
      </c>
      <c r="M23" s="54">
        <f t="shared" si="12"/>
        <v>353447.17</v>
      </c>
      <c r="N23" s="54">
        <f t="shared" si="12"/>
        <v>666452.05200000003</v>
      </c>
      <c r="O23" s="54">
        <f t="shared" si="12"/>
        <v>0</v>
      </c>
      <c r="P23" s="54">
        <f t="shared" si="12"/>
        <v>0</v>
      </c>
      <c r="Q23" s="54">
        <f t="shared" si="12"/>
        <v>1028897.6317383039</v>
      </c>
      <c r="R23" s="54">
        <f t="shared" si="12"/>
        <v>0</v>
      </c>
      <c r="S23" s="54">
        <f t="shared" si="12"/>
        <v>115235</v>
      </c>
      <c r="T23" s="54">
        <f t="shared" si="12"/>
        <v>749949.4246575</v>
      </c>
      <c r="U23" s="54">
        <f t="shared" si="12"/>
        <v>490867.57</v>
      </c>
      <c r="V23" s="54">
        <f t="shared" si="12"/>
        <v>0</v>
      </c>
      <c r="W23" s="54">
        <f t="shared" si="12"/>
        <v>0</v>
      </c>
      <c r="X23" s="54">
        <f t="shared" si="12"/>
        <v>0</v>
      </c>
      <c r="Y23" s="54">
        <f t="shared" si="12"/>
        <v>329295.17563780001</v>
      </c>
      <c r="Z23" s="54">
        <f t="shared" si="12"/>
        <v>750432.5</v>
      </c>
      <c r="AA23" s="54">
        <f t="shared" si="12"/>
        <v>438488.08974969998</v>
      </c>
      <c r="AB23" s="54">
        <f t="shared" si="12"/>
        <v>0</v>
      </c>
      <c r="AC23" s="54">
        <f t="shared" si="12"/>
        <v>0</v>
      </c>
      <c r="AD23" s="54">
        <f t="shared" si="12"/>
        <v>0</v>
      </c>
      <c r="AE23" s="54">
        <f t="shared" si="12"/>
        <v>14040.460000000001</v>
      </c>
      <c r="AF23" s="54">
        <f t="shared" si="12"/>
        <v>1203965.165060607</v>
      </c>
      <c r="AG23" s="54">
        <f t="shared" si="12"/>
        <v>212653.03366593001</v>
      </c>
      <c r="AH23" s="54">
        <f t="shared" si="12"/>
        <v>173407.31199999998</v>
      </c>
      <c r="AI23" s="54">
        <f t="shared" si="12"/>
        <v>329882.104161</v>
      </c>
      <c r="AJ23" s="54">
        <f t="shared" si="2"/>
        <v>7822992.4211614011</v>
      </c>
      <c r="AK23" s="54">
        <f t="shared" ref="AK23:AK66" si="13">+D23-AJ23</f>
        <v>-1242915.4211614011</v>
      </c>
    </row>
    <row r="24" spans="1:37" s="4" customFormat="1" ht="20.100000000000001" customHeight="1" x14ac:dyDescent="0.3">
      <c r="B24" s="7">
        <v>1</v>
      </c>
      <c r="C24" s="8" t="s">
        <v>858</v>
      </c>
      <c r="D24" s="73">
        <f t="shared" ref="D24" si="14">SUM(D26:D28)</f>
        <v>5893828</v>
      </c>
      <c r="E24" s="77">
        <f t="shared" ref="E24:AI24" si="15">SUM(E25:E28)</f>
        <v>0</v>
      </c>
      <c r="F24" s="73">
        <f t="shared" si="15"/>
        <v>904939.09249056003</v>
      </c>
      <c r="G24" s="77">
        <f t="shared" si="15"/>
        <v>0</v>
      </c>
      <c r="H24" s="77">
        <f t="shared" si="15"/>
        <v>0</v>
      </c>
      <c r="I24" s="77">
        <f t="shared" si="15"/>
        <v>0</v>
      </c>
      <c r="J24" s="77">
        <f t="shared" si="15"/>
        <v>0</v>
      </c>
      <c r="K24" s="73">
        <f t="shared" si="15"/>
        <v>54318.64</v>
      </c>
      <c r="L24" s="73">
        <f t="shared" si="15"/>
        <v>5820</v>
      </c>
      <c r="M24" s="73">
        <f t="shared" si="15"/>
        <v>122561.06</v>
      </c>
      <c r="N24" s="73">
        <f t="shared" si="15"/>
        <v>633825.48</v>
      </c>
      <c r="O24" s="77">
        <f t="shared" si="15"/>
        <v>0</v>
      </c>
      <c r="P24" s="77">
        <f t="shared" si="15"/>
        <v>0</v>
      </c>
      <c r="Q24" s="73">
        <f t="shared" si="15"/>
        <v>793607.08973830403</v>
      </c>
      <c r="R24" s="73">
        <f t="shared" si="15"/>
        <v>0</v>
      </c>
      <c r="S24" s="73">
        <f t="shared" si="15"/>
        <v>115200</v>
      </c>
      <c r="T24" s="73">
        <f t="shared" si="15"/>
        <v>749949.4246575</v>
      </c>
      <c r="U24" s="73">
        <f t="shared" si="15"/>
        <v>490867.57</v>
      </c>
      <c r="V24" s="77">
        <f t="shared" si="15"/>
        <v>0</v>
      </c>
      <c r="W24" s="77">
        <f t="shared" si="15"/>
        <v>0</v>
      </c>
      <c r="X24" s="73">
        <f t="shared" si="15"/>
        <v>0</v>
      </c>
      <c r="Y24" s="73">
        <f t="shared" si="15"/>
        <v>325693.22163779999</v>
      </c>
      <c r="Z24" s="73">
        <f t="shared" si="15"/>
        <v>749880</v>
      </c>
      <c r="AA24" s="73">
        <f t="shared" si="15"/>
        <v>433980.14974969998</v>
      </c>
      <c r="AB24" s="77">
        <f t="shared" si="15"/>
        <v>0</v>
      </c>
      <c r="AC24" s="77">
        <f t="shared" si="15"/>
        <v>0</v>
      </c>
      <c r="AD24" s="77">
        <f t="shared" si="15"/>
        <v>0</v>
      </c>
      <c r="AE24" s="73">
        <f t="shared" si="15"/>
        <v>1161.5999999999999</v>
      </c>
      <c r="AF24" s="73">
        <f t="shared" si="15"/>
        <v>1203965.165060607</v>
      </c>
      <c r="AG24" s="73">
        <f t="shared" si="15"/>
        <v>212653.03366593001</v>
      </c>
      <c r="AH24" s="73">
        <f t="shared" si="15"/>
        <v>173407.31199999998</v>
      </c>
      <c r="AI24" s="73">
        <f t="shared" si="15"/>
        <v>329460.09416099999</v>
      </c>
      <c r="AJ24" s="61">
        <f t="shared" si="2"/>
        <v>7301288.9331614003</v>
      </c>
      <c r="AK24" s="58">
        <f t="shared" si="13"/>
        <v>-1407460.9331614003</v>
      </c>
    </row>
    <row r="25" spans="1:37" s="36" customFormat="1" ht="20.100000000000001" customHeight="1" outlineLevel="1" x14ac:dyDescent="0.3">
      <c r="A25" s="33"/>
      <c r="B25" s="34"/>
      <c r="C25" s="35" t="s">
        <v>859</v>
      </c>
      <c r="D25" s="79"/>
      <c r="E25" s="78"/>
      <c r="F25" s="75"/>
      <c r="G25" s="78"/>
      <c r="H25" s="78"/>
      <c r="I25" s="78"/>
      <c r="J25" s="78"/>
      <c r="K25" s="75"/>
      <c r="L25" s="75"/>
      <c r="M25" s="75"/>
      <c r="N25" s="75"/>
      <c r="O25" s="78"/>
      <c r="P25" s="78"/>
      <c r="Q25" s="75"/>
      <c r="R25" s="75"/>
      <c r="S25" s="75"/>
      <c r="T25" s="75"/>
      <c r="U25" s="75"/>
      <c r="V25" s="78"/>
      <c r="W25" s="78"/>
      <c r="X25" s="75"/>
      <c r="Y25" s="75"/>
      <c r="Z25" s="75"/>
      <c r="AA25" s="75"/>
      <c r="AB25" s="78"/>
      <c r="AC25" s="78"/>
      <c r="AD25" s="78"/>
      <c r="AE25" s="75"/>
      <c r="AF25" s="75"/>
      <c r="AG25" s="75"/>
      <c r="AH25" s="75"/>
      <c r="AI25" s="75"/>
      <c r="AJ25" s="66">
        <f t="shared" si="2"/>
        <v>0</v>
      </c>
      <c r="AK25" s="67">
        <f t="shared" si="1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f>900000+1056148</f>
        <v>1956148</v>
      </c>
      <c r="E26" s="76">
        <f>SUMIFS(разходи!$L:$L,разходи!$E:$E,'ПП Май'!$C$26,разходи!$M:$M,'ПП Май'!E2)</f>
        <v>0</v>
      </c>
      <c r="F26" s="74">
        <f>SUMIFS(разходи!$L:$L,разходи!$E:$E,'ПП Май'!$C$26,разходи!$M:$M,'ПП Май'!F2)</f>
        <v>0</v>
      </c>
      <c r="G26" s="76">
        <f>SUMIFS(разходи!$L:$L,разходи!$E:$E,'ПП Май'!$C$26,разходи!$M:$M,'ПП Май'!G2)</f>
        <v>0</v>
      </c>
      <c r="H26" s="76">
        <f>SUMIFS(разходи!$L:$L,разходи!$E:$E,'ПП Май'!$C$26,разходи!$M:$M,'ПП Май'!H2)</f>
        <v>0</v>
      </c>
      <c r="I26" s="76">
        <f>SUMIFS(разходи!$L:$L,разходи!$E:$E,'ПП Май'!$C$26,разходи!$M:$M,'ПП Май'!I2)</f>
        <v>0</v>
      </c>
      <c r="J26" s="76">
        <f>SUMIFS(разходи!$L:$L,разходи!$E:$E,'ПП Май'!$C$26,разходи!$M:$M,'ПП Май'!J2)</f>
        <v>0</v>
      </c>
      <c r="K26" s="74">
        <f>SUMIFS(разходи!$L:$L,разходи!$E:$E,'ПП Май'!$C$26,разходи!$M:$M,'ПП Май'!K2)</f>
        <v>16812.64</v>
      </c>
      <c r="L26" s="74">
        <f>SUMIFS(разходи!$L:$L,разходи!$E:$E,'ПП Май'!$C$26,разходи!$M:$M,'ПП Май'!L2)</f>
        <v>0</v>
      </c>
      <c r="M26" s="74">
        <f>SUMIFS(разходи!$L:$L,разходи!$E:$E,'ПП Май'!$C$26,разходи!$M:$M,'ПП Май'!M2)</f>
        <v>0</v>
      </c>
      <c r="N26" s="74">
        <f>SUMIFS(разходи!$L:$L,разходи!$E:$E,'ПП Май'!$C$26,разходи!$M:$M,'ПП Май'!N2)</f>
        <v>0</v>
      </c>
      <c r="O26" s="76">
        <f>SUMIFS(разходи!$L:$L,разходи!$E:$E,'ПП Май'!$C$26,разходи!$M:$M,'ПП Май'!O2)</f>
        <v>0</v>
      </c>
      <c r="P26" s="76">
        <f>SUMIFS(разходи!$L:$L,разходи!$E:$E,'ПП Май'!$C$26,разходи!$M:$M,'ПП Май'!P2)</f>
        <v>0</v>
      </c>
      <c r="Q26" s="74">
        <f>SUMIFS(разходи!$L:$L,разходи!$E:$E,'ПП Май'!$C$26,разходи!$M:$M,'ПП Май'!Q2)</f>
        <v>0</v>
      </c>
      <c r="R26" s="74">
        <f>SUMIFS(разходи!$L:$L,разходи!$E:$E,'ПП Май'!$C$26,разходи!$M:$M,'ПП Май'!R2)</f>
        <v>0</v>
      </c>
      <c r="S26" s="74">
        <f>SUMIFS(разходи!$L:$L,разходи!$E:$E,'ПП Май'!$C$26,разходи!$M:$M,'ПП Май'!S2)</f>
        <v>0</v>
      </c>
      <c r="T26" s="74">
        <f>SUMIFS(разходи!$L:$L,разходи!$E:$E,'ПП Май'!$C$26,разходи!$M:$M,'ПП Май'!T2)</f>
        <v>38.840000000000003</v>
      </c>
      <c r="U26" s="74">
        <f>SUMIFS(разходи!$L:$L,разходи!$E:$E,'ПП Май'!$C$26,разходи!$M:$M,'ПП Май'!U2)</f>
        <v>0</v>
      </c>
      <c r="V26" s="76">
        <f>SUMIFS(разходи!$L:$L,разходи!$E:$E,'ПП Май'!$C$26,разходи!$M:$M,'ПП Май'!V2)</f>
        <v>0</v>
      </c>
      <c r="W26" s="76">
        <f>SUMIFS(разходи!$L:$L,разходи!$E:$E,'ПП Май'!$C$26,разходи!$M:$M,'ПП Май'!W2)</f>
        <v>0</v>
      </c>
      <c r="X26" s="74">
        <f>SUMIFS(разходи!$L:$L,разходи!$E:$E,'ПП Май'!$C$26,разходи!$M:$M,'ПП Май'!X2)</f>
        <v>0</v>
      </c>
      <c r="Y26" s="74">
        <f>SUMIFS(разходи!$L:$L,разходи!$E:$E,'ПП Май'!$C$26,разходи!$M:$M,'ПП Май'!Y2)</f>
        <v>0</v>
      </c>
      <c r="Z26" s="74">
        <f>SUMIFS(разходи!$L:$L,разходи!$E:$E,'ПП Май'!$C$26,разходи!$M:$M,'ПП Май'!Z2)</f>
        <v>0</v>
      </c>
      <c r="AA26" s="74">
        <f>SUMIFS(разходи!$L:$L,разходи!$E:$E,'ПП Май'!$C$26,разходи!$M:$M,'ПП Май'!AA2)</f>
        <v>0</v>
      </c>
      <c r="AB26" s="76">
        <f>SUMIFS(разходи!$L:$L,разходи!$E:$E,'ПП Май'!$C$26,разходи!$M:$M,'ПП Май'!AB2)</f>
        <v>0</v>
      </c>
      <c r="AC26" s="76">
        <f>SUMIFS(разходи!$L:$L,разходи!$E:$E,'ПП Май'!$C$26,разходи!$M:$M,'ПП Май'!AC2)</f>
        <v>0</v>
      </c>
      <c r="AD26" s="76">
        <f>SUMIFS(разходи!$L:$L,разходи!$E:$E,'ПП Май'!$C$26,разходи!$M:$M,'ПП Май'!AD2)</f>
        <v>0</v>
      </c>
      <c r="AE26" s="74">
        <f>SUMIFS(разходи!$L:$L,разходи!$E:$E,'ПП Май'!$C$26,разходи!$M:$M,'ПП Май'!AE2)</f>
        <v>0</v>
      </c>
      <c r="AF26" s="74">
        <f>SUMIFS(разходи!$L:$L,разходи!$E:$E,'ПП Май'!$C$26,разходи!$M:$M,'ПП Май'!AF2)</f>
        <v>750485.58750000002</v>
      </c>
      <c r="AG26" s="74">
        <f>SUMIFS(разходи!$L:$L,разходи!$E:$E,'ПП Май'!$C$26,разходи!$M:$M,'ПП Май'!AG2)</f>
        <v>0</v>
      </c>
      <c r="AH26" s="74">
        <f>SUMIFS(разходи!$L:$L,разходи!$E:$E,'ПП Май'!$C$26,разходи!$M:$M,'ПП Май'!AH2)</f>
        <v>0</v>
      </c>
      <c r="AI26" s="74">
        <f>SUMIFS(разходи!$L:$L,разходи!$E:$E,'ПП Май'!$C$26,разходи!$M:$M,'ПП Май'!AI2)</f>
        <v>0</v>
      </c>
      <c r="AJ26" s="61">
        <f t="shared" si="2"/>
        <v>767337.0675</v>
      </c>
      <c r="AK26" s="69">
        <f t="shared" si="13"/>
        <v>1188810.9325000001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3870000</v>
      </c>
      <c r="E27" s="76">
        <f>SUMIFS(разходи!$L:$L,разходи!$E:$E,'ПП Май'!$C$27,разходи!$M:$M,'ПП Май'!E2)</f>
        <v>0</v>
      </c>
      <c r="F27" s="74">
        <f>SUMIFS(разходи!$L:$L,разходи!$E:$E,'ПП Май'!$C$27,разходи!$M:$M,'ПП Май'!F2)</f>
        <v>674346.83249056002</v>
      </c>
      <c r="G27" s="76">
        <f>SUMIFS(разходи!$L:$L,разходи!$E:$E,'ПП Май'!$C$27,разходи!$M:$M,'ПП Май'!G2)</f>
        <v>0</v>
      </c>
      <c r="H27" s="76">
        <f>SUMIFS(разходи!$L:$L,разходи!$E:$E,'ПП Май'!$C$27,разходи!$M:$M,'ПП Май'!H2)</f>
        <v>0</v>
      </c>
      <c r="I27" s="76">
        <f>SUMIFS(разходи!$L:$L,разходи!$E:$E,'ПП Май'!$C$27,разходи!$M:$M,'ПП Май'!I2)</f>
        <v>0</v>
      </c>
      <c r="J27" s="76">
        <f>SUMIFS(разходи!$L:$L,разходи!$E:$E,'ПП Май'!$C$27,разходи!$M:$M,'ПП Май'!J2)</f>
        <v>0</v>
      </c>
      <c r="K27" s="74">
        <f>SUMIFS(разходи!$L:$L,разходи!$E:$E,'ПП Май'!$C$27,разходи!$M:$M,'ПП Май'!K2)</f>
        <v>37506</v>
      </c>
      <c r="L27" s="74">
        <f>SUMIFS(разходи!$L:$L,разходи!$E:$E,'ПП Май'!$C$27,разходи!$M:$M,'ПП Май'!L2)</f>
        <v>5820</v>
      </c>
      <c r="M27" s="74">
        <f>SUMIFS(разходи!$L:$L,разходи!$E:$E,'ПП Май'!$C$27,разходи!$M:$M,'ПП Май'!M2)</f>
        <v>122561.06</v>
      </c>
      <c r="N27" s="74">
        <f>SUMIFS(разходи!$L:$L,разходи!$E:$E,'ПП Май'!$C$27,разходи!$M:$M,'ПП Май'!N2)</f>
        <v>633825.48</v>
      </c>
      <c r="O27" s="76">
        <f>SUMIFS(разходи!$L:$L,разходи!$E:$E,'ПП Май'!$C$27,разходи!$M:$M,'ПП Май'!O2)</f>
        <v>0</v>
      </c>
      <c r="P27" s="76">
        <f>SUMIFS(разходи!$L:$L,разходи!$E:$E,'ПП Май'!$C$27,разходи!$M:$M,'ПП Май'!P2)</f>
        <v>0</v>
      </c>
      <c r="Q27" s="74">
        <f>SUMIFS(разходи!$L:$L,разходи!$E:$E,'ПП Май'!$C$27,разходи!$M:$M,'ПП Май'!Q2)</f>
        <v>793607.08973830403</v>
      </c>
      <c r="R27" s="74">
        <f>SUMIFS(разходи!$L:$L,разходи!$E:$E,'ПП Май'!$C$27,разходи!$M:$M,'ПП Май'!R2)</f>
        <v>0</v>
      </c>
      <c r="S27" s="74">
        <f>SUMIFS(разходи!$L:$L,разходи!$E:$E,'ПП Май'!$C$27,разходи!$M:$M,'ПП Май'!S2)</f>
        <v>115200</v>
      </c>
      <c r="T27" s="74">
        <f>SUMIFS(разходи!$L:$L,разходи!$E:$E,'ПП Май'!$C$27,разходи!$M:$M,'ПП Май'!T2)</f>
        <v>749910.58465750003</v>
      </c>
      <c r="U27" s="74">
        <f>SUMIFS(разходи!$L:$L,разходи!$E:$E,'ПП Май'!$C$27,разходи!$M:$M,'ПП Май'!U2)</f>
        <v>490867.57</v>
      </c>
      <c r="V27" s="76">
        <f>SUMIFS(разходи!$L:$L,разходи!$E:$E,'ПП Май'!$C$27,разходи!$M:$M,'ПП Май'!V2)</f>
        <v>0</v>
      </c>
      <c r="W27" s="76">
        <f>SUMIFS(разходи!$L:$L,разходи!$E:$E,'ПП Май'!$C$27,разходи!$M:$M,'ПП Май'!W2)</f>
        <v>0</v>
      </c>
      <c r="X27" s="74">
        <f>SUMIFS(разходи!$L:$L,разходи!$E:$E,'ПП Май'!$C$27,разходи!$M:$M,'ПП Май'!X2)</f>
        <v>0</v>
      </c>
      <c r="Y27" s="74">
        <f>SUMIFS(разходи!$L:$L,разходи!$E:$E,'ПП Май'!$C$27,разходи!$M:$M,'ПП Май'!Y2)</f>
        <v>325693.22163779999</v>
      </c>
      <c r="Z27" s="74">
        <f>SUMIFS(разходи!$L:$L,разходи!$E:$E,'ПП Май'!$C$27,разходи!$M:$M,'ПП Май'!Z2)</f>
        <v>749880</v>
      </c>
      <c r="AA27" s="74">
        <f>SUMIFS(разходи!$L:$L,разходи!$E:$E,'ПП Май'!$C$27,разходи!$M:$M,'ПП Май'!AA2)</f>
        <v>368200.98974970001</v>
      </c>
      <c r="AB27" s="76">
        <f>SUMIFS(разходи!$L:$L,разходи!$E:$E,'ПП Май'!$C$27,разходи!$M:$M,'ПП Май'!AB2)</f>
        <v>0</v>
      </c>
      <c r="AC27" s="76">
        <f>SUMIFS(разходи!$L:$L,разходи!$E:$E,'ПП Май'!$C$27,разходи!$M:$M,'ПП Май'!AC2)</f>
        <v>0</v>
      </c>
      <c r="AD27" s="76">
        <f>SUMIFS(разходи!$L:$L,разходи!$E:$E,'ПП Май'!$C$27,разходи!$M:$M,'ПП Май'!AD2)</f>
        <v>0</v>
      </c>
      <c r="AE27" s="74">
        <f>SUMIFS(разходи!$L:$L,разходи!$E:$E,'ПП Май'!$C$27,разходи!$M:$M,'ПП Май'!AE2)</f>
        <v>1161.5999999999999</v>
      </c>
      <c r="AF27" s="74">
        <f>SUMIFS(разходи!$L:$L,разходи!$E:$E,'ПП Май'!$C$27,разходи!$M:$M,'ПП Май'!AF2)</f>
        <v>453479.57756060699</v>
      </c>
      <c r="AG27" s="74">
        <f>SUMIFS(разходи!$L:$L,разходи!$E:$E,'ПП Май'!$C$27,разходи!$M:$M,'ПП Май'!AG2)</f>
        <v>212653.03366593001</v>
      </c>
      <c r="AH27" s="74">
        <f>SUMIFS(разходи!$L:$L,разходи!$E:$E,'ПП Май'!$C$27,разходи!$M:$M,'ПП Май'!AH2)</f>
        <v>173407.31199999998</v>
      </c>
      <c r="AI27" s="74">
        <f>SUMIFS(разходи!$L:$L,разходи!$E:$E,'ПП Май'!$C$27,разходи!$M:$M,'ПП Май'!AI2)</f>
        <v>329460.09416099999</v>
      </c>
      <c r="AJ27" s="61">
        <f t="shared" si="2"/>
        <v>6237580.4456614004</v>
      </c>
      <c r="AK27" s="69">
        <f t="shared" si="13"/>
        <v>-2367580.4456614004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>
        <v>67680</v>
      </c>
      <c r="E28" s="76">
        <f>SUMIFS(разходи!$L:$L,разходи!$E:$E,'ПП Май'!$C$28,разходи!$M:$M,'ПП Май'!E2)</f>
        <v>0</v>
      </c>
      <c r="F28" s="74">
        <f>SUMIFS(разходи!$L:$L,разходи!$E:$E,'ПП Май'!$C$28,разходи!$M:$M,'ПП Май'!F2)</f>
        <v>230592.26</v>
      </c>
      <c r="G28" s="76">
        <f>SUMIFS(разходи!$L:$L,разходи!$E:$E,'ПП Май'!$C$28,разходи!$M:$M,'ПП Май'!G2)</f>
        <v>0</v>
      </c>
      <c r="H28" s="76">
        <f>SUMIFS(разходи!$L:$L,разходи!$E:$E,'ПП Май'!$C$28,разходи!$M:$M,'ПП Май'!H2)</f>
        <v>0</v>
      </c>
      <c r="I28" s="76">
        <f>SUMIFS(разходи!$L:$L,разходи!$E:$E,'ПП Май'!$C$28,разходи!$M:$M,'ПП Май'!I2)</f>
        <v>0</v>
      </c>
      <c r="J28" s="76">
        <f>SUMIFS(разходи!$L:$L,разходи!$E:$E,'ПП Май'!$C$28,разходи!$M:$M,'ПП Май'!J2)</f>
        <v>0</v>
      </c>
      <c r="K28" s="74">
        <f>SUMIFS(разходи!$L:$L,разходи!$E:$E,'ПП Май'!$C$28,разходи!$M:$M,'ПП Май'!K2)</f>
        <v>0</v>
      </c>
      <c r="L28" s="74">
        <f>SUMIFS(разходи!$L:$L,разходи!$E:$E,'ПП Май'!$C$28,разходи!$M:$M,'ПП Май'!L2)</f>
        <v>0</v>
      </c>
      <c r="M28" s="74">
        <f>SUMIFS(разходи!$L:$L,разходи!$E:$E,'ПП Май'!$C$28,разходи!$M:$M,'ПП Май'!M2)</f>
        <v>0</v>
      </c>
      <c r="N28" s="74">
        <f>SUMIFS(разходи!$L:$L,разходи!$E:$E,'ПП Май'!$C$28,разходи!$M:$M,'ПП Май'!N2)</f>
        <v>0</v>
      </c>
      <c r="O28" s="76">
        <f>SUMIFS(разходи!$L:$L,разходи!$E:$E,'ПП Май'!$C$28,разходи!$M:$M,'ПП Май'!O2)</f>
        <v>0</v>
      </c>
      <c r="P28" s="76">
        <f>SUMIFS(разходи!$L:$L,разходи!$E:$E,'ПП Май'!$C$28,разходи!$M:$M,'ПП Май'!P2)</f>
        <v>0</v>
      </c>
      <c r="Q28" s="74">
        <f>SUMIFS(разходи!$L:$L,разходи!$E:$E,'ПП Май'!$C$28,разходи!$M:$M,'ПП Май'!Q2)</f>
        <v>0</v>
      </c>
      <c r="R28" s="74">
        <f>SUMIFS(разходи!$L:$L,разходи!$E:$E,'ПП Май'!$C$28,разходи!$M:$M,'ПП Май'!R2)</f>
        <v>0</v>
      </c>
      <c r="S28" s="74">
        <f>SUMIFS(разходи!$L:$L,разходи!$E:$E,'ПП Май'!$C$28,разходи!$M:$M,'ПП Май'!S2)</f>
        <v>0</v>
      </c>
      <c r="T28" s="74">
        <f>SUMIFS(разходи!$L:$L,разходи!$E:$E,'ПП Май'!$C$28,разходи!$M:$M,'ПП Май'!T2)</f>
        <v>0</v>
      </c>
      <c r="U28" s="74">
        <f>SUMIFS(разходи!$L:$L,разходи!$E:$E,'ПП Май'!$C$28,разходи!$M:$M,'ПП Май'!U2)</f>
        <v>0</v>
      </c>
      <c r="V28" s="76">
        <f>SUMIFS(разходи!$L:$L,разходи!$E:$E,'ПП Май'!$C$28,разходи!$M:$M,'ПП Май'!V2)</f>
        <v>0</v>
      </c>
      <c r="W28" s="76">
        <f>SUMIFS(разходи!$L:$L,разходи!$E:$E,'ПП Май'!$C$28,разходи!$M:$M,'ПП Май'!W2)</f>
        <v>0</v>
      </c>
      <c r="X28" s="74">
        <f>SUMIFS(разходи!$L:$L,разходи!$E:$E,'ПП Май'!$C$28,разходи!$M:$M,'ПП Май'!X2)</f>
        <v>0</v>
      </c>
      <c r="Y28" s="74">
        <f>SUMIFS(разходи!$L:$L,разходи!$E:$E,'ПП Май'!$C$28,разходи!$M:$M,'ПП Май'!Y2)</f>
        <v>0</v>
      </c>
      <c r="Z28" s="74">
        <f>SUMIFS(разходи!$L:$L,разходи!$E:$E,'ПП Май'!$C$28,разходи!$M:$M,'ПП Май'!Z2)</f>
        <v>0</v>
      </c>
      <c r="AA28" s="74">
        <f>SUMIFS(разходи!$L:$L,разходи!$E:$E,'ПП Май'!$C$28,разходи!$M:$M,'ПП Май'!AA2)</f>
        <v>65779.16</v>
      </c>
      <c r="AB28" s="76">
        <f>SUMIFS(разходи!$L:$L,разходи!$E:$E,'ПП Май'!$C$28,разходи!$M:$M,'ПП Май'!AB2)</f>
        <v>0</v>
      </c>
      <c r="AC28" s="76">
        <f>SUMIFS(разходи!$L:$L,разходи!$E:$E,'ПП Май'!$C$28,разходи!$M:$M,'ПП Май'!AC2)</f>
        <v>0</v>
      </c>
      <c r="AD28" s="76">
        <f>SUMIFS(разходи!$L:$L,разходи!$E:$E,'ПП Май'!$C$28,разходи!$M:$M,'ПП Май'!AD2)</f>
        <v>0</v>
      </c>
      <c r="AE28" s="74">
        <f>SUMIFS(разходи!$L:$L,разходи!$E:$E,'ПП Май'!$C$28,разходи!$M:$M,'ПП Май'!AE2)</f>
        <v>0</v>
      </c>
      <c r="AF28" s="74">
        <f>SUMIFS(разходи!$L:$L,разходи!$E:$E,'ПП Май'!$C$28,разходи!$M:$M,'ПП Май'!AF2)</f>
        <v>0</v>
      </c>
      <c r="AG28" s="74">
        <f>SUMIFS(разходи!$L:$L,разходи!$E:$E,'ПП Май'!$C$28,разходи!$M:$M,'ПП Май'!AG2)</f>
        <v>0</v>
      </c>
      <c r="AH28" s="74">
        <f>SUMIFS(разходи!$L:$L,разходи!$E:$E,'ПП Май'!$C$28,разходи!$M:$M,'ПП Май'!AH2)</f>
        <v>0</v>
      </c>
      <c r="AI28" s="74">
        <f>SUMIFS(разходи!$L:$L,разходи!$E:$E,'ПП Май'!$C$28,разходи!$M:$M,'ПП Май'!AI2)</f>
        <v>0</v>
      </c>
      <c r="AJ28" s="61">
        <f t="shared" si="2"/>
        <v>296371.42000000004</v>
      </c>
      <c r="AK28" s="69">
        <f t="shared" si="13"/>
        <v>-228691.42000000004</v>
      </c>
    </row>
    <row r="29" spans="1:37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6">SUM(D30:D35)</f>
        <v>253838</v>
      </c>
      <c r="E29" s="76">
        <f t="shared" ref="E29:AI29" si="17">SUM(E30:E35)</f>
        <v>0</v>
      </c>
      <c r="F29" s="74">
        <f t="shared" si="17"/>
        <v>0</v>
      </c>
      <c r="G29" s="76">
        <f t="shared" si="17"/>
        <v>0</v>
      </c>
      <c r="H29" s="76">
        <f t="shared" si="17"/>
        <v>0</v>
      </c>
      <c r="I29" s="76">
        <f t="shared" si="17"/>
        <v>0</v>
      </c>
      <c r="J29" s="76">
        <f t="shared" si="17"/>
        <v>0</v>
      </c>
      <c r="K29" s="74">
        <f t="shared" si="17"/>
        <v>0</v>
      </c>
      <c r="L29" s="74">
        <f t="shared" si="17"/>
        <v>0</v>
      </c>
      <c r="M29" s="74">
        <f t="shared" si="17"/>
        <v>0</v>
      </c>
      <c r="N29" s="74">
        <f t="shared" si="17"/>
        <v>19018.739999999998</v>
      </c>
      <c r="O29" s="76">
        <f t="shared" si="17"/>
        <v>0</v>
      </c>
      <c r="P29" s="76">
        <f t="shared" si="17"/>
        <v>0</v>
      </c>
      <c r="Q29" s="74">
        <f t="shared" si="17"/>
        <v>233379.85199999998</v>
      </c>
      <c r="R29" s="74">
        <f t="shared" si="17"/>
        <v>0</v>
      </c>
      <c r="S29" s="74">
        <f t="shared" si="17"/>
        <v>0</v>
      </c>
      <c r="T29" s="74">
        <f t="shared" si="17"/>
        <v>0</v>
      </c>
      <c r="U29" s="74">
        <f t="shared" si="17"/>
        <v>0</v>
      </c>
      <c r="V29" s="76">
        <f t="shared" si="17"/>
        <v>0</v>
      </c>
      <c r="W29" s="76">
        <f t="shared" si="17"/>
        <v>0</v>
      </c>
      <c r="X29" s="74">
        <f t="shared" si="17"/>
        <v>0</v>
      </c>
      <c r="Y29" s="74">
        <f t="shared" si="17"/>
        <v>0</v>
      </c>
      <c r="Z29" s="74">
        <f t="shared" si="17"/>
        <v>0</v>
      </c>
      <c r="AA29" s="74">
        <f t="shared" si="17"/>
        <v>0</v>
      </c>
      <c r="AB29" s="76">
        <f t="shared" si="17"/>
        <v>0</v>
      </c>
      <c r="AC29" s="76">
        <f t="shared" si="17"/>
        <v>0</v>
      </c>
      <c r="AD29" s="76">
        <f t="shared" si="17"/>
        <v>0</v>
      </c>
      <c r="AE29" s="74">
        <f t="shared" si="17"/>
        <v>0</v>
      </c>
      <c r="AF29" s="74">
        <f t="shared" si="17"/>
        <v>0</v>
      </c>
      <c r="AG29" s="74">
        <f t="shared" si="17"/>
        <v>0</v>
      </c>
      <c r="AH29" s="74">
        <f t="shared" si="17"/>
        <v>0</v>
      </c>
      <c r="AI29" s="74">
        <f t="shared" si="17"/>
        <v>0</v>
      </c>
      <c r="AJ29" s="61">
        <f t="shared" si="2"/>
        <v>252398.59199999998</v>
      </c>
      <c r="AK29" s="62">
        <f t="shared" si="13"/>
        <v>1439.4080000000249</v>
      </c>
    </row>
    <row r="30" spans="1:37" s="21" customFormat="1" ht="20.100000000000001" customHeight="1" outlineLevel="1" x14ac:dyDescent="0.3">
      <c r="A30" s="27"/>
      <c r="B30" s="22"/>
      <c r="C30" s="8" t="s">
        <v>458</v>
      </c>
      <c r="D30" s="80">
        <f>175383+36011</f>
        <v>211394</v>
      </c>
      <c r="E30" s="76">
        <f>SUMIFS(разходи!$L:$L,разходи!$E:$E,'ПП Май'!$C$30,разходи!$M:$M,'ПП Май'!E2)</f>
        <v>0</v>
      </c>
      <c r="F30" s="74">
        <f>SUMIFS(разходи!$L:$L,разходи!$E:$E,'ПП Май'!$C$30,разходи!$M:$M,'ПП Май'!F2)</f>
        <v>0</v>
      </c>
      <c r="G30" s="76">
        <f>SUMIFS(разходи!$L:$L,разходи!$E:$E,'ПП Май'!$C$30,разходи!$M:$M,'ПП Май'!G2)</f>
        <v>0</v>
      </c>
      <c r="H30" s="76">
        <f>SUMIFS(разходи!$L:$L,разходи!$E:$E,'ПП Май'!$C$30,разходи!$M:$M,'ПП Май'!H2)</f>
        <v>0</v>
      </c>
      <c r="I30" s="76">
        <f>SUMIFS(разходи!$L:$L,разходи!$E:$E,'ПП Май'!$C$30,разходи!$M:$M,'ПП Май'!I2)</f>
        <v>0</v>
      </c>
      <c r="J30" s="76">
        <f>SUMIFS(разходи!$L:$L,разходи!$E:$E,'ПП Май'!$C$30,разходи!$M:$M,'ПП Май'!J2)</f>
        <v>0</v>
      </c>
      <c r="K30" s="74">
        <f>SUMIFS(разходи!$L:$L,разходи!$E:$E,'ПП Май'!$C$30,разходи!$M:$M,'ПП Май'!K2)</f>
        <v>0</v>
      </c>
      <c r="L30" s="74">
        <f>SUMIFS(разходи!$L:$L,разходи!$E:$E,'ПП Май'!$C$30,разходи!$M:$M,'ПП Май'!L2)</f>
        <v>0</v>
      </c>
      <c r="M30" s="74">
        <f>SUMIFS(разходи!$L:$L,разходи!$E:$E,'ПП Май'!$C$30,разходи!$M:$M,'ПП Май'!M2)</f>
        <v>0</v>
      </c>
      <c r="N30" s="74">
        <f>SUMIFS(разходи!$L:$L,разходи!$E:$E,'ПП Май'!$C$30,разходи!$M:$M,'ПП Май'!N2)</f>
        <v>14844.108</v>
      </c>
      <c r="O30" s="76">
        <f>SUMIFS(разходи!$L:$L,разходи!$E:$E,'ПП Май'!$C$30,разходи!$M:$M,'ПП Май'!O2)</f>
        <v>0</v>
      </c>
      <c r="P30" s="76">
        <f>SUMIFS(разходи!$L:$L,разходи!$E:$E,'ПП Май'!$C$30,разходи!$M:$M,'ПП Май'!P2)</f>
        <v>0</v>
      </c>
      <c r="Q30" s="74">
        <f>SUMIFS(разходи!$L:$L,разходи!$E:$E,'ПП Май'!$C$30,разходи!$M:$M,'ПП Май'!Q2)</f>
        <v>233379.85199999998</v>
      </c>
      <c r="R30" s="74">
        <f>SUMIFS(разходи!$L:$L,разходи!$E:$E,'ПП Май'!$C$30,разходи!$M:$M,'ПП Май'!R2)</f>
        <v>0</v>
      </c>
      <c r="S30" s="74">
        <f>SUMIFS(разходи!$L:$L,разходи!$E:$E,'ПП Май'!$C$30,разходи!$M:$M,'ПП Май'!S2)</f>
        <v>0</v>
      </c>
      <c r="T30" s="74">
        <f>SUMIFS(разходи!$L:$L,разходи!$E:$E,'ПП Май'!$C$30,разходи!$M:$M,'ПП Май'!T2)</f>
        <v>0</v>
      </c>
      <c r="U30" s="74">
        <f>SUMIFS(разходи!$L:$L,разходи!$E:$E,'ПП Май'!$C$30,разходи!$M:$M,'ПП Май'!U2)</f>
        <v>0</v>
      </c>
      <c r="V30" s="76">
        <f>SUMIFS(разходи!$L:$L,разходи!$E:$E,'ПП Май'!$C$30,разходи!$M:$M,'ПП Май'!V2)</f>
        <v>0</v>
      </c>
      <c r="W30" s="76">
        <f>SUMIFS(разходи!$L:$L,разходи!$E:$E,'ПП Май'!$C$30,разходи!$M:$M,'ПП Май'!W2)</f>
        <v>0</v>
      </c>
      <c r="X30" s="74">
        <f>SUMIFS(разходи!$L:$L,разходи!$E:$E,'ПП Май'!$C$30,разходи!$M:$M,'ПП Май'!X2)</f>
        <v>0</v>
      </c>
      <c r="Y30" s="74">
        <f>SUMIFS(разходи!$L:$L,разходи!$E:$E,'ПП Май'!$C$30,разходи!$M:$M,'ПП Май'!Y2)</f>
        <v>0</v>
      </c>
      <c r="Z30" s="74">
        <f>SUMIFS(разходи!$L:$L,разходи!$E:$E,'ПП Май'!$C$30,разходи!$M:$M,'ПП Май'!Z2)</f>
        <v>0</v>
      </c>
      <c r="AA30" s="74">
        <f>SUMIFS(разходи!$L:$L,разходи!$E:$E,'ПП Май'!$C$30,разходи!$M:$M,'ПП Май'!AA2)</f>
        <v>0</v>
      </c>
      <c r="AB30" s="76">
        <f>SUMIFS(разходи!$L:$L,разходи!$E:$E,'ПП Май'!$C$30,разходи!$M:$M,'ПП Май'!AB2)</f>
        <v>0</v>
      </c>
      <c r="AC30" s="76">
        <f>SUMIFS(разходи!$L:$L,разходи!$E:$E,'ПП Май'!$C$30,разходи!$M:$M,'ПП Май'!AC2)</f>
        <v>0</v>
      </c>
      <c r="AD30" s="76">
        <f>SUMIFS(разходи!$L:$L,разходи!$E:$E,'ПП Май'!$C$30,разходи!$M:$M,'ПП Май'!AD2)</f>
        <v>0</v>
      </c>
      <c r="AE30" s="74">
        <f>SUMIFS(разходи!$L:$L,разходи!$E:$E,'ПП Май'!$C$30,разходи!$M:$M,'ПП Май'!AE2)</f>
        <v>0</v>
      </c>
      <c r="AF30" s="74">
        <f>SUMIFS(разходи!$L:$L,разходи!$E:$E,'ПП Май'!$C$30,разходи!$M:$M,'ПП Май'!AF2)</f>
        <v>0</v>
      </c>
      <c r="AG30" s="74">
        <f>SUMIFS(разходи!$L:$L,разходи!$E:$E,'ПП Май'!$C$30,разходи!$M:$M,'ПП Май'!AG2)</f>
        <v>0</v>
      </c>
      <c r="AH30" s="74">
        <f>SUMIFS(разходи!$L:$L,разходи!$E:$E,'ПП Май'!$C$30,разходи!$M:$M,'ПП Май'!AH2)</f>
        <v>0</v>
      </c>
      <c r="AI30" s="74">
        <f>SUMIFS(разходи!$L:$L,разходи!$E:$E,'ПП Май'!$C$30,разходи!$M:$M,'ПП Май'!AI2)</f>
        <v>0</v>
      </c>
      <c r="AJ30" s="61">
        <f t="shared" si="2"/>
        <v>248223.96</v>
      </c>
      <c r="AK30" s="69">
        <f t="shared" si="13"/>
        <v>-36829.959999999992</v>
      </c>
    </row>
    <row r="31" spans="1:37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Май'!$C$31,разходи!$M:$M,'ПП Май'!E2)</f>
        <v>0</v>
      </c>
      <c r="F31" s="74">
        <f>SUMIFS(разходи!$L:$L,разходи!$E:$E,'ПП Май'!$C$31,разходи!$M:$M,'ПП Май'!F2)</f>
        <v>0</v>
      </c>
      <c r="G31" s="76">
        <f>SUMIFS(разходи!$L:$L,разходи!$E:$E,'ПП Май'!$C$31,разходи!$M:$M,'ПП Май'!G2)</f>
        <v>0</v>
      </c>
      <c r="H31" s="76">
        <f>SUMIFS(разходи!$L:$L,разходи!$E:$E,'ПП Май'!$C$31,разходи!$M:$M,'ПП Май'!H2)</f>
        <v>0</v>
      </c>
      <c r="I31" s="76">
        <f>SUMIFS(разходи!$L:$L,разходи!$E:$E,'ПП Май'!$C$31,разходи!$M:$M,'ПП Май'!I2)</f>
        <v>0</v>
      </c>
      <c r="J31" s="76">
        <f>SUMIFS(разходи!$L:$L,разходи!$E:$E,'ПП Май'!$C$31,разходи!$M:$M,'ПП Май'!J2)</f>
        <v>0</v>
      </c>
      <c r="K31" s="74">
        <f>SUMIFS(разходи!$L:$L,разходи!$E:$E,'ПП Май'!$C$31,разходи!$M:$M,'ПП Май'!K2)</f>
        <v>0</v>
      </c>
      <c r="L31" s="74">
        <f>SUMIFS(разходи!$L:$L,разходи!$E:$E,'ПП Май'!$C$31,разходи!$M:$M,'ПП Май'!L2)</f>
        <v>0</v>
      </c>
      <c r="M31" s="74">
        <f>SUMIFS(разходи!$L:$L,разходи!$E:$E,'ПП Май'!$C$31,разходи!$M:$M,'ПП Май'!M2)</f>
        <v>0</v>
      </c>
      <c r="N31" s="74">
        <f>SUMIFS(разходи!$L:$L,разходи!$E:$E,'ПП Май'!$C$31,разходи!$M:$M,'ПП Май'!N2)</f>
        <v>0</v>
      </c>
      <c r="O31" s="76">
        <f>SUMIFS(разходи!$L:$L,разходи!$E:$E,'ПП Май'!$C$31,разходи!$M:$M,'ПП Май'!O2)</f>
        <v>0</v>
      </c>
      <c r="P31" s="76">
        <f>SUMIFS(разходи!$L:$L,разходи!$E:$E,'ПП Май'!$C$31,разходи!$M:$M,'ПП Май'!P2)</f>
        <v>0</v>
      </c>
      <c r="Q31" s="74">
        <f>SUMIFS(разходи!$L:$L,разходи!$E:$E,'ПП Май'!$C$31,разходи!$M:$M,'ПП Май'!Q2)</f>
        <v>0</v>
      </c>
      <c r="R31" s="74">
        <f>SUMIFS(разходи!$L:$L,разходи!$E:$E,'ПП Май'!$C$31,разходи!$M:$M,'ПП Май'!R2)</f>
        <v>0</v>
      </c>
      <c r="S31" s="74">
        <f>SUMIFS(разходи!$L:$L,разходи!$E:$E,'ПП Май'!$C$31,разходи!$M:$M,'ПП Май'!S2)</f>
        <v>0</v>
      </c>
      <c r="T31" s="74">
        <f>SUMIFS(разходи!$L:$L,разходи!$E:$E,'ПП Май'!$C$31,разходи!$M:$M,'ПП Май'!T2)</f>
        <v>0</v>
      </c>
      <c r="U31" s="74">
        <f>SUMIFS(разходи!$L:$L,разходи!$E:$E,'ПП Май'!$C$31,разходи!$M:$M,'ПП Май'!U2)</f>
        <v>0</v>
      </c>
      <c r="V31" s="76">
        <f>SUMIFS(разходи!$L:$L,разходи!$E:$E,'ПП Май'!$C$31,разходи!$M:$M,'ПП Май'!V2)</f>
        <v>0</v>
      </c>
      <c r="W31" s="76">
        <f>SUMIFS(разходи!$L:$L,разходи!$E:$E,'ПП Май'!$C$31,разходи!$M:$M,'ПП Май'!W2)</f>
        <v>0</v>
      </c>
      <c r="X31" s="74">
        <f>SUMIFS(разходи!$L:$L,разходи!$E:$E,'ПП Май'!$C$31,разходи!$M:$M,'ПП Май'!X2)</f>
        <v>0</v>
      </c>
      <c r="Y31" s="74">
        <f>SUMIFS(разходи!$L:$L,разходи!$E:$E,'ПП Май'!$C$31,разходи!$M:$M,'ПП Май'!Y2)</f>
        <v>0</v>
      </c>
      <c r="Z31" s="74">
        <f>SUMIFS(разходи!$L:$L,разходи!$E:$E,'ПП Май'!$C$31,разходи!$M:$M,'ПП Май'!Z2)</f>
        <v>0</v>
      </c>
      <c r="AA31" s="74">
        <f>SUMIFS(разходи!$L:$L,разходи!$E:$E,'ПП Май'!$C$31,разходи!$M:$M,'ПП Май'!AA2)</f>
        <v>0</v>
      </c>
      <c r="AB31" s="76">
        <f>SUMIFS(разходи!$L:$L,разходи!$E:$E,'ПП Май'!$C$31,разходи!$M:$M,'ПП Май'!AB2)</f>
        <v>0</v>
      </c>
      <c r="AC31" s="76">
        <f>SUMIFS(разходи!$L:$L,разходи!$E:$E,'ПП Май'!$C$31,разходи!$M:$M,'ПП Май'!AC2)</f>
        <v>0</v>
      </c>
      <c r="AD31" s="76">
        <f>SUMIFS(разходи!$L:$L,разходи!$E:$E,'ПП Май'!$C$31,разходи!$M:$M,'ПП Май'!AD2)</f>
        <v>0</v>
      </c>
      <c r="AE31" s="74">
        <f>SUMIFS(разходи!$L:$L,разходи!$E:$E,'ПП Май'!$C$31,разходи!$M:$M,'ПП Май'!AE2)</f>
        <v>0</v>
      </c>
      <c r="AF31" s="74">
        <f>SUMIFS(разходи!$L:$L,разходи!$E:$E,'ПП Май'!$C$31,разходи!$M:$M,'ПП Май'!AF2)</f>
        <v>0</v>
      </c>
      <c r="AG31" s="74">
        <f>SUMIFS(разходи!$L:$L,разходи!$E:$E,'ПП Май'!$C$31,разходи!$M:$M,'ПП Май'!AG2)</f>
        <v>0</v>
      </c>
      <c r="AH31" s="74">
        <f>SUMIFS(разходи!$L:$L,разходи!$E:$E,'ПП Май'!$C$31,разходи!$M:$M,'ПП Май'!AH2)</f>
        <v>0</v>
      </c>
      <c r="AI31" s="74">
        <f>SUMIFS(разходи!$L:$L,разходи!$E:$E,'ПП Май'!$C$31,разходи!$M:$M,'ПП Май'!AI2)</f>
        <v>0</v>
      </c>
      <c r="AJ31" s="61">
        <f t="shared" si="2"/>
        <v>0</v>
      </c>
      <c r="AK31" s="69">
        <f t="shared" si="13"/>
        <v>0</v>
      </c>
    </row>
    <row r="32" spans="1:37" s="21" customFormat="1" ht="20.100000000000001" customHeight="1" outlineLevel="1" x14ac:dyDescent="0.3">
      <c r="A32" s="27"/>
      <c r="B32" s="22"/>
      <c r="C32" s="8" t="s">
        <v>460</v>
      </c>
      <c r="D32" s="80">
        <v>21985</v>
      </c>
      <c r="E32" s="76">
        <f>SUMIFS(разходи!$L:$L,разходи!$E:$E,'ПП Май'!$C$32,разходи!$M:$M,'ПП Май'!E2)</f>
        <v>0</v>
      </c>
      <c r="F32" s="74">
        <f>SUMIFS(разходи!$L:$L,разходи!$E:$E,'ПП Май'!$C$32,разходи!$M:$M,'ПП Май'!F2)</f>
        <v>0</v>
      </c>
      <c r="G32" s="76">
        <f>SUMIFS(разходи!$L:$L,разходи!$E:$E,'ПП Май'!$C$32,разходи!$M:$M,'ПП Май'!G2)</f>
        <v>0</v>
      </c>
      <c r="H32" s="76">
        <f>SUMIFS(разходи!$L:$L,разходи!$E:$E,'ПП Май'!$C$32,разходи!$M:$M,'ПП Май'!H2)</f>
        <v>0</v>
      </c>
      <c r="I32" s="76">
        <f>SUMIFS(разходи!$L:$L,разходи!$E:$E,'ПП Май'!$C$32,разходи!$M:$M,'ПП Май'!I2)</f>
        <v>0</v>
      </c>
      <c r="J32" s="76">
        <f>SUMIFS(разходи!$L:$L,разходи!$E:$E,'ПП Май'!$C$32,разходи!$M:$M,'ПП Май'!J2)</f>
        <v>0</v>
      </c>
      <c r="K32" s="74">
        <f>SUMIFS(разходи!$L:$L,разходи!$E:$E,'ПП Май'!$C$32,разходи!$M:$M,'ПП Май'!K2)</f>
        <v>0</v>
      </c>
      <c r="L32" s="74">
        <f>SUMIFS(разходи!$L:$L,разходи!$E:$E,'ПП Май'!$C$32,разходи!$M:$M,'ПП Май'!L2)</f>
        <v>0</v>
      </c>
      <c r="M32" s="74">
        <f>SUMIFS(разходи!$L:$L,разходи!$E:$E,'ПП Май'!$C$32,разходи!$M:$M,'ПП Май'!M2)</f>
        <v>0</v>
      </c>
      <c r="N32" s="74">
        <f>SUMIFS(разходи!$L:$L,разходи!$E:$E,'ПП Май'!$C$32,разходи!$M:$M,'ПП Май'!N2)</f>
        <v>0</v>
      </c>
      <c r="O32" s="76">
        <f>SUMIFS(разходи!$L:$L,разходи!$E:$E,'ПП Май'!$C$32,разходи!$M:$M,'ПП Май'!O2)</f>
        <v>0</v>
      </c>
      <c r="P32" s="76">
        <f>SUMIFS(разходи!$L:$L,разходи!$E:$E,'ПП Май'!$C$32,разходи!$M:$M,'ПП Май'!P2)</f>
        <v>0</v>
      </c>
      <c r="Q32" s="74">
        <f>SUMIFS(разходи!$L:$L,разходи!$E:$E,'ПП Май'!$C$32,разходи!$M:$M,'ПП Май'!Q2)</f>
        <v>0</v>
      </c>
      <c r="R32" s="74">
        <f>SUMIFS(разходи!$L:$L,разходи!$E:$E,'ПП Май'!$C$32,разходи!$M:$M,'ПП Май'!R2)</f>
        <v>0</v>
      </c>
      <c r="S32" s="74">
        <f>SUMIFS(разходи!$L:$L,разходи!$E:$E,'ПП Май'!$C$32,разходи!$M:$M,'ПП Май'!S2)</f>
        <v>0</v>
      </c>
      <c r="T32" s="74">
        <f>SUMIFS(разходи!$L:$L,разходи!$E:$E,'ПП Май'!$C$32,разходи!$M:$M,'ПП Май'!T2)</f>
        <v>0</v>
      </c>
      <c r="U32" s="74">
        <f>SUMIFS(разходи!$L:$L,разходи!$E:$E,'ПП Май'!$C$32,разходи!$M:$M,'ПП Май'!U2)</f>
        <v>0</v>
      </c>
      <c r="V32" s="76">
        <f>SUMIFS(разходи!$L:$L,разходи!$E:$E,'ПП Май'!$C$32,разходи!$M:$M,'ПП Май'!V2)</f>
        <v>0</v>
      </c>
      <c r="W32" s="76">
        <f>SUMIFS(разходи!$L:$L,разходи!$E:$E,'ПП Май'!$C$32,разходи!$M:$M,'ПП Май'!W2)</f>
        <v>0</v>
      </c>
      <c r="X32" s="74">
        <f>SUMIFS(разходи!$L:$L,разходи!$E:$E,'ПП Май'!$C$32,разходи!$M:$M,'ПП Май'!X2)</f>
        <v>0</v>
      </c>
      <c r="Y32" s="74">
        <f>SUMIFS(разходи!$L:$L,разходи!$E:$E,'ПП Май'!$C$32,разходи!$M:$M,'ПП Май'!Y2)</f>
        <v>0</v>
      </c>
      <c r="Z32" s="74">
        <f>SUMIFS(разходи!$L:$L,разходи!$E:$E,'ПП Май'!$C$32,разходи!$M:$M,'ПП Май'!Z2)</f>
        <v>0</v>
      </c>
      <c r="AA32" s="74">
        <f>SUMIFS(разходи!$L:$L,разходи!$E:$E,'ПП Май'!$C$32,разходи!$M:$M,'ПП Май'!AA2)</f>
        <v>0</v>
      </c>
      <c r="AB32" s="76">
        <f>SUMIFS(разходи!$L:$L,разходи!$E:$E,'ПП Май'!$C$32,разходи!$M:$M,'ПП Май'!AB2)</f>
        <v>0</v>
      </c>
      <c r="AC32" s="76">
        <f>SUMIFS(разходи!$L:$L,разходи!$E:$E,'ПП Май'!$C$32,разходи!$M:$M,'ПП Май'!AC2)</f>
        <v>0</v>
      </c>
      <c r="AD32" s="76">
        <f>SUMIFS(разходи!$L:$L,разходи!$E:$E,'ПП Май'!$C$32,разходи!$M:$M,'ПП Май'!AD2)</f>
        <v>0</v>
      </c>
      <c r="AE32" s="74">
        <f>SUMIFS(разходи!$L:$L,разходи!$E:$E,'ПП Май'!$C$32,разходи!$M:$M,'ПП Май'!AE2)</f>
        <v>0</v>
      </c>
      <c r="AF32" s="74">
        <f>SUMIFS(разходи!$L:$L,разходи!$E:$E,'ПП Май'!$C$32,разходи!$M:$M,'ПП Май'!AF2)</f>
        <v>0</v>
      </c>
      <c r="AG32" s="74">
        <f>SUMIFS(разходи!$L:$L,разходи!$E:$E,'ПП Май'!$C$32,разходи!$M:$M,'ПП Май'!AG2)</f>
        <v>0</v>
      </c>
      <c r="AH32" s="74">
        <f>SUMIFS(разходи!$L:$L,разходи!$E:$E,'ПП Май'!$C$32,разходи!$M:$M,'ПП Май'!AH2)</f>
        <v>0</v>
      </c>
      <c r="AI32" s="74">
        <f>SUMIFS(разходи!$L:$L,разходи!$E:$E,'ПП Май'!$C$32,разходи!$M:$M,'ПП Май'!AI2)</f>
        <v>0</v>
      </c>
      <c r="AJ32" s="61">
        <f t="shared" si="2"/>
        <v>0</v>
      </c>
      <c r="AK32" s="69">
        <f t="shared" si="13"/>
        <v>21985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20459</v>
      </c>
      <c r="E33" s="76">
        <f>SUMIFS(разходи!$L:$L,разходи!$E:$E,'ПП Май'!$C$33,разходи!$M:$M,'ПП Май'!E2)</f>
        <v>0</v>
      </c>
      <c r="F33" s="74">
        <f>SUMIFS(разходи!$L:$L,разходи!$E:$E,'ПП Май'!$C$33,разходи!$M:$M,'ПП Май'!F2)</f>
        <v>0</v>
      </c>
      <c r="G33" s="76">
        <f>SUMIFS(разходи!$L:$L,разходи!$E:$E,'ПП Май'!$C$33,разходи!$M:$M,'ПП Май'!G2)</f>
        <v>0</v>
      </c>
      <c r="H33" s="76">
        <f>SUMIFS(разходи!$L:$L,разходи!$E:$E,'ПП Май'!$C$33,разходи!$M:$M,'ПП Май'!H2)</f>
        <v>0</v>
      </c>
      <c r="I33" s="76">
        <f>SUMIFS(разходи!$L:$L,разходи!$E:$E,'ПП Май'!$C$33,разходи!$M:$M,'ПП Май'!I2)</f>
        <v>0</v>
      </c>
      <c r="J33" s="76">
        <f>SUMIFS(разходи!$L:$L,разходи!$E:$E,'ПП Май'!$C$33,разходи!$M:$M,'ПП Май'!J2)</f>
        <v>0</v>
      </c>
      <c r="K33" s="74">
        <f>SUMIFS(разходи!$L:$L,разходи!$E:$E,'ПП Май'!$C$33,разходи!$M:$M,'ПП Май'!K2)</f>
        <v>0</v>
      </c>
      <c r="L33" s="74">
        <f>SUMIFS(разходи!$L:$L,разходи!$E:$E,'ПП Май'!$C$33,разходи!$M:$M,'ПП Май'!L2)</f>
        <v>0</v>
      </c>
      <c r="M33" s="74">
        <f>SUMIFS(разходи!$L:$L,разходи!$E:$E,'ПП Май'!$C$33,разходи!$M:$M,'ПП Май'!M2)</f>
        <v>0</v>
      </c>
      <c r="N33" s="74">
        <f>SUMIFS(разходи!$L:$L,разходи!$E:$E,'ПП Май'!$C$33,разходи!$M:$M,'ПП Май'!N2)</f>
        <v>0</v>
      </c>
      <c r="O33" s="76">
        <f>SUMIFS(разходи!$L:$L,разходи!$E:$E,'ПП Май'!$C$33,разходи!$M:$M,'ПП Май'!O2)</f>
        <v>0</v>
      </c>
      <c r="P33" s="76">
        <f>SUMIFS(разходи!$L:$L,разходи!$E:$E,'ПП Май'!$C$33,разходи!$M:$M,'ПП Май'!P2)</f>
        <v>0</v>
      </c>
      <c r="Q33" s="74">
        <f>SUMIFS(разходи!$L:$L,разходи!$E:$E,'ПП Май'!$C$33,разходи!$M:$M,'ПП Май'!Q2)</f>
        <v>0</v>
      </c>
      <c r="R33" s="74">
        <f>SUMIFS(разходи!$L:$L,разходи!$E:$E,'ПП Май'!$C$33,разходи!$M:$M,'ПП Май'!R2)</f>
        <v>0</v>
      </c>
      <c r="S33" s="74">
        <f>SUMIFS(разходи!$L:$L,разходи!$E:$E,'ПП Май'!$C$33,разходи!$M:$M,'ПП Май'!S2)</f>
        <v>0</v>
      </c>
      <c r="T33" s="74">
        <f>SUMIFS(разходи!$L:$L,разходи!$E:$E,'ПП Май'!$C$33,разходи!$M:$M,'ПП Май'!T2)</f>
        <v>0</v>
      </c>
      <c r="U33" s="74">
        <f>SUMIFS(разходи!$L:$L,разходи!$E:$E,'ПП Май'!$C$33,разходи!$M:$M,'ПП Май'!U2)</f>
        <v>0</v>
      </c>
      <c r="V33" s="76">
        <f>SUMIFS(разходи!$L:$L,разходи!$E:$E,'ПП Май'!$C$33,разходи!$M:$M,'ПП Май'!V2)</f>
        <v>0</v>
      </c>
      <c r="W33" s="76">
        <f>SUMIFS(разходи!$L:$L,разходи!$E:$E,'ПП Май'!$C$33,разходи!$M:$M,'ПП Май'!W2)</f>
        <v>0</v>
      </c>
      <c r="X33" s="74">
        <f>SUMIFS(разходи!$L:$L,разходи!$E:$E,'ПП Май'!$C$33,разходи!$M:$M,'ПП Май'!X2)</f>
        <v>0</v>
      </c>
      <c r="Y33" s="74">
        <f>SUMIFS(разходи!$L:$L,разходи!$E:$E,'ПП Май'!$C$33,разходи!$M:$M,'ПП Май'!Y2)</f>
        <v>0</v>
      </c>
      <c r="Z33" s="74">
        <f>SUMIFS(разходи!$L:$L,разходи!$E:$E,'ПП Май'!$C$33,разходи!$M:$M,'ПП Май'!Z2)</f>
        <v>0</v>
      </c>
      <c r="AA33" s="74">
        <f>SUMIFS(разходи!$L:$L,разходи!$E:$E,'ПП Май'!$C$33,разходи!$M:$M,'ПП Май'!AA2)</f>
        <v>0</v>
      </c>
      <c r="AB33" s="76">
        <f>SUMIFS(разходи!$L:$L,разходи!$E:$E,'ПП Май'!$C$33,разходи!$M:$M,'ПП Май'!AB2)</f>
        <v>0</v>
      </c>
      <c r="AC33" s="76">
        <f>SUMIFS(разходи!$L:$L,разходи!$E:$E,'ПП Май'!$C$33,разходи!$M:$M,'ПП Май'!AC2)</f>
        <v>0</v>
      </c>
      <c r="AD33" s="76">
        <f>SUMIFS(разходи!$L:$L,разходи!$E:$E,'ПП Май'!$C$33,разходи!$M:$M,'ПП Май'!AD2)</f>
        <v>0</v>
      </c>
      <c r="AE33" s="74">
        <f>SUMIFS(разходи!$L:$L,разходи!$E:$E,'ПП Май'!$C$33,разходи!$M:$M,'ПП Май'!AE2)</f>
        <v>0</v>
      </c>
      <c r="AF33" s="74">
        <f>SUMIFS(разходи!$L:$L,разходи!$E:$E,'ПП Май'!$C$33,разходи!$M:$M,'ПП Май'!AF2)</f>
        <v>0</v>
      </c>
      <c r="AG33" s="74">
        <f>SUMIFS(разходи!$L:$L,разходи!$E:$E,'ПП Май'!$C$33,разходи!$M:$M,'ПП Май'!AG2)</f>
        <v>0</v>
      </c>
      <c r="AH33" s="74">
        <f>SUMIFS(разходи!$L:$L,разходи!$E:$E,'ПП Май'!$C$33,разходи!$M:$M,'ПП Май'!AH2)</f>
        <v>0</v>
      </c>
      <c r="AI33" s="74">
        <f>SUMIFS(разходи!$L:$L,разходи!$E:$E,'ПП Май'!$C$33,разходи!$M:$M,'ПП Май'!AI2)</f>
        <v>0</v>
      </c>
      <c r="AJ33" s="61">
        <f t="shared" si="2"/>
        <v>0</v>
      </c>
      <c r="AK33" s="69">
        <f t="shared" si="13"/>
        <v>20459</v>
      </c>
    </row>
    <row r="34" spans="1:37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Май'!$C$34,разходи!$M:$M,'ПП Май'!E2)</f>
        <v>0</v>
      </c>
      <c r="F34" s="74">
        <f>SUMIFS(разходи!$L:$L,разходи!$E:$E,'ПП Май'!$C$34,разходи!$M:$M,'ПП Май'!F2)</f>
        <v>0</v>
      </c>
      <c r="G34" s="76">
        <f>SUMIFS(разходи!$L:$L,разходи!$E:$E,'ПП Май'!$C$34,разходи!$M:$M,'ПП Май'!G2)</f>
        <v>0</v>
      </c>
      <c r="H34" s="76">
        <f>SUMIFS(разходи!$L:$L,разходи!$E:$E,'ПП Май'!$C$34,разходи!$M:$M,'ПП Май'!H2)</f>
        <v>0</v>
      </c>
      <c r="I34" s="76">
        <f>SUMIFS(разходи!$L:$L,разходи!$E:$E,'ПП Май'!$C$34,разходи!$M:$M,'ПП Май'!I2)</f>
        <v>0</v>
      </c>
      <c r="J34" s="76">
        <f>SUMIFS(разходи!$L:$L,разходи!$E:$E,'ПП Май'!$C$34,разходи!$M:$M,'ПП Май'!J2)</f>
        <v>0</v>
      </c>
      <c r="K34" s="74">
        <f>SUMIFS(разходи!$L:$L,разходи!$E:$E,'ПП Май'!$C$34,разходи!$M:$M,'ПП Май'!K2)</f>
        <v>0</v>
      </c>
      <c r="L34" s="74">
        <f>SUMIFS(разходи!$L:$L,разходи!$E:$E,'ПП Май'!$C$34,разходи!$M:$M,'ПП Май'!L2)</f>
        <v>0</v>
      </c>
      <c r="M34" s="74">
        <f>SUMIFS(разходи!$L:$L,разходи!$E:$E,'ПП Май'!$C$34,разходи!$M:$M,'ПП Май'!M2)</f>
        <v>0</v>
      </c>
      <c r="N34" s="74">
        <f>SUMIFS(разходи!$L:$L,разходи!$E:$E,'ПП Май'!$C$34,разходи!$M:$M,'ПП Май'!N2)</f>
        <v>3337.9199999999996</v>
      </c>
      <c r="O34" s="76">
        <f>SUMIFS(разходи!$L:$L,разходи!$E:$E,'ПП Май'!$C$34,разходи!$M:$M,'ПП Май'!O2)</f>
        <v>0</v>
      </c>
      <c r="P34" s="76">
        <f>SUMIFS(разходи!$L:$L,разходи!$E:$E,'ПП Май'!$C$34,разходи!$M:$M,'ПП Май'!P2)</f>
        <v>0</v>
      </c>
      <c r="Q34" s="74">
        <f>SUMIFS(разходи!$L:$L,разходи!$E:$E,'ПП Май'!$C$34,разходи!$M:$M,'ПП Май'!Q2)</f>
        <v>0</v>
      </c>
      <c r="R34" s="74">
        <f>SUMIFS(разходи!$L:$L,разходи!$E:$E,'ПП Май'!$C$34,разходи!$M:$M,'ПП Май'!R2)</f>
        <v>0</v>
      </c>
      <c r="S34" s="74">
        <f>SUMIFS(разходи!$L:$L,разходи!$E:$E,'ПП Май'!$C$34,разходи!$M:$M,'ПП Май'!S2)</f>
        <v>0</v>
      </c>
      <c r="T34" s="74">
        <f>SUMIFS(разходи!$L:$L,разходи!$E:$E,'ПП Май'!$C$34,разходи!$M:$M,'ПП Май'!T2)</f>
        <v>0</v>
      </c>
      <c r="U34" s="74">
        <f>SUMIFS(разходи!$L:$L,разходи!$E:$E,'ПП Май'!$C$34,разходи!$M:$M,'ПП Май'!U2)</f>
        <v>0</v>
      </c>
      <c r="V34" s="76">
        <f>SUMIFS(разходи!$L:$L,разходи!$E:$E,'ПП Май'!$C$34,разходи!$M:$M,'ПП Май'!V2)</f>
        <v>0</v>
      </c>
      <c r="W34" s="76">
        <f>SUMIFS(разходи!$L:$L,разходи!$E:$E,'ПП Май'!$C$34,разходи!$M:$M,'ПП Май'!W2)</f>
        <v>0</v>
      </c>
      <c r="X34" s="74">
        <f>SUMIFS(разходи!$L:$L,разходи!$E:$E,'ПП Май'!$C$34,разходи!$M:$M,'ПП Май'!X2)</f>
        <v>0</v>
      </c>
      <c r="Y34" s="74">
        <f>SUMIFS(разходи!$L:$L,разходи!$E:$E,'ПП Май'!$C$34,разходи!$M:$M,'ПП Май'!Y2)</f>
        <v>0</v>
      </c>
      <c r="Z34" s="74">
        <f>SUMIFS(разходи!$L:$L,разходи!$E:$E,'ПП Май'!$C$34,разходи!$M:$M,'ПП Май'!Z2)</f>
        <v>0</v>
      </c>
      <c r="AA34" s="74">
        <f>SUMIFS(разходи!$L:$L,разходи!$E:$E,'ПП Май'!$C$34,разходи!$M:$M,'ПП Май'!AA2)</f>
        <v>0</v>
      </c>
      <c r="AB34" s="76">
        <f>SUMIFS(разходи!$L:$L,разходи!$E:$E,'ПП Май'!$C$34,разходи!$M:$M,'ПП Май'!AB2)</f>
        <v>0</v>
      </c>
      <c r="AC34" s="76">
        <f>SUMIFS(разходи!$L:$L,разходи!$E:$E,'ПП Май'!$C$34,разходи!$M:$M,'ПП Май'!AC2)</f>
        <v>0</v>
      </c>
      <c r="AD34" s="76">
        <f>SUMIFS(разходи!$L:$L,разходи!$E:$E,'ПП Май'!$C$34,разходи!$M:$M,'ПП Май'!AD2)</f>
        <v>0</v>
      </c>
      <c r="AE34" s="74">
        <f>SUMIFS(разходи!$L:$L,разходи!$E:$E,'ПП Май'!$C$34,разходи!$M:$M,'ПП Май'!AE2)</f>
        <v>0</v>
      </c>
      <c r="AF34" s="74">
        <f>SUMIFS(разходи!$L:$L,разходи!$E:$E,'ПП Май'!$C$34,разходи!$M:$M,'ПП Май'!AF2)</f>
        <v>0</v>
      </c>
      <c r="AG34" s="74">
        <f>SUMIFS(разходи!$L:$L,разходи!$E:$E,'ПП Май'!$C$34,разходи!$M:$M,'ПП Май'!AG2)</f>
        <v>0</v>
      </c>
      <c r="AH34" s="74">
        <f>SUMIFS(разходи!$L:$L,разходи!$E:$E,'ПП Май'!$C$34,разходи!$M:$M,'ПП Май'!AH2)</f>
        <v>0</v>
      </c>
      <c r="AI34" s="74">
        <f>SUMIFS(разходи!$L:$L,разходи!$E:$E,'ПП Май'!$C$34,разходи!$M:$M,'ПП Май'!AI2)</f>
        <v>0</v>
      </c>
      <c r="AJ34" s="61">
        <f t="shared" si="2"/>
        <v>3337.9199999999996</v>
      </c>
      <c r="AK34" s="69">
        <f t="shared" si="13"/>
        <v>-3337.9199999999996</v>
      </c>
    </row>
    <row r="35" spans="1:37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Май'!$C$35,разходи!$M:$M,'ПП Май'!E2)</f>
        <v>0</v>
      </c>
      <c r="F35" s="74">
        <f>SUMIFS(разходи!$L:$L,разходи!$E:$E,'ПП Май'!$C$35,разходи!$M:$M,'ПП Май'!F2)</f>
        <v>0</v>
      </c>
      <c r="G35" s="76">
        <f>SUMIFS(разходи!$L:$L,разходи!$E:$E,'ПП Май'!$C$35,разходи!$M:$M,'ПП Май'!G2)</f>
        <v>0</v>
      </c>
      <c r="H35" s="76">
        <f>SUMIFS(разходи!$L:$L,разходи!$E:$E,'ПП Май'!$C$35,разходи!$M:$M,'ПП Май'!H2)</f>
        <v>0</v>
      </c>
      <c r="I35" s="76">
        <f>SUMIFS(разходи!$L:$L,разходи!$E:$E,'ПП Май'!$C$35,разходи!$M:$M,'ПП Май'!I2)</f>
        <v>0</v>
      </c>
      <c r="J35" s="76">
        <f>SUMIFS(разходи!$L:$L,разходи!$E:$E,'ПП Май'!$C$35,разходи!$M:$M,'ПП Май'!J2)</f>
        <v>0</v>
      </c>
      <c r="K35" s="74">
        <f>SUMIFS(разходи!$L:$L,разходи!$E:$E,'ПП Май'!$C$35,разходи!$M:$M,'ПП Май'!K2)</f>
        <v>0</v>
      </c>
      <c r="L35" s="74">
        <f>SUMIFS(разходи!$L:$L,разходи!$E:$E,'ПП Май'!$C$35,разходи!$M:$M,'ПП Май'!L2)</f>
        <v>0</v>
      </c>
      <c r="M35" s="74">
        <f>SUMIFS(разходи!$L:$L,разходи!$E:$E,'ПП Май'!$C$35,разходи!$M:$M,'ПП Май'!M2)</f>
        <v>0</v>
      </c>
      <c r="N35" s="74">
        <f>SUMIFS(разходи!$L:$L,разходи!$E:$E,'ПП Май'!$C$35,разходи!$M:$M,'ПП Май'!N2)</f>
        <v>836.71199999999999</v>
      </c>
      <c r="O35" s="76">
        <f>SUMIFS(разходи!$L:$L,разходи!$E:$E,'ПП Май'!$C$35,разходи!$M:$M,'ПП Май'!O2)</f>
        <v>0</v>
      </c>
      <c r="P35" s="76">
        <f>SUMIFS(разходи!$L:$L,разходи!$E:$E,'ПП Май'!$C$35,разходи!$M:$M,'ПП Май'!P2)</f>
        <v>0</v>
      </c>
      <c r="Q35" s="74">
        <f>SUMIFS(разходи!$L:$L,разходи!$E:$E,'ПП Май'!$C$35,разходи!$M:$M,'ПП Май'!Q2)</f>
        <v>0</v>
      </c>
      <c r="R35" s="74">
        <f>SUMIFS(разходи!$L:$L,разходи!$E:$E,'ПП Май'!$C$35,разходи!$M:$M,'ПП Май'!R2)</f>
        <v>0</v>
      </c>
      <c r="S35" s="74">
        <f>SUMIFS(разходи!$L:$L,разходи!$E:$E,'ПП Май'!$C$35,разходи!$M:$M,'ПП Май'!S2)</f>
        <v>0</v>
      </c>
      <c r="T35" s="74">
        <f>SUMIFS(разходи!$L:$L,разходи!$E:$E,'ПП Май'!$C$35,разходи!$M:$M,'ПП Май'!T2)</f>
        <v>0</v>
      </c>
      <c r="U35" s="74">
        <f>SUMIFS(разходи!$L:$L,разходи!$E:$E,'ПП Май'!$C$35,разходи!$M:$M,'ПП Май'!U2)</f>
        <v>0</v>
      </c>
      <c r="V35" s="76">
        <f>SUMIFS(разходи!$L:$L,разходи!$E:$E,'ПП Май'!$C$35,разходи!$M:$M,'ПП Май'!V2)</f>
        <v>0</v>
      </c>
      <c r="W35" s="76">
        <f>SUMIFS(разходи!$L:$L,разходи!$E:$E,'ПП Май'!$C$35,разходи!$M:$M,'ПП Май'!W2)</f>
        <v>0</v>
      </c>
      <c r="X35" s="74">
        <f>SUMIFS(разходи!$L:$L,разходи!$E:$E,'ПП Май'!$C$35,разходи!$M:$M,'ПП Май'!X2)</f>
        <v>0</v>
      </c>
      <c r="Y35" s="74">
        <f>SUMIFS(разходи!$L:$L,разходи!$E:$E,'ПП Май'!$C$35,разходи!$M:$M,'ПП Май'!Y2)</f>
        <v>0</v>
      </c>
      <c r="Z35" s="74">
        <f>SUMIFS(разходи!$L:$L,разходи!$E:$E,'ПП Май'!$C$35,разходи!$M:$M,'ПП Май'!Z2)</f>
        <v>0</v>
      </c>
      <c r="AA35" s="74">
        <f>SUMIFS(разходи!$L:$L,разходи!$E:$E,'ПП Май'!$C$35,разходи!$M:$M,'ПП Май'!AA2)</f>
        <v>0</v>
      </c>
      <c r="AB35" s="76">
        <f>SUMIFS(разходи!$L:$L,разходи!$E:$E,'ПП Май'!$C$35,разходи!$M:$M,'ПП Май'!AB2)</f>
        <v>0</v>
      </c>
      <c r="AC35" s="76">
        <f>SUMIFS(разходи!$L:$L,разходи!$E:$E,'ПП Май'!$C$35,разходи!$M:$M,'ПП Май'!AC2)</f>
        <v>0</v>
      </c>
      <c r="AD35" s="76">
        <f>SUMIFS(разходи!$L:$L,разходи!$E:$E,'ПП Май'!$C$35,разходи!$M:$M,'ПП Май'!AD2)</f>
        <v>0</v>
      </c>
      <c r="AE35" s="74">
        <f>SUMIFS(разходи!$L:$L,разходи!$E:$E,'ПП Май'!$C$35,разходи!$M:$M,'ПП Май'!AE2)</f>
        <v>0</v>
      </c>
      <c r="AF35" s="74">
        <f>SUMIFS(разходи!$L:$L,разходи!$E:$E,'ПП Май'!$C$35,разходи!$M:$M,'ПП Май'!AF2)</f>
        <v>0</v>
      </c>
      <c r="AG35" s="74">
        <f>SUMIFS(разходи!$L:$L,разходи!$E:$E,'ПП Май'!$C$35,разходи!$M:$M,'ПП Май'!AG2)</f>
        <v>0</v>
      </c>
      <c r="AH35" s="74">
        <f>SUMIFS(разходи!$L:$L,разходи!$E:$E,'ПП Май'!$C$35,разходи!$M:$M,'ПП Май'!AH2)</f>
        <v>0</v>
      </c>
      <c r="AI35" s="74">
        <f>SUMIFS(разходи!$L:$L,разходи!$E:$E,'ПП Май'!$C$35,разходи!$M:$M,'ПП Май'!AI2)</f>
        <v>0</v>
      </c>
      <c r="AJ35" s="61">
        <f t="shared" ref="AJ35:AJ66" si="18">SUM(E35:AI35)</f>
        <v>836.71199999999999</v>
      </c>
      <c r="AK35" s="69">
        <f t="shared" si="13"/>
        <v>-836.71199999999999</v>
      </c>
    </row>
    <row r="36" spans="1:37" s="4" customFormat="1" ht="20.100000000000001" customHeight="1" x14ac:dyDescent="0.3">
      <c r="A36" s="9"/>
      <c r="B36" s="7">
        <v>3</v>
      </c>
      <c r="C36" s="10" t="s">
        <v>861</v>
      </c>
      <c r="D36" s="74">
        <f>SUM(D37:D40)</f>
        <v>24056</v>
      </c>
      <c r="E36" s="76">
        <f t="shared" ref="E36:AI36" si="19">SUM(E37:E40)</f>
        <v>0</v>
      </c>
      <c r="F36" s="74">
        <f t="shared" si="19"/>
        <v>0</v>
      </c>
      <c r="G36" s="76">
        <f t="shared" si="19"/>
        <v>0</v>
      </c>
      <c r="H36" s="76">
        <f t="shared" si="19"/>
        <v>0</v>
      </c>
      <c r="I36" s="76">
        <f t="shared" si="19"/>
        <v>0</v>
      </c>
      <c r="J36" s="76">
        <f t="shared" si="19"/>
        <v>0</v>
      </c>
      <c r="K36" s="74">
        <f t="shared" si="19"/>
        <v>0</v>
      </c>
      <c r="L36" s="74">
        <f t="shared" si="19"/>
        <v>0</v>
      </c>
      <c r="M36" s="74">
        <f t="shared" si="19"/>
        <v>0</v>
      </c>
      <c r="N36" s="74">
        <f t="shared" si="19"/>
        <v>13607.832</v>
      </c>
      <c r="O36" s="76">
        <f t="shared" si="19"/>
        <v>0</v>
      </c>
      <c r="P36" s="76">
        <f t="shared" si="19"/>
        <v>0</v>
      </c>
      <c r="Q36" s="74">
        <f t="shared" si="19"/>
        <v>0</v>
      </c>
      <c r="R36" s="74">
        <f t="shared" si="19"/>
        <v>0</v>
      </c>
      <c r="S36" s="74">
        <f t="shared" si="19"/>
        <v>0</v>
      </c>
      <c r="T36" s="74">
        <f t="shared" si="19"/>
        <v>0</v>
      </c>
      <c r="U36" s="74">
        <f t="shared" si="19"/>
        <v>0</v>
      </c>
      <c r="V36" s="76">
        <f t="shared" si="19"/>
        <v>0</v>
      </c>
      <c r="W36" s="76">
        <f t="shared" si="19"/>
        <v>0</v>
      </c>
      <c r="X36" s="74">
        <f t="shared" si="19"/>
        <v>0</v>
      </c>
      <c r="Y36" s="74">
        <f t="shared" si="19"/>
        <v>0</v>
      </c>
      <c r="Z36" s="74">
        <f t="shared" si="19"/>
        <v>0</v>
      </c>
      <c r="AA36" s="74">
        <f t="shared" si="19"/>
        <v>0</v>
      </c>
      <c r="AB36" s="76">
        <f t="shared" si="19"/>
        <v>0</v>
      </c>
      <c r="AC36" s="76">
        <f t="shared" si="19"/>
        <v>0</v>
      </c>
      <c r="AD36" s="76">
        <f t="shared" si="19"/>
        <v>0</v>
      </c>
      <c r="AE36" s="74">
        <f t="shared" si="19"/>
        <v>0</v>
      </c>
      <c r="AF36" s="74">
        <f t="shared" si="19"/>
        <v>0</v>
      </c>
      <c r="AG36" s="74">
        <f t="shared" si="19"/>
        <v>0</v>
      </c>
      <c r="AH36" s="74">
        <f t="shared" si="19"/>
        <v>0</v>
      </c>
      <c r="AI36" s="74">
        <f t="shared" si="19"/>
        <v>0</v>
      </c>
      <c r="AJ36" s="61">
        <f t="shared" si="18"/>
        <v>13607.832</v>
      </c>
      <c r="AK36" s="62">
        <f t="shared" si="13"/>
        <v>10448.168</v>
      </c>
    </row>
    <row r="37" spans="1:37" s="21" customFormat="1" ht="20.100000000000001" customHeight="1" outlineLevel="1" x14ac:dyDescent="0.3">
      <c r="A37" s="27"/>
      <c r="B37" s="22"/>
      <c r="C37" s="8" t="s">
        <v>462</v>
      </c>
      <c r="D37" s="80">
        <v>24056</v>
      </c>
      <c r="E37" s="76">
        <f>SUMIFS(разходи!$L:$L,разходи!$E:$E,'ПП Май'!$C$37,разходи!$M:$M,'ПП Май'!E2)</f>
        <v>0</v>
      </c>
      <c r="F37" s="74">
        <f>SUMIFS(разходи!$L:$L,разходи!$E:$E,'ПП Май'!$C$37,разходи!$M:$M,'ПП Май'!F2)</f>
        <v>0</v>
      </c>
      <c r="G37" s="76">
        <f>SUMIFS(разходи!$L:$L,разходи!$E:$E,'ПП Май'!$C$37,разходи!$M:$M,'ПП Май'!G2)</f>
        <v>0</v>
      </c>
      <c r="H37" s="76">
        <f>SUMIFS(разходи!$L:$L,разходи!$E:$E,'ПП Май'!$C$37,разходи!$M:$M,'ПП Май'!H2)</f>
        <v>0</v>
      </c>
      <c r="I37" s="76">
        <f>SUMIFS(разходи!$L:$L,разходи!$E:$E,'ПП Май'!$C$37,разходи!$M:$M,'ПП Май'!I2)</f>
        <v>0</v>
      </c>
      <c r="J37" s="76">
        <f>SUMIFS(разходи!$L:$L,разходи!$E:$E,'ПП Май'!$C$37,разходи!$M:$M,'ПП Май'!J2)</f>
        <v>0</v>
      </c>
      <c r="K37" s="74">
        <f>SUMIFS(разходи!$L:$L,разходи!$E:$E,'ПП Май'!$C$37,разходи!$M:$M,'ПП Май'!K2)</f>
        <v>0</v>
      </c>
      <c r="L37" s="74">
        <f>SUMIFS(разходи!$L:$L,разходи!$E:$E,'ПП Май'!$C$37,разходи!$M:$M,'ПП Май'!L2)</f>
        <v>0</v>
      </c>
      <c r="M37" s="74">
        <f>SUMIFS(разходи!$L:$L,разходи!$E:$E,'ПП Май'!$C$37,разходи!$M:$M,'ПП Май'!M2)</f>
        <v>0</v>
      </c>
      <c r="N37" s="74">
        <f>SUMIFS(разходи!$L:$L,разходи!$E:$E,'ПП Май'!$C$37,разходи!$M:$M,'ПП Май'!N2)</f>
        <v>5736.0839999999998</v>
      </c>
      <c r="O37" s="76">
        <f>SUMIFS(разходи!$L:$L,разходи!$E:$E,'ПП Май'!$C$37,разходи!$M:$M,'ПП Май'!O2)</f>
        <v>0</v>
      </c>
      <c r="P37" s="76">
        <f>SUMIFS(разходи!$L:$L,разходи!$E:$E,'ПП Май'!$C$37,разходи!$M:$M,'ПП Май'!P2)</f>
        <v>0</v>
      </c>
      <c r="Q37" s="74">
        <f>SUMIFS(разходи!$L:$L,разходи!$E:$E,'ПП Май'!$C$37,разходи!$M:$M,'ПП Май'!Q2)</f>
        <v>0</v>
      </c>
      <c r="R37" s="74">
        <f>SUMIFS(разходи!$L:$L,разходи!$E:$E,'ПП Май'!$C$37,разходи!$M:$M,'ПП Май'!R2)</f>
        <v>0</v>
      </c>
      <c r="S37" s="74">
        <f>SUMIFS(разходи!$L:$L,разходи!$E:$E,'ПП Май'!$C$37,разходи!$M:$M,'ПП Май'!S2)</f>
        <v>0</v>
      </c>
      <c r="T37" s="74">
        <f>SUMIFS(разходи!$L:$L,разходи!$E:$E,'ПП Май'!$C$37,разходи!$M:$M,'ПП Май'!T2)</f>
        <v>0</v>
      </c>
      <c r="U37" s="74">
        <f>SUMIFS(разходи!$L:$L,разходи!$E:$E,'ПП Май'!$C$37,разходи!$M:$M,'ПП Май'!U2)</f>
        <v>0</v>
      </c>
      <c r="V37" s="76">
        <f>SUMIFS(разходи!$L:$L,разходи!$E:$E,'ПП Май'!$C$37,разходи!$M:$M,'ПП Май'!V2)</f>
        <v>0</v>
      </c>
      <c r="W37" s="76">
        <f>SUMIFS(разходи!$L:$L,разходи!$E:$E,'ПП Май'!$C$37,разходи!$M:$M,'ПП Май'!W2)</f>
        <v>0</v>
      </c>
      <c r="X37" s="74">
        <f>SUMIFS(разходи!$L:$L,разходи!$E:$E,'ПП Май'!$C$37,разходи!$M:$M,'ПП Май'!X2)</f>
        <v>0</v>
      </c>
      <c r="Y37" s="74">
        <f>SUMIFS(разходи!$L:$L,разходи!$E:$E,'ПП Май'!$C$37,разходи!$M:$M,'ПП Май'!Y2)</f>
        <v>0</v>
      </c>
      <c r="Z37" s="74">
        <f>SUMIFS(разходи!$L:$L,разходи!$E:$E,'ПП Май'!$C$37,разходи!$M:$M,'ПП Май'!Z2)</f>
        <v>0</v>
      </c>
      <c r="AA37" s="74">
        <f>SUMIFS(разходи!$L:$L,разходи!$E:$E,'ПП Май'!$C$37,разходи!$M:$M,'ПП Май'!AA2)</f>
        <v>0</v>
      </c>
      <c r="AB37" s="76">
        <f>SUMIFS(разходи!$L:$L,разходи!$E:$E,'ПП Май'!$C$37,разходи!$M:$M,'ПП Май'!AB2)</f>
        <v>0</v>
      </c>
      <c r="AC37" s="76">
        <f>SUMIFS(разходи!$L:$L,разходи!$E:$E,'ПП Май'!$C$37,разходи!$M:$M,'ПП Май'!AC2)</f>
        <v>0</v>
      </c>
      <c r="AD37" s="76">
        <f>SUMIFS(разходи!$L:$L,разходи!$E:$E,'ПП Май'!$C$37,разходи!$M:$M,'ПП Май'!AD2)</f>
        <v>0</v>
      </c>
      <c r="AE37" s="74">
        <f>SUMIFS(разходи!$L:$L,разходи!$E:$E,'ПП Май'!$C$37,разходи!$M:$M,'ПП Май'!AE2)</f>
        <v>0</v>
      </c>
      <c r="AF37" s="74">
        <f>SUMIFS(разходи!$L:$L,разходи!$E:$E,'ПП Май'!$C$37,разходи!$M:$M,'ПП Май'!AF2)</f>
        <v>0</v>
      </c>
      <c r="AG37" s="74">
        <f>SUMIFS(разходи!$L:$L,разходи!$E:$E,'ПП Май'!$C$37,разходи!$M:$M,'ПП Май'!AG2)</f>
        <v>0</v>
      </c>
      <c r="AH37" s="74">
        <f>SUMIFS(разходи!$L:$L,разходи!$E:$E,'ПП Май'!$C$37,разходи!$M:$M,'ПП Май'!AH2)</f>
        <v>0</v>
      </c>
      <c r="AI37" s="74">
        <f>SUMIFS(разходи!$L:$L,разходи!$E:$E,'ПП Май'!$C$37,разходи!$M:$M,'ПП Май'!AI2)</f>
        <v>0</v>
      </c>
      <c r="AJ37" s="61">
        <f t="shared" si="18"/>
        <v>5736.0839999999998</v>
      </c>
      <c r="AK37" s="69">
        <f t="shared" si="13"/>
        <v>18319.916000000001</v>
      </c>
    </row>
    <row r="38" spans="1:37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Май'!$C$38,разходи!$M:$M,'ПП Май'!E2)</f>
        <v>0</v>
      </c>
      <c r="F38" s="74">
        <f>SUMIFS(разходи!$L:$L,разходи!$E:$E,'ПП Май'!$C$38,разходи!$M:$M,'ПП Май'!F2)</f>
        <v>0</v>
      </c>
      <c r="G38" s="76">
        <f>SUMIFS(разходи!$L:$L,разходи!$E:$E,'ПП Май'!$C$38,разходи!$M:$M,'ПП Май'!G2)</f>
        <v>0</v>
      </c>
      <c r="H38" s="76">
        <f>SUMIFS(разходи!$L:$L,разходи!$E:$E,'ПП Май'!$C$38,разходи!$M:$M,'ПП Май'!H2)</f>
        <v>0</v>
      </c>
      <c r="I38" s="76">
        <f>SUMIFS(разходи!$L:$L,разходи!$E:$E,'ПП Май'!$C$38,разходи!$M:$M,'ПП Май'!I2)</f>
        <v>0</v>
      </c>
      <c r="J38" s="76">
        <f>SUMIFS(разходи!$L:$L,разходи!$E:$E,'ПП Май'!$C$38,разходи!$M:$M,'ПП Май'!J2)</f>
        <v>0</v>
      </c>
      <c r="K38" s="74">
        <f>SUMIFS(разходи!$L:$L,разходи!$E:$E,'ПП Май'!$C$38,разходи!$M:$M,'ПП Май'!K2)</f>
        <v>0</v>
      </c>
      <c r="L38" s="74">
        <f>SUMIFS(разходи!$L:$L,разходи!$E:$E,'ПП Май'!$C$38,разходи!$M:$M,'ПП Май'!L2)</f>
        <v>0</v>
      </c>
      <c r="M38" s="74">
        <f>SUMIFS(разходи!$L:$L,разходи!$E:$E,'ПП Май'!$C$38,разходи!$M:$M,'ПП Май'!M2)</f>
        <v>0</v>
      </c>
      <c r="N38" s="74">
        <f>SUMIFS(разходи!$L:$L,разходи!$E:$E,'ПП Май'!$C$38,разходи!$M:$M,'ПП Май'!N2)</f>
        <v>8109.1679999999997</v>
      </c>
      <c r="O38" s="76">
        <f>SUMIFS(разходи!$L:$L,разходи!$E:$E,'ПП Май'!$C$38,разходи!$M:$M,'ПП Май'!O2)</f>
        <v>0</v>
      </c>
      <c r="P38" s="76">
        <f>SUMIFS(разходи!$L:$L,разходи!$E:$E,'ПП Май'!$C$38,разходи!$M:$M,'ПП Май'!P2)</f>
        <v>0</v>
      </c>
      <c r="Q38" s="74">
        <f>SUMIFS(разходи!$L:$L,разходи!$E:$E,'ПП Май'!$C$38,разходи!$M:$M,'ПП Май'!Q2)</f>
        <v>0</v>
      </c>
      <c r="R38" s="74">
        <f>SUMIFS(разходи!$L:$L,разходи!$E:$E,'ПП Май'!$C$38,разходи!$M:$M,'ПП Май'!R2)</f>
        <v>0</v>
      </c>
      <c r="S38" s="74">
        <f>SUMIFS(разходи!$L:$L,разходи!$E:$E,'ПП Май'!$C$38,разходи!$M:$M,'ПП Май'!S2)</f>
        <v>0</v>
      </c>
      <c r="T38" s="74">
        <f>SUMIFS(разходи!$L:$L,разходи!$E:$E,'ПП Май'!$C$38,разходи!$M:$M,'ПП Май'!T2)</f>
        <v>0</v>
      </c>
      <c r="U38" s="74">
        <f>SUMIFS(разходи!$L:$L,разходи!$E:$E,'ПП Май'!$C$38,разходи!$M:$M,'ПП Май'!U2)</f>
        <v>0</v>
      </c>
      <c r="V38" s="76">
        <f>SUMIFS(разходи!$L:$L,разходи!$E:$E,'ПП Май'!$C$38,разходи!$M:$M,'ПП Май'!V2)</f>
        <v>0</v>
      </c>
      <c r="W38" s="76">
        <f>SUMIFS(разходи!$L:$L,разходи!$E:$E,'ПП Май'!$C$38,разходи!$M:$M,'ПП Май'!W2)</f>
        <v>0</v>
      </c>
      <c r="X38" s="74">
        <f>SUMIFS(разходи!$L:$L,разходи!$E:$E,'ПП Май'!$C$38,разходи!$M:$M,'ПП Май'!X2)</f>
        <v>0</v>
      </c>
      <c r="Y38" s="74">
        <f>SUMIFS(разходи!$L:$L,разходи!$E:$E,'ПП Май'!$C$38,разходи!$M:$M,'ПП Май'!Y2)</f>
        <v>0</v>
      </c>
      <c r="Z38" s="74">
        <f>SUMIFS(разходи!$L:$L,разходи!$E:$E,'ПП Май'!$C$38,разходи!$M:$M,'ПП Май'!Z2)</f>
        <v>0</v>
      </c>
      <c r="AA38" s="74">
        <f>SUMIFS(разходи!$L:$L,разходи!$E:$E,'ПП Май'!$C$38,разходи!$M:$M,'ПП Май'!AA2)</f>
        <v>0</v>
      </c>
      <c r="AB38" s="76">
        <f>SUMIFS(разходи!$L:$L,разходи!$E:$E,'ПП Май'!$C$38,разходи!$M:$M,'ПП Май'!AB2)</f>
        <v>0</v>
      </c>
      <c r="AC38" s="76">
        <f>SUMIFS(разходи!$L:$L,разходи!$E:$E,'ПП Май'!$C$38,разходи!$M:$M,'ПП Май'!AC2)</f>
        <v>0</v>
      </c>
      <c r="AD38" s="76">
        <f>SUMIFS(разходи!$L:$L,разходи!$E:$E,'ПП Май'!$C$38,разходи!$M:$M,'ПП Май'!AD2)</f>
        <v>0</v>
      </c>
      <c r="AE38" s="74">
        <f>SUMIFS(разходи!$L:$L,разходи!$E:$E,'ПП Май'!$C$38,разходи!$M:$M,'ПП Май'!AE2)</f>
        <v>0</v>
      </c>
      <c r="AF38" s="74">
        <f>SUMIFS(разходи!$L:$L,разходи!$E:$E,'ПП Май'!$C$38,разходи!$M:$M,'ПП Май'!AF2)</f>
        <v>0</v>
      </c>
      <c r="AG38" s="74">
        <f>SUMIFS(разходи!$L:$L,разходи!$E:$E,'ПП Май'!$C$38,разходи!$M:$M,'ПП Май'!AG2)</f>
        <v>0</v>
      </c>
      <c r="AH38" s="74">
        <f>SUMIFS(разходи!$L:$L,разходи!$E:$E,'ПП Май'!$C$38,разходи!$M:$M,'ПП Май'!AH2)</f>
        <v>0</v>
      </c>
      <c r="AI38" s="74">
        <f>SUMIFS(разходи!$L:$L,разходи!$E:$E,'ПП Май'!$C$38,разходи!$M:$M,'ПП Май'!AI2)</f>
        <v>0</v>
      </c>
      <c r="AJ38" s="61">
        <f t="shared" si="18"/>
        <v>8109.1679999999997</v>
      </c>
      <c r="AK38" s="69">
        <f t="shared" si="13"/>
        <v>-8109.1679999999997</v>
      </c>
    </row>
    <row r="39" spans="1:37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Май'!$C$39,разходи!$M:$M,'ПП Май'!E2)</f>
        <v>0</v>
      </c>
      <c r="F39" s="74">
        <f>SUMIFS(разходи!$L:$L,разходи!$E:$E,'ПП Май'!$C$39,разходи!$M:$M,'ПП Май'!F2)</f>
        <v>0</v>
      </c>
      <c r="G39" s="76">
        <f>SUMIFS(разходи!$L:$L,разходи!$E:$E,'ПП Май'!$C$39,разходи!$M:$M,'ПП Май'!G2)</f>
        <v>0</v>
      </c>
      <c r="H39" s="76">
        <f>SUMIFS(разходи!$L:$L,разходи!$E:$E,'ПП Май'!$C$39,разходи!$M:$M,'ПП Май'!H2)</f>
        <v>0</v>
      </c>
      <c r="I39" s="76">
        <f>SUMIFS(разходи!$L:$L,разходи!$E:$E,'ПП Май'!$C$39,разходи!$M:$M,'ПП Май'!I2)</f>
        <v>0</v>
      </c>
      <c r="J39" s="76">
        <f>SUMIFS(разходи!$L:$L,разходи!$E:$E,'ПП Май'!$C$39,разходи!$M:$M,'ПП Май'!J2)</f>
        <v>0</v>
      </c>
      <c r="K39" s="74">
        <f>SUMIFS(разходи!$L:$L,разходи!$E:$E,'ПП Май'!$C$39,разходи!$M:$M,'ПП Май'!K2)</f>
        <v>0</v>
      </c>
      <c r="L39" s="74">
        <f>SUMIFS(разходи!$L:$L,разходи!$E:$E,'ПП Май'!$C$39,разходи!$M:$M,'ПП Май'!L2)</f>
        <v>0</v>
      </c>
      <c r="M39" s="74">
        <f>SUMIFS(разходи!$L:$L,разходи!$E:$E,'ПП Май'!$C$39,разходи!$M:$M,'ПП Май'!M2)</f>
        <v>0</v>
      </c>
      <c r="N39" s="74">
        <f>SUMIFS(разходи!$L:$L,разходи!$E:$E,'ПП Май'!$C$39,разходи!$M:$M,'ПП Май'!N2)</f>
        <v>733.00800000000004</v>
      </c>
      <c r="O39" s="76">
        <f>SUMIFS(разходи!$L:$L,разходи!$E:$E,'ПП Май'!$C$39,разходи!$M:$M,'ПП Май'!O2)</f>
        <v>0</v>
      </c>
      <c r="P39" s="76">
        <f>SUMIFS(разходи!$L:$L,разходи!$E:$E,'ПП Май'!$C$39,разходи!$M:$M,'ПП Май'!P2)</f>
        <v>0</v>
      </c>
      <c r="Q39" s="74">
        <f>SUMIFS(разходи!$L:$L,разходи!$E:$E,'ПП Май'!$C$39,разходи!$M:$M,'ПП Май'!Q2)</f>
        <v>0</v>
      </c>
      <c r="R39" s="74">
        <f>SUMIFS(разходи!$L:$L,разходи!$E:$E,'ПП Май'!$C$39,разходи!$M:$M,'ПП Май'!R2)</f>
        <v>0</v>
      </c>
      <c r="S39" s="74">
        <f>SUMIFS(разходи!$L:$L,разходи!$E:$E,'ПП Май'!$C$39,разходи!$M:$M,'ПП Май'!S2)</f>
        <v>0</v>
      </c>
      <c r="T39" s="74">
        <f>SUMIFS(разходи!$L:$L,разходи!$E:$E,'ПП Май'!$C$39,разходи!$M:$M,'ПП Май'!T2)</f>
        <v>0</v>
      </c>
      <c r="U39" s="74">
        <f>SUMIFS(разходи!$L:$L,разходи!$E:$E,'ПП Май'!$C$39,разходи!$M:$M,'ПП Май'!U2)</f>
        <v>0</v>
      </c>
      <c r="V39" s="76">
        <f>SUMIFS(разходи!$L:$L,разходи!$E:$E,'ПП Май'!$C$39,разходи!$M:$M,'ПП Май'!V2)</f>
        <v>0</v>
      </c>
      <c r="W39" s="76">
        <f>SUMIFS(разходи!$L:$L,разходи!$E:$E,'ПП Май'!$C$39,разходи!$M:$M,'ПП Май'!W2)</f>
        <v>0</v>
      </c>
      <c r="X39" s="74">
        <f>SUMIFS(разходи!$L:$L,разходи!$E:$E,'ПП Май'!$C$39,разходи!$M:$M,'ПП Май'!X2)</f>
        <v>0</v>
      </c>
      <c r="Y39" s="74">
        <f>SUMIFS(разходи!$L:$L,разходи!$E:$E,'ПП Май'!$C$39,разходи!$M:$M,'ПП Май'!Y2)</f>
        <v>0</v>
      </c>
      <c r="Z39" s="74">
        <f>SUMIFS(разходи!$L:$L,разходи!$E:$E,'ПП Май'!$C$39,разходи!$M:$M,'ПП Май'!Z2)</f>
        <v>0</v>
      </c>
      <c r="AA39" s="74">
        <f>SUMIFS(разходи!$L:$L,разходи!$E:$E,'ПП Май'!$C$39,разходи!$M:$M,'ПП Май'!AA2)</f>
        <v>0</v>
      </c>
      <c r="AB39" s="76">
        <f>SUMIFS(разходи!$L:$L,разходи!$E:$E,'ПП Май'!$C$39,разходи!$M:$M,'ПП Май'!AB2)</f>
        <v>0</v>
      </c>
      <c r="AC39" s="76">
        <f>SUMIFS(разходи!$L:$L,разходи!$E:$E,'ПП Май'!$C$39,разходи!$M:$M,'ПП Май'!AC2)</f>
        <v>0</v>
      </c>
      <c r="AD39" s="76">
        <f>SUMIFS(разходи!$L:$L,разходи!$E:$E,'ПП Май'!$C$39,разходи!$M:$M,'ПП Май'!AD2)</f>
        <v>0</v>
      </c>
      <c r="AE39" s="74">
        <f>SUMIFS(разходи!$L:$L,разходи!$E:$E,'ПП Май'!$C$39,разходи!$M:$M,'ПП Май'!AE2)</f>
        <v>0</v>
      </c>
      <c r="AF39" s="74">
        <f>SUMIFS(разходи!$L:$L,разходи!$E:$E,'ПП Май'!$C$39,разходи!$M:$M,'ПП Май'!AF2)</f>
        <v>0</v>
      </c>
      <c r="AG39" s="74">
        <f>SUMIFS(разходи!$L:$L,разходи!$E:$E,'ПП Май'!$C$39,разходи!$M:$M,'ПП Май'!AG2)</f>
        <v>0</v>
      </c>
      <c r="AH39" s="74">
        <f>SUMIFS(разходи!$L:$L,разходи!$E:$E,'ПП Май'!$C$39,разходи!$M:$M,'ПП Май'!AH2)</f>
        <v>0</v>
      </c>
      <c r="AI39" s="74">
        <f>SUMIFS(разходи!$L:$L,разходи!$E:$E,'ПП Май'!$C$39,разходи!$M:$M,'ПП Май'!AI2)</f>
        <v>0</v>
      </c>
      <c r="AJ39" s="61">
        <f t="shared" si="18"/>
        <v>733.00800000000004</v>
      </c>
      <c r="AK39" s="69">
        <f t="shared" si="13"/>
        <v>-733.00800000000004</v>
      </c>
    </row>
    <row r="40" spans="1:37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Май'!$C$40,разходи!$M:$M,'ПП Май'!E2)</f>
        <v>0</v>
      </c>
      <c r="F40" s="74">
        <f>SUMIFS(разходи!$L:$L,разходи!$E:$E,'ПП Май'!$C$40,разходи!$M:$M,'ПП Май'!F2)</f>
        <v>0</v>
      </c>
      <c r="G40" s="76">
        <f>SUMIFS(разходи!$L:$L,разходи!$E:$E,'ПП Май'!$C$40,разходи!$M:$M,'ПП Май'!G2)</f>
        <v>0</v>
      </c>
      <c r="H40" s="76">
        <f>SUMIFS(разходи!$L:$L,разходи!$E:$E,'ПП Май'!$C$40,разходи!$M:$M,'ПП Май'!H2)</f>
        <v>0</v>
      </c>
      <c r="I40" s="76">
        <f>SUMIFS(разходи!$L:$L,разходи!$E:$E,'ПП Май'!$C$40,разходи!$M:$M,'ПП Май'!I2)</f>
        <v>0</v>
      </c>
      <c r="J40" s="76">
        <f>SUMIFS(разходи!$L:$L,разходи!$E:$E,'ПП Май'!$C$40,разходи!$M:$M,'ПП Май'!J2)</f>
        <v>0</v>
      </c>
      <c r="K40" s="74">
        <f>SUMIFS(разходи!$L:$L,разходи!$E:$E,'ПП Май'!$C$40,разходи!$M:$M,'ПП Май'!K2)</f>
        <v>0</v>
      </c>
      <c r="L40" s="74">
        <f>SUMIFS(разходи!$L:$L,разходи!$E:$E,'ПП Май'!$C$40,разходи!$M:$M,'ПП Май'!L2)</f>
        <v>0</v>
      </c>
      <c r="M40" s="74">
        <f>SUMIFS(разходи!$L:$L,разходи!$E:$E,'ПП Май'!$C$40,разходи!$M:$M,'ПП Май'!M2)</f>
        <v>0</v>
      </c>
      <c r="N40" s="74">
        <f>SUMIFS(разходи!$L:$L,разходи!$E:$E,'ПП Май'!$C$40,разходи!$M:$M,'ПП Май'!N2)</f>
        <v>-970.428</v>
      </c>
      <c r="O40" s="76">
        <f>SUMIFS(разходи!$L:$L,разходи!$E:$E,'ПП Май'!$C$40,разходи!$M:$M,'ПП Май'!O2)</f>
        <v>0</v>
      </c>
      <c r="P40" s="76">
        <f>SUMIFS(разходи!$L:$L,разходи!$E:$E,'ПП Май'!$C$40,разходи!$M:$M,'ПП Май'!P2)</f>
        <v>0</v>
      </c>
      <c r="Q40" s="74">
        <f>SUMIFS(разходи!$L:$L,разходи!$E:$E,'ПП Май'!$C$40,разходи!$M:$M,'ПП Май'!Q2)</f>
        <v>0</v>
      </c>
      <c r="R40" s="74">
        <f>SUMIFS(разходи!$L:$L,разходи!$E:$E,'ПП Май'!$C$40,разходи!$M:$M,'ПП Май'!R2)</f>
        <v>0</v>
      </c>
      <c r="S40" s="74">
        <f>SUMIFS(разходи!$L:$L,разходи!$E:$E,'ПП Май'!$C$40,разходи!$M:$M,'ПП Май'!S2)</f>
        <v>0</v>
      </c>
      <c r="T40" s="74">
        <f>SUMIFS(разходи!$L:$L,разходи!$E:$E,'ПП Май'!$C$40,разходи!$M:$M,'ПП Май'!T2)</f>
        <v>0</v>
      </c>
      <c r="U40" s="74">
        <f>SUMIFS(разходи!$L:$L,разходи!$E:$E,'ПП Май'!$C$40,разходи!$M:$M,'ПП Май'!U2)</f>
        <v>0</v>
      </c>
      <c r="V40" s="76">
        <f>SUMIFS(разходи!$L:$L,разходи!$E:$E,'ПП Май'!$C$40,разходи!$M:$M,'ПП Май'!V2)</f>
        <v>0</v>
      </c>
      <c r="W40" s="76">
        <f>SUMIFS(разходи!$L:$L,разходи!$E:$E,'ПП Май'!$C$40,разходи!$M:$M,'ПП Май'!W2)</f>
        <v>0</v>
      </c>
      <c r="X40" s="74">
        <f>SUMIFS(разходи!$L:$L,разходи!$E:$E,'ПП Май'!$C$40,разходи!$M:$M,'ПП Май'!X2)</f>
        <v>0</v>
      </c>
      <c r="Y40" s="74">
        <f>SUMIFS(разходи!$L:$L,разходи!$E:$E,'ПП Май'!$C$40,разходи!$M:$M,'ПП Май'!Y2)</f>
        <v>0</v>
      </c>
      <c r="Z40" s="74">
        <f>SUMIFS(разходи!$L:$L,разходи!$E:$E,'ПП Май'!$C$40,разходи!$M:$M,'ПП Май'!Z2)</f>
        <v>0</v>
      </c>
      <c r="AA40" s="74">
        <f>SUMIFS(разходи!$L:$L,разходи!$E:$E,'ПП Май'!$C$40,разходи!$M:$M,'ПП Май'!AA2)</f>
        <v>0</v>
      </c>
      <c r="AB40" s="76">
        <f>SUMIFS(разходи!$L:$L,разходи!$E:$E,'ПП Май'!$C$40,разходи!$M:$M,'ПП Май'!AB2)</f>
        <v>0</v>
      </c>
      <c r="AC40" s="76">
        <f>SUMIFS(разходи!$L:$L,разходи!$E:$E,'ПП Май'!$C$40,разходи!$M:$M,'ПП Май'!AC2)</f>
        <v>0</v>
      </c>
      <c r="AD40" s="76">
        <f>SUMIFS(разходи!$L:$L,разходи!$E:$E,'ПП Май'!$C$40,разходи!$M:$M,'ПП Май'!AD2)</f>
        <v>0</v>
      </c>
      <c r="AE40" s="74">
        <f>SUMIFS(разходи!$L:$L,разходи!$E:$E,'ПП Май'!$C$40,разходи!$M:$M,'ПП Май'!AE2)</f>
        <v>0</v>
      </c>
      <c r="AF40" s="74">
        <f>SUMIFS(разходи!$L:$L,разходи!$E:$E,'ПП Май'!$C$40,разходи!$M:$M,'ПП Май'!AF2)</f>
        <v>0</v>
      </c>
      <c r="AG40" s="74">
        <f>SUMIFS(разходи!$L:$L,разходи!$E:$E,'ПП Май'!$C$40,разходи!$M:$M,'ПП Май'!AG2)</f>
        <v>0</v>
      </c>
      <c r="AH40" s="74">
        <f>SUMIFS(разходи!$L:$L,разходи!$E:$E,'ПП Май'!$C$40,разходи!$M:$M,'ПП Май'!AH2)</f>
        <v>0</v>
      </c>
      <c r="AI40" s="74">
        <f>SUMIFS(разходи!$L:$L,разходи!$E:$E,'ПП Май'!$C$40,разходи!$M:$M,'ПП Май'!AI2)</f>
        <v>0</v>
      </c>
      <c r="AJ40" s="61">
        <f t="shared" si="18"/>
        <v>-970.428</v>
      </c>
      <c r="AK40" s="69">
        <f t="shared" si="13"/>
        <v>970.428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f>168014+180000</f>
        <v>348014</v>
      </c>
      <c r="E41" s="76">
        <f>SUMIFS(разходи!$L:$L,разходи!$E:$E,'ПП Май'!$C$41,разходи!$M:$M,'ПП Май'!E2)</f>
        <v>0</v>
      </c>
      <c r="F41" s="74">
        <f>SUMIFS(разходи!$L:$L,разходи!$E:$E,'ПП Май'!$C$41,разходи!$M:$M,'ПП Май'!F2)</f>
        <v>0</v>
      </c>
      <c r="G41" s="76">
        <f>SUMIFS(разходи!$L:$L,разходи!$E:$E,'ПП Май'!$C$41,разходи!$M:$M,'ПП Май'!G2)</f>
        <v>0</v>
      </c>
      <c r="H41" s="76">
        <f>SUMIFS(разходи!$L:$L,разходи!$E:$E,'ПП Май'!$C$41,разходи!$M:$M,'ПП Май'!H2)</f>
        <v>0</v>
      </c>
      <c r="I41" s="76">
        <f>SUMIFS(разходи!$L:$L,разходи!$E:$E,'ПП Май'!$C$41,разходи!$M:$M,'ПП Май'!I2)</f>
        <v>0</v>
      </c>
      <c r="J41" s="76">
        <f>SUMIFS(разходи!$L:$L,разходи!$E:$E,'ПП Май'!$C$41,разходи!$M:$M,'ПП Май'!J2)</f>
        <v>0</v>
      </c>
      <c r="K41" s="74">
        <f>SUMIFS(разходи!$L:$L,разходи!$E:$E,'ПП Май'!$C$41,разходи!$M:$M,'ПП Май'!K2)</f>
        <v>0</v>
      </c>
      <c r="L41" s="74">
        <f>SUMIFS(разходи!$L:$L,разходи!$E:$E,'ПП Май'!$C$41,разходи!$M:$M,'ПП Май'!L2)</f>
        <v>0</v>
      </c>
      <c r="M41" s="74">
        <f>SUMIFS(разходи!$L:$L,разходи!$E:$E,'ПП Май'!$C$41,разходи!$M:$M,'ПП Май'!M2)</f>
        <v>222437.57</v>
      </c>
      <c r="N41" s="74">
        <f>SUMIFS(разходи!$L:$L,разходи!$E:$E,'ПП Май'!$C$41,разходи!$M:$M,'ПП Май'!N2)</f>
        <v>0</v>
      </c>
      <c r="O41" s="76">
        <f>SUMIFS(разходи!$L:$L,разходи!$E:$E,'ПП Май'!$C$41,разходи!$M:$M,'ПП Май'!O2)</f>
        <v>0</v>
      </c>
      <c r="P41" s="76">
        <f>SUMIFS(разходи!$L:$L,разходи!$E:$E,'ПП Май'!$C$41,разходи!$M:$M,'ПП Май'!P2)</f>
        <v>0</v>
      </c>
      <c r="Q41" s="74">
        <f>SUMIFS(разходи!$L:$L,разходи!$E:$E,'ПП Май'!$C$41,разходи!$M:$M,'ПП Май'!Q2)</f>
        <v>0</v>
      </c>
      <c r="R41" s="74">
        <f>SUMIFS(разходи!$L:$L,разходи!$E:$E,'ПП Май'!$C$41,разходи!$M:$M,'ПП Май'!R2)</f>
        <v>0</v>
      </c>
      <c r="S41" s="74">
        <f>SUMIFS(разходи!$L:$L,разходи!$E:$E,'ПП Май'!$C$41,разходи!$M:$M,'ПП Май'!S2)</f>
        <v>0</v>
      </c>
      <c r="T41" s="74">
        <f>SUMIFS(разходи!$L:$L,разходи!$E:$E,'ПП Май'!$C$41,разходи!$M:$M,'ПП Май'!T2)</f>
        <v>0</v>
      </c>
      <c r="U41" s="74">
        <f>SUMIFS(разходи!$L:$L,разходи!$E:$E,'ПП Май'!$C$41,разходи!$M:$M,'ПП Май'!U2)</f>
        <v>0</v>
      </c>
      <c r="V41" s="76">
        <f>SUMIFS(разходи!$L:$L,разходи!$E:$E,'ПП Май'!$C$41,разходи!$M:$M,'ПП Май'!V2)</f>
        <v>0</v>
      </c>
      <c r="W41" s="76">
        <f>SUMIFS(разходи!$L:$L,разходи!$E:$E,'ПП Май'!$C$41,разходи!$M:$M,'ПП Май'!W2)</f>
        <v>0</v>
      </c>
      <c r="X41" s="74">
        <f>SUMIFS(разходи!$L:$L,разходи!$E:$E,'ПП Май'!$C$41,разходи!$M:$M,'ПП Май'!X2)</f>
        <v>0</v>
      </c>
      <c r="Y41" s="74">
        <f>SUMIFS(разходи!$L:$L,разходи!$E:$E,'ПП Май'!$C$41,разходи!$M:$M,'ПП Май'!Y2)</f>
        <v>0</v>
      </c>
      <c r="Z41" s="74">
        <f>SUMIFS(разходи!$L:$L,разходи!$E:$E,'ПП Май'!$C$41,разходи!$M:$M,'ПП Май'!Z2)</f>
        <v>0</v>
      </c>
      <c r="AA41" s="74">
        <f>SUMIFS(разходи!$L:$L,разходи!$E:$E,'ПП Май'!$C$41,разходи!$M:$M,'ПП Май'!AA2)</f>
        <v>0</v>
      </c>
      <c r="AB41" s="76">
        <f>SUMIFS(разходи!$L:$L,разходи!$E:$E,'ПП Май'!$C$41,разходи!$M:$M,'ПП Май'!AB2)</f>
        <v>0</v>
      </c>
      <c r="AC41" s="76">
        <f>SUMIFS(разходи!$L:$L,разходи!$E:$E,'ПП Май'!$C$41,разходи!$M:$M,'ПП Май'!AC2)</f>
        <v>0</v>
      </c>
      <c r="AD41" s="76">
        <f>SUMIFS(разходи!$L:$L,разходи!$E:$E,'ПП Май'!$C$41,разходи!$M:$M,'ПП Май'!AD2)</f>
        <v>0</v>
      </c>
      <c r="AE41" s="74">
        <f>SUMIFS(разходи!$L:$L,разходи!$E:$E,'ПП Май'!$C$41,разходи!$M:$M,'ПП Май'!AE2)</f>
        <v>0</v>
      </c>
      <c r="AF41" s="74">
        <f>SUMIFS(разходи!$L:$L,разходи!$E:$E,'ПП Май'!$C$41,разходи!$M:$M,'ПП Май'!AF2)</f>
        <v>0</v>
      </c>
      <c r="AG41" s="74">
        <f>SUMIFS(разходи!$L:$L,разходи!$E:$E,'ПП Май'!$C$41,разходи!$M:$M,'ПП Май'!AG2)</f>
        <v>0</v>
      </c>
      <c r="AH41" s="74">
        <f>SUMIFS(разходи!$L:$L,разходи!$E:$E,'ПП Май'!$C$41,разходи!$M:$M,'ПП Май'!AH2)</f>
        <v>0</v>
      </c>
      <c r="AI41" s="74">
        <f>SUMIFS(разходи!$L:$L,разходи!$E:$E,'ПП Май'!$C$41,разходи!$M:$M,'ПП Май'!AI2)</f>
        <v>0</v>
      </c>
      <c r="AJ41" s="61">
        <f t="shared" si="18"/>
        <v>222437.57</v>
      </c>
      <c r="AK41" s="69">
        <f t="shared" si="13"/>
        <v>125576.43</v>
      </c>
    </row>
    <row r="42" spans="1:37" s="4" customFormat="1" ht="20.100000000000001" customHeight="1" x14ac:dyDescent="0.3">
      <c r="A42" s="9"/>
      <c r="B42" s="7">
        <v>5</v>
      </c>
      <c r="C42" s="8" t="s">
        <v>862</v>
      </c>
      <c r="D42" s="74">
        <f>+D43+D48+D53+D56+D62</f>
        <v>60341</v>
      </c>
      <c r="E42" s="76">
        <f t="shared" ref="E42:AI42" si="20">+E43+E48+E53+E56+E62</f>
        <v>0</v>
      </c>
      <c r="F42" s="74">
        <f t="shared" si="20"/>
        <v>299.42</v>
      </c>
      <c r="G42" s="76">
        <f t="shared" si="20"/>
        <v>0</v>
      </c>
      <c r="H42" s="76">
        <f t="shared" si="20"/>
        <v>0</v>
      </c>
      <c r="I42" s="76">
        <f t="shared" si="20"/>
        <v>0</v>
      </c>
      <c r="J42" s="76">
        <f t="shared" si="20"/>
        <v>0</v>
      </c>
      <c r="K42" s="74">
        <f t="shared" si="20"/>
        <v>0</v>
      </c>
      <c r="L42" s="74">
        <f t="shared" si="20"/>
        <v>602.58000000000004</v>
      </c>
      <c r="M42" s="74">
        <f t="shared" si="20"/>
        <v>8448.5400000000009</v>
      </c>
      <c r="N42" s="74">
        <f t="shared" si="20"/>
        <v>0</v>
      </c>
      <c r="O42" s="76">
        <f t="shared" si="20"/>
        <v>0</v>
      </c>
      <c r="P42" s="76">
        <f t="shared" si="20"/>
        <v>0</v>
      </c>
      <c r="Q42" s="74">
        <f t="shared" si="20"/>
        <v>1910.6899999999998</v>
      </c>
      <c r="R42" s="74">
        <f t="shared" si="20"/>
        <v>0</v>
      </c>
      <c r="S42" s="74">
        <f t="shared" si="20"/>
        <v>35</v>
      </c>
      <c r="T42" s="74">
        <f t="shared" si="20"/>
        <v>0</v>
      </c>
      <c r="U42" s="74">
        <f t="shared" si="20"/>
        <v>0</v>
      </c>
      <c r="V42" s="76">
        <f t="shared" si="20"/>
        <v>0</v>
      </c>
      <c r="W42" s="76">
        <f t="shared" si="20"/>
        <v>0</v>
      </c>
      <c r="X42" s="74">
        <f t="shared" si="20"/>
        <v>0</v>
      </c>
      <c r="Y42" s="74">
        <f t="shared" si="20"/>
        <v>3601.9539999999997</v>
      </c>
      <c r="Z42" s="74">
        <f t="shared" si="20"/>
        <v>552.5</v>
      </c>
      <c r="AA42" s="74">
        <f t="shared" si="20"/>
        <v>4507.9400000000005</v>
      </c>
      <c r="AB42" s="76">
        <f t="shared" si="20"/>
        <v>0</v>
      </c>
      <c r="AC42" s="76">
        <f t="shared" si="20"/>
        <v>0</v>
      </c>
      <c r="AD42" s="76">
        <f t="shared" si="20"/>
        <v>0</v>
      </c>
      <c r="AE42" s="74">
        <f t="shared" si="20"/>
        <v>12878.86</v>
      </c>
      <c r="AF42" s="74">
        <f t="shared" si="20"/>
        <v>0</v>
      </c>
      <c r="AG42" s="74">
        <f t="shared" si="20"/>
        <v>0</v>
      </c>
      <c r="AH42" s="74">
        <f t="shared" si="20"/>
        <v>0</v>
      </c>
      <c r="AI42" s="74">
        <f t="shared" si="20"/>
        <v>422.01</v>
      </c>
      <c r="AJ42" s="61">
        <f t="shared" si="18"/>
        <v>33259.494000000006</v>
      </c>
      <c r="AK42" s="62">
        <f t="shared" si="13"/>
        <v>27081.505999999994</v>
      </c>
    </row>
    <row r="43" spans="1:37" s="21" customFormat="1" ht="20.100000000000001" customHeight="1" outlineLevel="1" x14ac:dyDescent="0.3">
      <c r="A43" s="27"/>
      <c r="B43" s="22"/>
      <c r="C43" s="8" t="s">
        <v>863</v>
      </c>
      <c r="D43" s="80">
        <f>SUM(D44:D47)</f>
        <v>0</v>
      </c>
      <c r="E43" s="76">
        <f t="shared" ref="E43:AI43" si="21">SUM(E44:E47)</f>
        <v>0</v>
      </c>
      <c r="F43" s="74">
        <f t="shared" si="21"/>
        <v>299.42</v>
      </c>
      <c r="G43" s="76">
        <f t="shared" si="21"/>
        <v>0</v>
      </c>
      <c r="H43" s="76">
        <f t="shared" si="21"/>
        <v>0</v>
      </c>
      <c r="I43" s="76">
        <f t="shared" si="21"/>
        <v>0</v>
      </c>
      <c r="J43" s="76">
        <f t="shared" si="21"/>
        <v>0</v>
      </c>
      <c r="K43" s="74">
        <f t="shared" si="21"/>
        <v>0</v>
      </c>
      <c r="L43" s="74">
        <f t="shared" si="21"/>
        <v>0</v>
      </c>
      <c r="M43" s="74">
        <f t="shared" si="21"/>
        <v>0</v>
      </c>
      <c r="N43" s="74">
        <f t="shared" si="21"/>
        <v>0</v>
      </c>
      <c r="O43" s="76">
        <f t="shared" si="21"/>
        <v>0</v>
      </c>
      <c r="P43" s="76">
        <f t="shared" si="21"/>
        <v>0</v>
      </c>
      <c r="Q43" s="74">
        <f t="shared" si="21"/>
        <v>1754.1899999999998</v>
      </c>
      <c r="R43" s="74">
        <f t="shared" si="21"/>
        <v>0</v>
      </c>
      <c r="S43" s="74">
        <f t="shared" si="21"/>
        <v>35</v>
      </c>
      <c r="T43" s="74">
        <f t="shared" si="21"/>
        <v>0</v>
      </c>
      <c r="U43" s="74">
        <f t="shared" si="21"/>
        <v>0</v>
      </c>
      <c r="V43" s="76">
        <f t="shared" si="21"/>
        <v>0</v>
      </c>
      <c r="W43" s="76">
        <f t="shared" si="21"/>
        <v>0</v>
      </c>
      <c r="X43" s="74">
        <f t="shared" si="21"/>
        <v>0</v>
      </c>
      <c r="Y43" s="74">
        <f t="shared" si="21"/>
        <v>315.37</v>
      </c>
      <c r="Z43" s="74">
        <f t="shared" si="21"/>
        <v>552.5</v>
      </c>
      <c r="AA43" s="74">
        <f t="shared" si="21"/>
        <v>4507.9400000000005</v>
      </c>
      <c r="AB43" s="76">
        <f t="shared" si="21"/>
        <v>0</v>
      </c>
      <c r="AC43" s="76">
        <f t="shared" si="21"/>
        <v>0</v>
      </c>
      <c r="AD43" s="76">
        <f t="shared" si="21"/>
        <v>0</v>
      </c>
      <c r="AE43" s="74">
        <f t="shared" si="21"/>
        <v>2756.29</v>
      </c>
      <c r="AF43" s="74">
        <f t="shared" si="21"/>
        <v>0</v>
      </c>
      <c r="AG43" s="74">
        <f t="shared" si="21"/>
        <v>0</v>
      </c>
      <c r="AH43" s="74">
        <f t="shared" si="21"/>
        <v>0</v>
      </c>
      <c r="AI43" s="74">
        <f t="shared" si="21"/>
        <v>0</v>
      </c>
      <c r="AJ43" s="61">
        <f t="shared" si="18"/>
        <v>10220.709999999999</v>
      </c>
      <c r="AK43" s="69">
        <f t="shared" si="13"/>
        <v>-10220.709999999999</v>
      </c>
    </row>
    <row r="44" spans="1:37" s="21" customFormat="1" ht="20.100000000000001" customHeight="1" outlineLevel="2" x14ac:dyDescent="0.3">
      <c r="A44" s="27"/>
      <c r="B44" s="22"/>
      <c r="C44" s="49" t="s">
        <v>422</v>
      </c>
      <c r="D44" s="80"/>
      <c r="E44" s="76">
        <f>SUMIFS(разходи!$L:$L,разходи!$E:$E,'ПП Май'!$C$44,разходи!$M:$M,'ПП Май'!E2)</f>
        <v>0</v>
      </c>
      <c r="F44" s="74">
        <f>SUMIFS(разходи!$L:$L,разходи!$E:$E,'ПП Май'!$C$44,разходи!$M:$M,'ПП Май'!F2)</f>
        <v>299.42</v>
      </c>
      <c r="G44" s="76">
        <f>SUMIFS(разходи!$L:$L,разходи!$E:$E,'ПП Май'!$C$44,разходи!$M:$M,'ПП Май'!G2)</f>
        <v>0</v>
      </c>
      <c r="H44" s="76">
        <f>SUMIFS(разходи!$L:$L,разходи!$E:$E,'ПП Май'!$C$44,разходи!$M:$M,'ПП Май'!H2)</f>
        <v>0</v>
      </c>
      <c r="I44" s="76">
        <f>SUMIFS(разходи!$L:$L,разходи!$E:$E,'ПП Май'!$C$44,разходи!$M:$M,'ПП Май'!I2)</f>
        <v>0</v>
      </c>
      <c r="J44" s="76">
        <f>SUMIFS(разходи!$L:$L,разходи!$E:$E,'ПП Май'!$C$44,разходи!$M:$M,'ПП Май'!J2)</f>
        <v>0</v>
      </c>
      <c r="K44" s="74">
        <f>SUMIFS(разходи!$L:$L,разходи!$E:$E,'ПП Май'!$C$44,разходи!$M:$M,'ПП Май'!K2)</f>
        <v>0</v>
      </c>
      <c r="L44" s="74">
        <f>SUMIFS(разходи!$L:$L,разходи!$E:$E,'ПП Май'!$C$44,разходи!$M:$M,'ПП Май'!L2)</f>
        <v>0</v>
      </c>
      <c r="M44" s="74">
        <f>SUMIFS(разходи!$L:$L,разходи!$E:$E,'ПП Май'!$C$44,разходи!$M:$M,'ПП Май'!M2)</f>
        <v>0</v>
      </c>
      <c r="N44" s="74">
        <f>SUMIFS(разходи!$L:$L,разходи!$E:$E,'ПП Май'!$C$44,разходи!$M:$M,'ПП Май'!N2)</f>
        <v>0</v>
      </c>
      <c r="O44" s="76">
        <f>SUMIFS(разходи!$L:$L,разходи!$E:$E,'ПП Май'!$C$44,разходи!$M:$M,'ПП Май'!O2)</f>
        <v>0</v>
      </c>
      <c r="P44" s="76">
        <f>SUMIFS(разходи!$L:$L,разходи!$E:$E,'ПП Май'!$C$44,разходи!$M:$M,'ПП Май'!P2)</f>
        <v>0</v>
      </c>
      <c r="Q44" s="74">
        <f>SUMIFS(разходи!$L:$L,разходи!$E:$E,'ПП Май'!$C$44,разходи!$M:$M,'ПП Май'!Q2)</f>
        <v>0</v>
      </c>
      <c r="R44" s="74">
        <f>SUMIFS(разходи!$L:$L,разходи!$E:$E,'ПП Май'!$C$44,разходи!$M:$M,'ПП Май'!R2)</f>
        <v>0</v>
      </c>
      <c r="S44" s="74">
        <f>SUMIFS(разходи!$L:$L,разходи!$E:$E,'ПП Май'!$C$44,разходи!$M:$M,'ПП Май'!S2)</f>
        <v>35</v>
      </c>
      <c r="T44" s="74">
        <f>SUMIFS(разходи!$L:$L,разходи!$E:$E,'ПП Май'!$C$44,разходи!$M:$M,'ПП Май'!T2)</f>
        <v>0</v>
      </c>
      <c r="U44" s="74">
        <f>SUMIFS(разходи!$L:$L,разходи!$E:$E,'ПП Май'!$C$44,разходи!$M:$M,'ПП Май'!U2)</f>
        <v>0</v>
      </c>
      <c r="V44" s="76">
        <f>SUMIFS(разходи!$L:$L,разходи!$E:$E,'ПП Май'!$C$44,разходи!$M:$M,'ПП Май'!V2)</f>
        <v>0</v>
      </c>
      <c r="W44" s="76">
        <f>SUMIFS(разходи!$L:$L,разходи!$E:$E,'ПП Май'!$C$44,разходи!$M:$M,'ПП Май'!W2)</f>
        <v>0</v>
      </c>
      <c r="X44" s="74">
        <f>SUMIFS(разходи!$L:$L,разходи!$E:$E,'ПП Май'!$C$44,разходи!$M:$M,'ПП Май'!X2)</f>
        <v>0</v>
      </c>
      <c r="Y44" s="74">
        <f>SUMIFS(разходи!$L:$L,разходи!$E:$E,'ПП Май'!$C$44,разходи!$M:$M,'ПП Май'!Y2)</f>
        <v>315.37</v>
      </c>
      <c r="Z44" s="74">
        <f>SUMIFS(разходи!$L:$L,разходи!$E:$E,'ПП Май'!$C$44,разходи!$M:$M,'ПП Май'!Z2)</f>
        <v>552.5</v>
      </c>
      <c r="AA44" s="74">
        <f>SUMIFS(разходи!$L:$L,разходи!$E:$E,'ПП Май'!$C$44,разходи!$M:$M,'ПП Май'!AA2)</f>
        <v>4507.9400000000005</v>
      </c>
      <c r="AB44" s="76">
        <f>SUMIFS(разходи!$L:$L,разходи!$E:$E,'ПП Май'!$C$44,разходи!$M:$M,'ПП Май'!AB2)</f>
        <v>0</v>
      </c>
      <c r="AC44" s="76">
        <f>SUMIFS(разходи!$L:$L,разходи!$E:$E,'ПП Май'!$C$44,разходи!$M:$M,'ПП Май'!AC2)</f>
        <v>0</v>
      </c>
      <c r="AD44" s="76">
        <f>SUMIFS(разходи!$L:$L,разходи!$E:$E,'ПП Май'!$C$44,разходи!$M:$M,'ПП Май'!AD2)</f>
        <v>0</v>
      </c>
      <c r="AE44" s="74">
        <f>SUMIFS(разходи!$L:$L,разходи!$E:$E,'ПП Май'!$C$44,разходи!$M:$M,'ПП Май'!AE2)</f>
        <v>0</v>
      </c>
      <c r="AF44" s="74">
        <f>SUMIFS(разходи!$L:$L,разходи!$E:$E,'ПП Май'!$C$44,разходи!$M:$M,'ПП Май'!AF2)</f>
        <v>0</v>
      </c>
      <c r="AG44" s="74">
        <f>SUMIFS(разходи!$L:$L,разходи!$E:$E,'ПП Май'!$C$44,разходи!$M:$M,'ПП Май'!AG2)</f>
        <v>0</v>
      </c>
      <c r="AH44" s="74">
        <f>SUMIFS(разходи!$L:$L,разходи!$E:$E,'ПП Май'!$C$44,разходи!$M:$M,'ПП Май'!AH2)</f>
        <v>0</v>
      </c>
      <c r="AI44" s="74">
        <f>SUMIFS(разходи!$L:$L,разходи!$E:$E,'ПП Май'!$C$44,разходи!$M:$M,'ПП Май'!AI2)</f>
        <v>0</v>
      </c>
      <c r="AJ44" s="61">
        <f t="shared" si="18"/>
        <v>5710.2300000000005</v>
      </c>
      <c r="AK44" s="69">
        <f t="shared" si="13"/>
        <v>-5710.2300000000005</v>
      </c>
    </row>
    <row r="45" spans="1:37" s="21" customFormat="1" ht="20.10000000000000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Май'!$C$45,разходи!$M:$M,'ПП Май'!E2)</f>
        <v>0</v>
      </c>
      <c r="F45" s="74">
        <f>SUMIFS(разходи!$L:$L,разходи!$E:$E,'ПП Май'!$C$45,разходи!$M:$M,'ПП Май'!F2)</f>
        <v>0</v>
      </c>
      <c r="G45" s="76">
        <f>SUMIFS(разходи!$L:$L,разходи!$E:$E,'ПП Май'!$C$45,разходи!$M:$M,'ПП Май'!G2)</f>
        <v>0</v>
      </c>
      <c r="H45" s="76">
        <f>SUMIFS(разходи!$L:$L,разходи!$E:$E,'ПП Май'!$C$45,разходи!$M:$M,'ПП Май'!H2)</f>
        <v>0</v>
      </c>
      <c r="I45" s="76">
        <f>SUMIFS(разходи!$L:$L,разходи!$E:$E,'ПП Май'!$C$45,разходи!$M:$M,'ПП Май'!I2)</f>
        <v>0</v>
      </c>
      <c r="J45" s="76">
        <f>SUMIFS(разходи!$L:$L,разходи!$E:$E,'ПП Май'!$C$45,разходи!$M:$M,'ПП Май'!J2)</f>
        <v>0</v>
      </c>
      <c r="K45" s="74">
        <f>SUMIFS(разходи!$L:$L,разходи!$E:$E,'ПП Май'!$C$45,разходи!$M:$M,'ПП Май'!K2)</f>
        <v>0</v>
      </c>
      <c r="L45" s="74">
        <f>SUMIFS(разходи!$L:$L,разходи!$E:$E,'ПП Май'!$C$45,разходи!$M:$M,'ПП Май'!L2)</f>
        <v>0</v>
      </c>
      <c r="M45" s="74">
        <f>SUMIFS(разходи!$L:$L,разходи!$E:$E,'ПП Май'!$C$45,разходи!$M:$M,'ПП Май'!M2)</f>
        <v>0</v>
      </c>
      <c r="N45" s="74">
        <f>SUMIFS(разходи!$L:$L,разходи!$E:$E,'ПП Май'!$C$45,разходи!$M:$M,'ПП Май'!N2)</f>
        <v>0</v>
      </c>
      <c r="O45" s="76">
        <f>SUMIFS(разходи!$L:$L,разходи!$E:$E,'ПП Май'!$C$45,разходи!$M:$M,'ПП Май'!O2)</f>
        <v>0</v>
      </c>
      <c r="P45" s="76">
        <f>SUMIFS(разходи!$L:$L,разходи!$E:$E,'ПП Май'!$C$45,разходи!$M:$M,'ПП Май'!P2)</f>
        <v>0</v>
      </c>
      <c r="Q45" s="74">
        <f>SUMIFS(разходи!$L:$L,разходи!$E:$E,'ПП Май'!$C$45,разходи!$M:$M,'ПП Май'!Q2)</f>
        <v>1698.07</v>
      </c>
      <c r="R45" s="74">
        <f>SUMIFS(разходи!$L:$L,разходи!$E:$E,'ПП Май'!$C$45,разходи!$M:$M,'ПП Май'!R2)</f>
        <v>0</v>
      </c>
      <c r="S45" s="74">
        <f>SUMIFS(разходи!$L:$L,разходи!$E:$E,'ПП Май'!$C$45,разходи!$M:$M,'ПП Май'!S2)</f>
        <v>0</v>
      </c>
      <c r="T45" s="74">
        <f>SUMIFS(разходи!$L:$L,разходи!$E:$E,'ПП Май'!$C$45,разходи!$M:$M,'ПП Май'!T2)</f>
        <v>0</v>
      </c>
      <c r="U45" s="74">
        <f>SUMIFS(разходи!$L:$L,разходи!$E:$E,'ПП Май'!$C$45,разходи!$M:$M,'ПП Май'!U2)</f>
        <v>0</v>
      </c>
      <c r="V45" s="76">
        <f>SUMIFS(разходи!$L:$L,разходи!$E:$E,'ПП Май'!$C$45,разходи!$M:$M,'ПП Май'!V2)</f>
        <v>0</v>
      </c>
      <c r="W45" s="76">
        <f>SUMIFS(разходи!$L:$L,разходи!$E:$E,'ПП Май'!$C$45,разходи!$M:$M,'ПП Май'!W2)</f>
        <v>0</v>
      </c>
      <c r="X45" s="74">
        <f>SUMIFS(разходи!$L:$L,разходи!$E:$E,'ПП Май'!$C$45,разходи!$M:$M,'ПП Май'!X2)</f>
        <v>0</v>
      </c>
      <c r="Y45" s="74">
        <f>SUMIFS(разходи!$L:$L,разходи!$E:$E,'ПП Май'!$C$45,разходи!$M:$M,'ПП Май'!Y2)</f>
        <v>0</v>
      </c>
      <c r="Z45" s="74">
        <f>SUMIFS(разходи!$L:$L,разходи!$E:$E,'ПП Май'!$C$45,разходи!$M:$M,'ПП Май'!Z2)</f>
        <v>0</v>
      </c>
      <c r="AA45" s="74">
        <f>SUMIFS(разходи!$L:$L,разходи!$E:$E,'ПП Май'!$C$45,разходи!$M:$M,'ПП Май'!AA2)</f>
        <v>0</v>
      </c>
      <c r="AB45" s="76">
        <f>SUMIFS(разходи!$L:$L,разходи!$E:$E,'ПП Май'!$C$45,разходи!$M:$M,'ПП Май'!AB2)</f>
        <v>0</v>
      </c>
      <c r="AC45" s="76">
        <f>SUMIFS(разходи!$L:$L,разходи!$E:$E,'ПП Май'!$C$45,разходи!$M:$M,'ПП Май'!AC2)</f>
        <v>0</v>
      </c>
      <c r="AD45" s="76">
        <f>SUMIFS(разходи!$L:$L,разходи!$E:$E,'ПП Май'!$C$45,разходи!$M:$M,'ПП Май'!AD2)</f>
        <v>0</v>
      </c>
      <c r="AE45" s="74">
        <f>SUMIFS(разходи!$L:$L,разходи!$E:$E,'ПП Май'!$C$45,разходи!$M:$M,'ПП Май'!AE2)</f>
        <v>2756.29</v>
      </c>
      <c r="AF45" s="74">
        <f>SUMIFS(разходи!$L:$L,разходи!$E:$E,'ПП Май'!$C$45,разходи!$M:$M,'ПП Май'!AF2)</f>
        <v>0</v>
      </c>
      <c r="AG45" s="74">
        <f>SUMIFS(разходи!$L:$L,разходи!$E:$E,'ПП Май'!$C$45,разходи!$M:$M,'ПП Май'!AG2)</f>
        <v>0</v>
      </c>
      <c r="AH45" s="74">
        <f>SUMIFS(разходи!$L:$L,разходи!$E:$E,'ПП Май'!$C$45,разходи!$M:$M,'ПП Май'!AH2)</f>
        <v>0</v>
      </c>
      <c r="AI45" s="74">
        <f>SUMIFS(разходи!$L:$L,разходи!$E:$E,'ПП Май'!$C$45,разходи!$M:$M,'ПП Май'!AI2)</f>
        <v>0</v>
      </c>
      <c r="AJ45" s="61">
        <f t="shared" si="18"/>
        <v>4454.3599999999997</v>
      </c>
      <c r="AK45" s="69">
        <f t="shared" si="13"/>
        <v>-4454.3599999999997</v>
      </c>
    </row>
    <row r="46" spans="1:37" s="21" customFormat="1" ht="20.10000000000000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Май'!$C$46,разходи!$M:$M,'ПП Май'!E2)</f>
        <v>0</v>
      </c>
      <c r="F46" s="74">
        <f>SUMIFS(разходи!$L:$L,разходи!$E:$E,'ПП Май'!$C$46,разходи!$M:$M,'ПП Май'!F2)</f>
        <v>0</v>
      </c>
      <c r="G46" s="76">
        <f>SUMIFS(разходи!$L:$L,разходи!$E:$E,'ПП Май'!$C$46,разходи!$M:$M,'ПП Май'!G2)</f>
        <v>0</v>
      </c>
      <c r="H46" s="76">
        <f>SUMIFS(разходи!$L:$L,разходи!$E:$E,'ПП Май'!$C$46,разходи!$M:$M,'ПП Май'!H2)</f>
        <v>0</v>
      </c>
      <c r="I46" s="76">
        <f>SUMIFS(разходи!$L:$L,разходи!$E:$E,'ПП Май'!$C$46,разходи!$M:$M,'ПП Май'!I2)</f>
        <v>0</v>
      </c>
      <c r="J46" s="76">
        <f>SUMIFS(разходи!$L:$L,разходи!$E:$E,'ПП Май'!$C$46,разходи!$M:$M,'ПП Май'!J2)</f>
        <v>0</v>
      </c>
      <c r="K46" s="74">
        <f>SUMIFS(разходи!$L:$L,разходи!$E:$E,'ПП Май'!$C$46,разходи!$M:$M,'ПП Май'!K2)</f>
        <v>0</v>
      </c>
      <c r="L46" s="74">
        <f>SUMIFS(разходи!$L:$L,разходи!$E:$E,'ПП Май'!$C$46,разходи!$M:$M,'ПП Май'!L2)</f>
        <v>0</v>
      </c>
      <c r="M46" s="74">
        <f>SUMIFS(разходи!$L:$L,разходи!$E:$E,'ПП Май'!$C$46,разходи!$M:$M,'ПП Май'!M2)</f>
        <v>0</v>
      </c>
      <c r="N46" s="74">
        <f>SUMIFS(разходи!$L:$L,разходи!$E:$E,'ПП Май'!$C$46,разходи!$M:$M,'ПП Май'!N2)</f>
        <v>0</v>
      </c>
      <c r="O46" s="76">
        <f>SUMIFS(разходи!$L:$L,разходи!$E:$E,'ПП Май'!$C$46,разходи!$M:$M,'ПП Май'!O2)</f>
        <v>0</v>
      </c>
      <c r="P46" s="76">
        <f>SUMIFS(разходи!$L:$L,разходи!$E:$E,'ПП Май'!$C$46,разходи!$M:$M,'ПП Май'!P2)</f>
        <v>0</v>
      </c>
      <c r="Q46" s="74">
        <f>SUMIFS(разходи!$L:$L,разходи!$E:$E,'ПП Май'!$C$46,разходи!$M:$M,'ПП Май'!Q2)</f>
        <v>56.12</v>
      </c>
      <c r="R46" s="74">
        <f>SUMIFS(разходи!$L:$L,разходи!$E:$E,'ПП Май'!$C$46,разходи!$M:$M,'ПП Май'!R2)</f>
        <v>0</v>
      </c>
      <c r="S46" s="74">
        <f>SUMIFS(разходи!$L:$L,разходи!$E:$E,'ПП Май'!$C$46,разходи!$M:$M,'ПП Май'!S2)</f>
        <v>0</v>
      </c>
      <c r="T46" s="74">
        <f>SUMIFS(разходи!$L:$L,разходи!$E:$E,'ПП Май'!$C$46,разходи!$M:$M,'ПП Май'!T2)</f>
        <v>0</v>
      </c>
      <c r="U46" s="74">
        <f>SUMIFS(разходи!$L:$L,разходи!$E:$E,'ПП Май'!$C$46,разходи!$M:$M,'ПП Май'!U2)</f>
        <v>0</v>
      </c>
      <c r="V46" s="76">
        <f>SUMIFS(разходи!$L:$L,разходи!$E:$E,'ПП Май'!$C$46,разходи!$M:$M,'ПП Май'!V2)</f>
        <v>0</v>
      </c>
      <c r="W46" s="76">
        <f>SUMIFS(разходи!$L:$L,разходи!$E:$E,'ПП Май'!$C$46,разходи!$M:$M,'ПП Май'!W2)</f>
        <v>0</v>
      </c>
      <c r="X46" s="74">
        <f>SUMIFS(разходи!$L:$L,разходи!$E:$E,'ПП Май'!$C$46,разходи!$M:$M,'ПП Май'!X2)</f>
        <v>0</v>
      </c>
      <c r="Y46" s="74">
        <f>SUMIFS(разходи!$L:$L,разходи!$E:$E,'ПП Май'!$C$46,разходи!$M:$M,'ПП Май'!Y2)</f>
        <v>0</v>
      </c>
      <c r="Z46" s="74">
        <f>SUMIFS(разходи!$L:$L,разходи!$E:$E,'ПП Май'!$C$46,разходи!$M:$M,'ПП Май'!Z2)</f>
        <v>0</v>
      </c>
      <c r="AA46" s="74">
        <f>SUMIFS(разходи!$L:$L,разходи!$E:$E,'ПП Май'!$C$46,разходи!$M:$M,'ПП Май'!AA2)</f>
        <v>0</v>
      </c>
      <c r="AB46" s="76">
        <f>SUMIFS(разходи!$L:$L,разходи!$E:$E,'ПП Май'!$C$46,разходи!$M:$M,'ПП Май'!AB2)</f>
        <v>0</v>
      </c>
      <c r="AC46" s="76">
        <f>SUMIFS(разходи!$L:$L,разходи!$E:$E,'ПП Май'!$C$46,разходи!$M:$M,'ПП Май'!AC2)</f>
        <v>0</v>
      </c>
      <c r="AD46" s="76">
        <f>SUMIFS(разходи!$L:$L,разходи!$E:$E,'ПП Май'!$C$46,разходи!$M:$M,'ПП Май'!AD2)</f>
        <v>0</v>
      </c>
      <c r="AE46" s="74">
        <f>SUMIFS(разходи!$L:$L,разходи!$E:$E,'ПП Май'!$C$46,разходи!$M:$M,'ПП Май'!AE2)</f>
        <v>0</v>
      </c>
      <c r="AF46" s="74">
        <f>SUMIFS(разходи!$L:$L,разходи!$E:$E,'ПП Май'!$C$46,разходи!$M:$M,'ПП Май'!AF2)</f>
        <v>0</v>
      </c>
      <c r="AG46" s="74">
        <f>SUMIFS(разходи!$L:$L,разходи!$E:$E,'ПП Май'!$C$46,разходи!$M:$M,'ПП Май'!AG2)</f>
        <v>0</v>
      </c>
      <c r="AH46" s="74">
        <f>SUMIFS(разходи!$L:$L,разходи!$E:$E,'ПП Май'!$C$46,разходи!$M:$M,'ПП Май'!AH2)</f>
        <v>0</v>
      </c>
      <c r="AI46" s="74">
        <f>SUMIFS(разходи!$L:$L,разходи!$E:$E,'ПП Май'!$C$46,разходи!$M:$M,'ПП Май'!AI2)</f>
        <v>0</v>
      </c>
      <c r="AJ46" s="61">
        <f t="shared" si="18"/>
        <v>56.12</v>
      </c>
      <c r="AK46" s="69">
        <f t="shared" si="13"/>
        <v>-56.12</v>
      </c>
    </row>
    <row r="47" spans="1:37" s="21" customFormat="1" ht="20.10000000000000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Май'!$C$47,разходи!$M:$M,'ПП Май'!E2)</f>
        <v>0</v>
      </c>
      <c r="F47" s="74">
        <f>SUMIFS(разходи!$L:$L,разходи!$E:$E,'ПП Май'!$C$47,разходи!$M:$M,'ПП Май'!F2)</f>
        <v>0</v>
      </c>
      <c r="G47" s="76">
        <f>SUMIFS(разходи!$L:$L,разходи!$E:$E,'ПП Май'!$C$47,разходи!$M:$M,'ПП Май'!G2)</f>
        <v>0</v>
      </c>
      <c r="H47" s="76">
        <f>SUMIFS(разходи!$L:$L,разходи!$E:$E,'ПП Май'!$C$47,разходи!$M:$M,'ПП Май'!H2)</f>
        <v>0</v>
      </c>
      <c r="I47" s="76">
        <f>SUMIFS(разходи!$L:$L,разходи!$E:$E,'ПП Май'!$C$47,разходи!$M:$M,'ПП Май'!I2)</f>
        <v>0</v>
      </c>
      <c r="J47" s="76">
        <f>SUMIFS(разходи!$L:$L,разходи!$E:$E,'ПП Май'!$C$47,разходи!$M:$M,'ПП Май'!J2)</f>
        <v>0</v>
      </c>
      <c r="K47" s="74">
        <f>SUMIFS(разходи!$L:$L,разходи!$E:$E,'ПП Май'!$C$47,разходи!$M:$M,'ПП Май'!K2)</f>
        <v>0</v>
      </c>
      <c r="L47" s="74">
        <f>SUMIFS(разходи!$L:$L,разходи!$E:$E,'ПП Май'!$C$47,разходи!$M:$M,'ПП Май'!L2)</f>
        <v>0</v>
      </c>
      <c r="M47" s="74">
        <f>SUMIFS(разходи!$L:$L,разходи!$E:$E,'ПП Май'!$C$47,разходи!$M:$M,'ПП Май'!M2)</f>
        <v>0</v>
      </c>
      <c r="N47" s="74">
        <f>SUMIFS(разходи!$L:$L,разходи!$E:$E,'ПП Май'!$C$47,разходи!$M:$M,'ПП Май'!N2)</f>
        <v>0</v>
      </c>
      <c r="O47" s="76">
        <f>SUMIFS(разходи!$L:$L,разходи!$E:$E,'ПП Май'!$C$47,разходи!$M:$M,'ПП Май'!O2)</f>
        <v>0</v>
      </c>
      <c r="P47" s="76">
        <f>SUMIFS(разходи!$L:$L,разходи!$E:$E,'ПП Май'!$C$47,разходи!$M:$M,'ПП Май'!P2)</f>
        <v>0</v>
      </c>
      <c r="Q47" s="74">
        <f>SUMIFS(разходи!$L:$L,разходи!$E:$E,'ПП Май'!$C$47,разходи!$M:$M,'ПП Май'!Q2)</f>
        <v>0</v>
      </c>
      <c r="R47" s="74">
        <f>SUMIFS(разходи!$L:$L,разходи!$E:$E,'ПП Май'!$C$47,разходи!$M:$M,'ПП Май'!R2)</f>
        <v>0</v>
      </c>
      <c r="S47" s="74">
        <f>SUMIFS(разходи!$L:$L,разходи!$E:$E,'ПП Май'!$C$47,разходи!$M:$M,'ПП Май'!S2)</f>
        <v>0</v>
      </c>
      <c r="T47" s="74">
        <f>SUMIFS(разходи!$L:$L,разходи!$E:$E,'ПП Май'!$C$47,разходи!$M:$M,'ПП Май'!T2)</f>
        <v>0</v>
      </c>
      <c r="U47" s="74">
        <f>SUMIFS(разходи!$L:$L,разходи!$E:$E,'ПП Май'!$C$47,разходи!$M:$M,'ПП Май'!U2)</f>
        <v>0</v>
      </c>
      <c r="V47" s="76">
        <f>SUMIFS(разходи!$L:$L,разходи!$E:$E,'ПП Май'!$C$47,разходи!$M:$M,'ПП Май'!V2)</f>
        <v>0</v>
      </c>
      <c r="W47" s="76">
        <f>SUMIFS(разходи!$L:$L,разходи!$E:$E,'ПП Май'!$C$47,разходи!$M:$M,'ПП Май'!W2)</f>
        <v>0</v>
      </c>
      <c r="X47" s="74">
        <f>SUMIFS(разходи!$L:$L,разходи!$E:$E,'ПП Май'!$C$47,разходи!$M:$M,'ПП Май'!X2)</f>
        <v>0</v>
      </c>
      <c r="Y47" s="74">
        <f>SUMIFS(разходи!$L:$L,разходи!$E:$E,'ПП Май'!$C$47,разходи!$M:$M,'ПП Май'!Y2)</f>
        <v>0</v>
      </c>
      <c r="Z47" s="74">
        <f>SUMIFS(разходи!$L:$L,разходи!$E:$E,'ПП Май'!$C$47,разходи!$M:$M,'ПП Май'!Z2)</f>
        <v>0</v>
      </c>
      <c r="AA47" s="74">
        <f>SUMIFS(разходи!$L:$L,разходи!$E:$E,'ПП Май'!$C$47,разходи!$M:$M,'ПП Май'!AA2)</f>
        <v>0</v>
      </c>
      <c r="AB47" s="76">
        <f>SUMIFS(разходи!$L:$L,разходи!$E:$E,'ПП Май'!$C$47,разходи!$M:$M,'ПП Май'!AB2)</f>
        <v>0</v>
      </c>
      <c r="AC47" s="76">
        <f>SUMIFS(разходи!$L:$L,разходи!$E:$E,'ПП Май'!$C$47,разходи!$M:$M,'ПП Май'!AC2)</f>
        <v>0</v>
      </c>
      <c r="AD47" s="76">
        <f>SUMIFS(разходи!$L:$L,разходи!$E:$E,'ПП Май'!$C$47,разходи!$M:$M,'ПП Май'!AD2)</f>
        <v>0</v>
      </c>
      <c r="AE47" s="74">
        <f>SUMIFS(разходи!$L:$L,разходи!$E:$E,'ПП Май'!$C$47,разходи!$M:$M,'ПП Май'!AE2)</f>
        <v>0</v>
      </c>
      <c r="AF47" s="74">
        <f>SUMIFS(разходи!$L:$L,разходи!$E:$E,'ПП Май'!$C$47,разходи!$M:$M,'ПП Май'!AF2)</f>
        <v>0</v>
      </c>
      <c r="AG47" s="74">
        <f>SUMIFS(разходи!$L:$L,разходи!$E:$E,'ПП Май'!$C$47,разходи!$M:$M,'ПП Май'!AG2)</f>
        <v>0</v>
      </c>
      <c r="AH47" s="74">
        <f>SUMIFS(разходи!$L:$L,разходи!$E:$E,'ПП Май'!$C$47,разходи!$M:$M,'ПП Май'!AH2)</f>
        <v>0</v>
      </c>
      <c r="AI47" s="74">
        <f>SUMIFS(разходи!$L:$L,разходи!$E:$E,'ПП Май'!$C$47,разходи!$M:$M,'ПП Май'!AI2)</f>
        <v>0</v>
      </c>
      <c r="AJ47" s="61">
        <f t="shared" si="18"/>
        <v>0</v>
      </c>
      <c r="AK47" s="69">
        <f t="shared" si="13"/>
        <v>0</v>
      </c>
    </row>
    <row r="48" spans="1:37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11141</v>
      </c>
      <c r="E48" s="76">
        <f t="shared" ref="E48:AI48" si="22">SUM(E49:E52)</f>
        <v>0</v>
      </c>
      <c r="F48" s="74">
        <f t="shared" si="22"/>
        <v>0</v>
      </c>
      <c r="G48" s="76">
        <f t="shared" si="22"/>
        <v>0</v>
      </c>
      <c r="H48" s="76">
        <f t="shared" si="22"/>
        <v>0</v>
      </c>
      <c r="I48" s="76">
        <f t="shared" si="22"/>
        <v>0</v>
      </c>
      <c r="J48" s="76">
        <f t="shared" si="22"/>
        <v>0</v>
      </c>
      <c r="K48" s="74">
        <f t="shared" si="22"/>
        <v>0</v>
      </c>
      <c r="L48" s="74">
        <f t="shared" si="22"/>
        <v>602.58000000000004</v>
      </c>
      <c r="M48" s="74">
        <f t="shared" si="22"/>
        <v>8448.5400000000009</v>
      </c>
      <c r="N48" s="74">
        <f t="shared" si="22"/>
        <v>0</v>
      </c>
      <c r="O48" s="76">
        <f t="shared" si="22"/>
        <v>0</v>
      </c>
      <c r="P48" s="76">
        <f t="shared" si="22"/>
        <v>0</v>
      </c>
      <c r="Q48" s="74">
        <f t="shared" si="22"/>
        <v>156.5</v>
      </c>
      <c r="R48" s="74">
        <f t="shared" si="22"/>
        <v>0</v>
      </c>
      <c r="S48" s="74">
        <f t="shared" si="22"/>
        <v>0</v>
      </c>
      <c r="T48" s="74">
        <f t="shared" si="22"/>
        <v>0</v>
      </c>
      <c r="U48" s="74">
        <f t="shared" si="22"/>
        <v>0</v>
      </c>
      <c r="V48" s="76">
        <f t="shared" si="22"/>
        <v>0</v>
      </c>
      <c r="W48" s="76">
        <f t="shared" si="22"/>
        <v>0</v>
      </c>
      <c r="X48" s="74">
        <f t="shared" si="22"/>
        <v>0</v>
      </c>
      <c r="Y48" s="74">
        <f t="shared" si="22"/>
        <v>0</v>
      </c>
      <c r="Z48" s="74">
        <f t="shared" si="22"/>
        <v>0</v>
      </c>
      <c r="AA48" s="74">
        <f t="shared" si="22"/>
        <v>0</v>
      </c>
      <c r="AB48" s="76">
        <f t="shared" si="22"/>
        <v>0</v>
      </c>
      <c r="AC48" s="76">
        <f t="shared" si="22"/>
        <v>0</v>
      </c>
      <c r="AD48" s="76">
        <f t="shared" si="22"/>
        <v>0</v>
      </c>
      <c r="AE48" s="74">
        <f t="shared" si="22"/>
        <v>0</v>
      </c>
      <c r="AF48" s="74">
        <f t="shared" si="22"/>
        <v>0</v>
      </c>
      <c r="AG48" s="74">
        <f t="shared" si="22"/>
        <v>0</v>
      </c>
      <c r="AH48" s="74">
        <f t="shared" si="22"/>
        <v>0</v>
      </c>
      <c r="AI48" s="74">
        <f t="shared" si="22"/>
        <v>0</v>
      </c>
      <c r="AJ48" s="61">
        <f t="shared" si="18"/>
        <v>9207.6200000000008</v>
      </c>
      <c r="AK48" s="69">
        <f t="shared" si="13"/>
        <v>1933.3799999999992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>
        <f>204+591+3744+5308+1294</f>
        <v>11141</v>
      </c>
      <c r="E49" s="76">
        <f>SUMIFS(разходи!$L:$L,разходи!$E:$E,'ПП Май'!$C$49,разходи!$M:$M,'ПП Май'!E2)</f>
        <v>0</v>
      </c>
      <c r="F49" s="74">
        <f>SUMIFS(разходи!$L:$L,разходи!$E:$E,'ПП Май'!$C$49,разходи!$M:$M,'ПП Май'!F2)</f>
        <v>0</v>
      </c>
      <c r="G49" s="76">
        <f>SUMIFS(разходи!$L:$L,разходи!$E:$E,'ПП Май'!$C$49,разходи!$M:$M,'ПП Май'!G2)</f>
        <v>0</v>
      </c>
      <c r="H49" s="76">
        <f>SUMIFS(разходи!$L:$L,разходи!$E:$E,'ПП Май'!$C$49,разходи!$M:$M,'ПП Май'!H2)</f>
        <v>0</v>
      </c>
      <c r="I49" s="76">
        <f>SUMIFS(разходи!$L:$L,разходи!$E:$E,'ПП Май'!$C$49,разходи!$M:$M,'ПП Май'!I2)</f>
        <v>0</v>
      </c>
      <c r="J49" s="76">
        <f>SUMIFS(разходи!$L:$L,разходи!$E:$E,'ПП Май'!$C$49,разходи!$M:$M,'ПП Май'!J2)</f>
        <v>0</v>
      </c>
      <c r="K49" s="74">
        <f>SUMIFS(разходи!$L:$L,разходи!$E:$E,'ПП Май'!$C$49,разходи!$M:$M,'ПП Май'!K2)</f>
        <v>0</v>
      </c>
      <c r="L49" s="74">
        <f>SUMIFS(разходи!$L:$L,разходи!$E:$E,'ПП Май'!$C$49,разходи!$M:$M,'ПП Май'!L2)</f>
        <v>602.58000000000004</v>
      </c>
      <c r="M49" s="74">
        <f>SUMIFS(разходи!$L:$L,разходи!$E:$E,'ПП Май'!$C$49,разходи!$M:$M,'ПП Май'!M2)</f>
        <v>8448.5400000000009</v>
      </c>
      <c r="N49" s="74">
        <f>SUMIFS(разходи!$L:$L,разходи!$E:$E,'ПП Май'!$C$49,разходи!$M:$M,'ПП Май'!N2)</f>
        <v>0</v>
      </c>
      <c r="O49" s="76">
        <f>SUMIFS(разходи!$L:$L,разходи!$E:$E,'ПП Май'!$C$49,разходи!$M:$M,'ПП Май'!O2)</f>
        <v>0</v>
      </c>
      <c r="P49" s="76">
        <f>SUMIFS(разходи!$L:$L,разходи!$E:$E,'ПП Май'!$C$49,разходи!$M:$M,'ПП Май'!P2)</f>
        <v>0</v>
      </c>
      <c r="Q49" s="74">
        <f>SUMIFS(разходи!$L:$L,разходи!$E:$E,'ПП Май'!$C$49,разходи!$M:$M,'ПП Май'!Q2)</f>
        <v>0</v>
      </c>
      <c r="R49" s="74">
        <f>SUMIFS(разходи!$L:$L,разходи!$E:$E,'ПП Май'!$C$49,разходи!$M:$M,'ПП Май'!R2)</f>
        <v>0</v>
      </c>
      <c r="S49" s="74">
        <f>SUMIFS(разходи!$L:$L,разходи!$E:$E,'ПП Май'!$C$49,разходи!$M:$M,'ПП Май'!S2)</f>
        <v>0</v>
      </c>
      <c r="T49" s="74">
        <f>SUMIFS(разходи!$L:$L,разходи!$E:$E,'ПП Май'!$C$49,разходи!$M:$M,'ПП Май'!T2)</f>
        <v>0</v>
      </c>
      <c r="U49" s="74">
        <f>SUMIFS(разходи!$L:$L,разходи!$E:$E,'ПП Май'!$C$49,разходи!$M:$M,'ПП Май'!U2)</f>
        <v>0</v>
      </c>
      <c r="V49" s="76">
        <f>SUMIFS(разходи!$L:$L,разходи!$E:$E,'ПП Май'!$C$49,разходи!$M:$M,'ПП Май'!V2)</f>
        <v>0</v>
      </c>
      <c r="W49" s="76">
        <f>SUMIFS(разходи!$L:$L,разходи!$E:$E,'ПП Май'!$C$49,разходи!$M:$M,'ПП Май'!W2)</f>
        <v>0</v>
      </c>
      <c r="X49" s="74">
        <f>SUMIFS(разходи!$L:$L,разходи!$E:$E,'ПП Май'!$C$49,разходи!$M:$M,'ПП Май'!X2)</f>
        <v>0</v>
      </c>
      <c r="Y49" s="74">
        <f>SUMIFS(разходи!$L:$L,разходи!$E:$E,'ПП Май'!$C$49,разходи!$M:$M,'ПП Май'!Y2)</f>
        <v>0</v>
      </c>
      <c r="Z49" s="74">
        <f>SUMIFS(разходи!$L:$L,разходи!$E:$E,'ПП Май'!$C$49,разходи!$M:$M,'ПП Май'!Z2)</f>
        <v>0</v>
      </c>
      <c r="AA49" s="74">
        <f>SUMIFS(разходи!$L:$L,разходи!$E:$E,'ПП Май'!$C$49,разходи!$M:$M,'ПП Май'!AA2)</f>
        <v>0</v>
      </c>
      <c r="AB49" s="76">
        <f>SUMIFS(разходи!$L:$L,разходи!$E:$E,'ПП Май'!$C$49,разходи!$M:$M,'ПП Май'!AB2)</f>
        <v>0</v>
      </c>
      <c r="AC49" s="76">
        <f>SUMIFS(разходи!$L:$L,разходи!$E:$E,'ПП Май'!$C$49,разходи!$M:$M,'ПП Май'!AC2)</f>
        <v>0</v>
      </c>
      <c r="AD49" s="76">
        <f>SUMIFS(разходи!$L:$L,разходи!$E:$E,'ПП Май'!$C$49,разходи!$M:$M,'ПП Май'!AD2)</f>
        <v>0</v>
      </c>
      <c r="AE49" s="74">
        <f>SUMIFS(разходи!$L:$L,разходи!$E:$E,'ПП Май'!$C$49,разходи!$M:$M,'ПП Май'!AE2)</f>
        <v>0</v>
      </c>
      <c r="AF49" s="74">
        <f>SUMIFS(разходи!$L:$L,разходи!$E:$E,'ПП Май'!$C$49,разходи!$M:$M,'ПП Май'!AF2)</f>
        <v>0</v>
      </c>
      <c r="AG49" s="74">
        <f>SUMIFS(разходи!$L:$L,разходи!$E:$E,'ПП Май'!$C$49,разходи!$M:$M,'ПП Май'!AG2)</f>
        <v>0</v>
      </c>
      <c r="AH49" s="74">
        <f>SUMIFS(разходи!$L:$L,разходи!$E:$E,'ПП Май'!$C$49,разходи!$M:$M,'ПП Май'!AH2)</f>
        <v>0</v>
      </c>
      <c r="AI49" s="74">
        <f>SUMIFS(разходи!$L:$L,разходи!$E:$E,'ПП Май'!$C$49,разходи!$M:$M,'ПП Май'!AI2)</f>
        <v>0</v>
      </c>
      <c r="AJ49" s="61">
        <f t="shared" si="18"/>
        <v>9051.1200000000008</v>
      </c>
      <c r="AK49" s="69">
        <f t="shared" si="13"/>
        <v>2089.8799999999992</v>
      </c>
    </row>
    <row r="50" spans="1:37" s="21" customFormat="1" ht="20.10000000000000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Май'!$C$50,разходи!$M:$M,'ПП Май'!E2)</f>
        <v>0</v>
      </c>
      <c r="F50" s="74">
        <f>SUMIFS(разходи!$L:$L,разходи!$E:$E,'ПП Май'!$C$50,разходи!$M:$M,'ПП Май'!F2)</f>
        <v>0</v>
      </c>
      <c r="G50" s="76">
        <f>SUMIFS(разходи!$L:$L,разходи!$E:$E,'ПП Май'!$C$50,разходи!$M:$M,'ПП Май'!G2)</f>
        <v>0</v>
      </c>
      <c r="H50" s="76">
        <f>SUMIFS(разходи!$L:$L,разходи!$E:$E,'ПП Май'!$C$50,разходи!$M:$M,'ПП Май'!H2)</f>
        <v>0</v>
      </c>
      <c r="I50" s="76">
        <f>SUMIFS(разходи!$L:$L,разходи!$E:$E,'ПП Май'!$C$50,разходи!$M:$M,'ПП Май'!I2)</f>
        <v>0</v>
      </c>
      <c r="J50" s="76">
        <f>SUMIFS(разходи!$L:$L,разходи!$E:$E,'ПП Май'!$C$50,разходи!$M:$M,'ПП Май'!J2)</f>
        <v>0</v>
      </c>
      <c r="K50" s="74">
        <f>SUMIFS(разходи!$L:$L,разходи!$E:$E,'ПП Май'!$C$50,разходи!$M:$M,'ПП Май'!K2)</f>
        <v>0</v>
      </c>
      <c r="L50" s="74">
        <f>SUMIFS(разходи!$L:$L,разходи!$E:$E,'ПП Май'!$C$50,разходи!$M:$M,'ПП Май'!L2)</f>
        <v>0</v>
      </c>
      <c r="M50" s="74">
        <f>SUMIFS(разходи!$L:$L,разходи!$E:$E,'ПП Май'!$C$50,разходи!$M:$M,'ПП Май'!M2)</f>
        <v>0</v>
      </c>
      <c r="N50" s="74">
        <f>SUMIFS(разходи!$L:$L,разходи!$E:$E,'ПП Май'!$C$50,разходи!$M:$M,'ПП Май'!N2)</f>
        <v>0</v>
      </c>
      <c r="O50" s="76">
        <f>SUMIFS(разходи!$L:$L,разходи!$E:$E,'ПП Май'!$C$50,разходи!$M:$M,'ПП Май'!O2)</f>
        <v>0</v>
      </c>
      <c r="P50" s="76">
        <f>SUMIFS(разходи!$L:$L,разходи!$E:$E,'ПП Май'!$C$50,разходи!$M:$M,'ПП Май'!P2)</f>
        <v>0</v>
      </c>
      <c r="Q50" s="74">
        <f>SUMIFS(разходи!$L:$L,разходи!$E:$E,'ПП Май'!$C$50,разходи!$M:$M,'ПП Май'!Q2)</f>
        <v>156.5</v>
      </c>
      <c r="R50" s="74">
        <f>SUMIFS(разходи!$L:$L,разходи!$E:$E,'ПП Май'!$C$50,разходи!$M:$M,'ПП Май'!R2)</f>
        <v>0</v>
      </c>
      <c r="S50" s="74">
        <f>SUMIFS(разходи!$L:$L,разходи!$E:$E,'ПП Май'!$C$50,разходи!$M:$M,'ПП Май'!S2)</f>
        <v>0</v>
      </c>
      <c r="T50" s="74">
        <f>SUMIFS(разходи!$L:$L,разходи!$E:$E,'ПП Май'!$C$50,разходи!$M:$M,'ПП Май'!T2)</f>
        <v>0</v>
      </c>
      <c r="U50" s="74">
        <f>SUMIFS(разходи!$L:$L,разходи!$E:$E,'ПП Май'!$C$50,разходи!$M:$M,'ПП Май'!U2)</f>
        <v>0</v>
      </c>
      <c r="V50" s="76">
        <f>SUMIFS(разходи!$L:$L,разходи!$E:$E,'ПП Май'!$C$50,разходи!$M:$M,'ПП Май'!V2)</f>
        <v>0</v>
      </c>
      <c r="W50" s="76">
        <f>SUMIFS(разходи!$L:$L,разходи!$E:$E,'ПП Май'!$C$50,разходи!$M:$M,'ПП Май'!W2)</f>
        <v>0</v>
      </c>
      <c r="X50" s="74">
        <f>SUMIFS(разходи!$L:$L,разходи!$E:$E,'ПП Май'!$C$50,разходи!$M:$M,'ПП Май'!X2)</f>
        <v>0</v>
      </c>
      <c r="Y50" s="74">
        <f>SUMIFS(разходи!$L:$L,разходи!$E:$E,'ПП Май'!$C$50,разходи!$M:$M,'ПП Май'!Y2)</f>
        <v>0</v>
      </c>
      <c r="Z50" s="74">
        <f>SUMIFS(разходи!$L:$L,разходи!$E:$E,'ПП Май'!$C$50,разходи!$M:$M,'ПП Май'!Z2)</f>
        <v>0</v>
      </c>
      <c r="AA50" s="74">
        <f>SUMIFS(разходи!$L:$L,разходи!$E:$E,'ПП Май'!$C$50,разходи!$M:$M,'ПП Май'!AA2)</f>
        <v>0</v>
      </c>
      <c r="AB50" s="76">
        <f>SUMIFS(разходи!$L:$L,разходи!$E:$E,'ПП Май'!$C$50,разходи!$M:$M,'ПП Май'!AB2)</f>
        <v>0</v>
      </c>
      <c r="AC50" s="76">
        <f>SUMIFS(разходи!$L:$L,разходи!$E:$E,'ПП Май'!$C$50,разходи!$M:$M,'ПП Май'!AC2)</f>
        <v>0</v>
      </c>
      <c r="AD50" s="76">
        <f>SUMIFS(разходи!$L:$L,разходи!$E:$E,'ПП Май'!$C$50,разходи!$M:$M,'ПП Май'!AD2)</f>
        <v>0</v>
      </c>
      <c r="AE50" s="74">
        <f>SUMIFS(разходи!$L:$L,разходи!$E:$E,'ПП Май'!$C$50,разходи!$M:$M,'ПП Май'!AE2)</f>
        <v>0</v>
      </c>
      <c r="AF50" s="74">
        <f>SUMIFS(разходи!$L:$L,разходи!$E:$E,'ПП Май'!$C$50,разходи!$M:$M,'ПП Май'!AF2)</f>
        <v>0</v>
      </c>
      <c r="AG50" s="74">
        <f>SUMIFS(разходи!$L:$L,разходи!$E:$E,'ПП Май'!$C$50,разходи!$M:$M,'ПП Май'!AG2)</f>
        <v>0</v>
      </c>
      <c r="AH50" s="74">
        <f>SUMIFS(разходи!$L:$L,разходи!$E:$E,'ПП Май'!$C$50,разходи!$M:$M,'ПП Май'!AH2)</f>
        <v>0</v>
      </c>
      <c r="AI50" s="74">
        <f>SUMIFS(разходи!$L:$L,разходи!$E:$E,'ПП Май'!$C$50,разходи!$M:$M,'ПП Май'!AI2)</f>
        <v>0</v>
      </c>
      <c r="AJ50" s="61">
        <f t="shared" si="18"/>
        <v>156.5</v>
      </c>
      <c r="AK50" s="69">
        <f t="shared" si="13"/>
        <v>-156.5</v>
      </c>
    </row>
    <row r="51" spans="1:37" s="21" customFormat="1" ht="20.10000000000000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Май'!$C$51,разходи!$M:$M,'ПП Май'!E2)</f>
        <v>0</v>
      </c>
      <c r="F51" s="74">
        <f>SUMIFS(разходи!$L:$L,разходи!$E:$E,'ПП Май'!$C$51,разходи!$M:$M,'ПП Май'!F2)</f>
        <v>0</v>
      </c>
      <c r="G51" s="76">
        <f>SUMIFS(разходи!$L:$L,разходи!$E:$E,'ПП Май'!$C$51,разходи!$M:$M,'ПП Май'!G2)</f>
        <v>0</v>
      </c>
      <c r="H51" s="76">
        <f>SUMIFS(разходи!$L:$L,разходи!$E:$E,'ПП Май'!$C$51,разходи!$M:$M,'ПП Май'!H2)</f>
        <v>0</v>
      </c>
      <c r="I51" s="76">
        <f>SUMIFS(разходи!$L:$L,разходи!$E:$E,'ПП Май'!$C$51,разходи!$M:$M,'ПП Май'!I2)</f>
        <v>0</v>
      </c>
      <c r="J51" s="76">
        <f>SUMIFS(разходи!$L:$L,разходи!$E:$E,'ПП Май'!$C$51,разходи!$M:$M,'ПП Май'!J2)</f>
        <v>0</v>
      </c>
      <c r="K51" s="74">
        <f>SUMIFS(разходи!$L:$L,разходи!$E:$E,'ПП Май'!$C$51,разходи!$M:$M,'ПП Май'!K2)</f>
        <v>0</v>
      </c>
      <c r="L51" s="74">
        <f>SUMIFS(разходи!$L:$L,разходи!$E:$E,'ПП Май'!$C$51,разходи!$M:$M,'ПП Май'!L2)</f>
        <v>0</v>
      </c>
      <c r="M51" s="74">
        <f>SUMIFS(разходи!$L:$L,разходи!$E:$E,'ПП Май'!$C$51,разходи!$M:$M,'ПП Май'!M2)</f>
        <v>0</v>
      </c>
      <c r="N51" s="74">
        <f>SUMIFS(разходи!$L:$L,разходи!$E:$E,'ПП Май'!$C$51,разходи!$M:$M,'ПП Май'!N2)</f>
        <v>0</v>
      </c>
      <c r="O51" s="76">
        <f>SUMIFS(разходи!$L:$L,разходи!$E:$E,'ПП Май'!$C$51,разходи!$M:$M,'ПП Май'!O2)</f>
        <v>0</v>
      </c>
      <c r="P51" s="76">
        <f>SUMIFS(разходи!$L:$L,разходи!$E:$E,'ПП Май'!$C$51,разходи!$M:$M,'ПП Май'!P2)</f>
        <v>0</v>
      </c>
      <c r="Q51" s="74">
        <f>SUMIFS(разходи!$L:$L,разходи!$E:$E,'ПП Май'!$C$51,разходи!$M:$M,'ПП Май'!Q2)</f>
        <v>0</v>
      </c>
      <c r="R51" s="74">
        <f>SUMIFS(разходи!$L:$L,разходи!$E:$E,'ПП Май'!$C$51,разходи!$M:$M,'ПП Май'!R2)</f>
        <v>0</v>
      </c>
      <c r="S51" s="74">
        <f>SUMIFS(разходи!$L:$L,разходи!$E:$E,'ПП Май'!$C$51,разходи!$M:$M,'ПП Май'!S2)</f>
        <v>0</v>
      </c>
      <c r="T51" s="74">
        <f>SUMIFS(разходи!$L:$L,разходи!$E:$E,'ПП Май'!$C$51,разходи!$M:$M,'ПП Май'!T2)</f>
        <v>0</v>
      </c>
      <c r="U51" s="74">
        <f>SUMIFS(разходи!$L:$L,разходи!$E:$E,'ПП Май'!$C$51,разходи!$M:$M,'ПП Май'!U2)</f>
        <v>0</v>
      </c>
      <c r="V51" s="76">
        <f>SUMIFS(разходи!$L:$L,разходи!$E:$E,'ПП Май'!$C$51,разходи!$M:$M,'ПП Май'!V2)</f>
        <v>0</v>
      </c>
      <c r="W51" s="76">
        <f>SUMIFS(разходи!$L:$L,разходи!$E:$E,'ПП Май'!$C$51,разходи!$M:$M,'ПП Май'!W2)</f>
        <v>0</v>
      </c>
      <c r="X51" s="74">
        <f>SUMIFS(разходи!$L:$L,разходи!$E:$E,'ПП Май'!$C$51,разходи!$M:$M,'ПП Май'!X2)</f>
        <v>0</v>
      </c>
      <c r="Y51" s="74">
        <f>SUMIFS(разходи!$L:$L,разходи!$E:$E,'ПП Май'!$C$51,разходи!$M:$M,'ПП Май'!Y2)</f>
        <v>0</v>
      </c>
      <c r="Z51" s="74">
        <f>SUMIFS(разходи!$L:$L,разходи!$E:$E,'ПП Май'!$C$51,разходи!$M:$M,'ПП Май'!Z2)</f>
        <v>0</v>
      </c>
      <c r="AA51" s="74">
        <f>SUMIFS(разходи!$L:$L,разходи!$E:$E,'ПП Май'!$C$51,разходи!$M:$M,'ПП Май'!AA2)</f>
        <v>0</v>
      </c>
      <c r="AB51" s="76">
        <f>SUMIFS(разходи!$L:$L,разходи!$E:$E,'ПП Май'!$C$51,разходи!$M:$M,'ПП Май'!AB2)</f>
        <v>0</v>
      </c>
      <c r="AC51" s="76">
        <f>SUMIFS(разходи!$L:$L,разходи!$E:$E,'ПП Май'!$C$51,разходи!$M:$M,'ПП Май'!AC2)</f>
        <v>0</v>
      </c>
      <c r="AD51" s="76">
        <f>SUMIFS(разходи!$L:$L,разходи!$E:$E,'ПП Май'!$C$51,разходи!$M:$M,'ПП Май'!AD2)</f>
        <v>0</v>
      </c>
      <c r="AE51" s="74">
        <f>SUMIFS(разходи!$L:$L,разходи!$E:$E,'ПП Май'!$C$51,разходи!$M:$M,'ПП Май'!AE2)</f>
        <v>0</v>
      </c>
      <c r="AF51" s="74">
        <f>SUMIFS(разходи!$L:$L,разходи!$E:$E,'ПП Май'!$C$51,разходи!$M:$M,'ПП Май'!AF2)</f>
        <v>0</v>
      </c>
      <c r="AG51" s="74">
        <f>SUMIFS(разходи!$L:$L,разходи!$E:$E,'ПП Май'!$C$51,разходи!$M:$M,'ПП Май'!AG2)</f>
        <v>0</v>
      </c>
      <c r="AH51" s="74">
        <f>SUMIFS(разходи!$L:$L,разходи!$E:$E,'ПП Май'!$C$51,разходи!$M:$M,'ПП Май'!AH2)</f>
        <v>0</v>
      </c>
      <c r="AI51" s="74">
        <f>SUMIFS(разходи!$L:$L,разходи!$E:$E,'ПП Май'!$C$51,разходи!$M:$M,'ПП Май'!AI2)</f>
        <v>0</v>
      </c>
      <c r="AJ51" s="61">
        <f t="shared" si="18"/>
        <v>0</v>
      </c>
      <c r="AK51" s="69">
        <f t="shared" si="13"/>
        <v>0</v>
      </c>
    </row>
    <row r="52" spans="1:37" s="21" customFormat="1" ht="20.10000000000000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Май'!$C$52,разходи!$M:$M,'ПП Май'!E2)</f>
        <v>0</v>
      </c>
      <c r="F52" s="74">
        <f>SUMIFS(разходи!$L:$L,разходи!$E:$E,'ПП Май'!$C$52,разходи!$M:$M,'ПП Май'!F2)</f>
        <v>0</v>
      </c>
      <c r="G52" s="76">
        <f>SUMIFS(разходи!$L:$L,разходи!$E:$E,'ПП Май'!$C$52,разходи!$M:$M,'ПП Май'!G2)</f>
        <v>0</v>
      </c>
      <c r="H52" s="76">
        <f>SUMIFS(разходи!$L:$L,разходи!$E:$E,'ПП Май'!$C$52,разходи!$M:$M,'ПП Май'!H2)</f>
        <v>0</v>
      </c>
      <c r="I52" s="76">
        <f>SUMIFS(разходи!$L:$L,разходи!$E:$E,'ПП Май'!$C$52,разходи!$M:$M,'ПП Май'!I2)</f>
        <v>0</v>
      </c>
      <c r="J52" s="76">
        <f>SUMIFS(разходи!$L:$L,разходи!$E:$E,'ПП Май'!$C$52,разходи!$M:$M,'ПП Май'!J2)</f>
        <v>0</v>
      </c>
      <c r="K52" s="74">
        <f>SUMIFS(разходи!$L:$L,разходи!$E:$E,'ПП Май'!$C$52,разходи!$M:$M,'ПП Май'!K2)</f>
        <v>0</v>
      </c>
      <c r="L52" s="74">
        <f>SUMIFS(разходи!$L:$L,разходи!$E:$E,'ПП Май'!$C$52,разходи!$M:$M,'ПП Май'!L2)</f>
        <v>0</v>
      </c>
      <c r="M52" s="74">
        <f>SUMIFS(разходи!$L:$L,разходи!$E:$E,'ПП Май'!$C$52,разходи!$M:$M,'ПП Май'!M2)</f>
        <v>0</v>
      </c>
      <c r="N52" s="74">
        <f>SUMIFS(разходи!$L:$L,разходи!$E:$E,'ПП Май'!$C$52,разходи!$M:$M,'ПП Май'!N2)</f>
        <v>0</v>
      </c>
      <c r="O52" s="76">
        <f>SUMIFS(разходи!$L:$L,разходи!$E:$E,'ПП Май'!$C$52,разходи!$M:$M,'ПП Май'!O2)</f>
        <v>0</v>
      </c>
      <c r="P52" s="76">
        <f>SUMIFS(разходи!$L:$L,разходи!$E:$E,'ПП Май'!$C$52,разходи!$M:$M,'ПП Май'!P2)</f>
        <v>0</v>
      </c>
      <c r="Q52" s="74">
        <f>SUMIFS(разходи!$L:$L,разходи!$E:$E,'ПП Май'!$C$52,разходи!$M:$M,'ПП Май'!Q2)</f>
        <v>0</v>
      </c>
      <c r="R52" s="74">
        <f>SUMIFS(разходи!$L:$L,разходи!$E:$E,'ПП Май'!$C$52,разходи!$M:$M,'ПП Май'!R2)</f>
        <v>0</v>
      </c>
      <c r="S52" s="74">
        <f>SUMIFS(разходи!$L:$L,разходи!$E:$E,'ПП Май'!$C$52,разходи!$M:$M,'ПП Май'!S2)</f>
        <v>0</v>
      </c>
      <c r="T52" s="74">
        <f>SUMIFS(разходи!$L:$L,разходи!$E:$E,'ПП Май'!$C$52,разходи!$M:$M,'ПП Май'!T2)</f>
        <v>0</v>
      </c>
      <c r="U52" s="74">
        <f>SUMIFS(разходи!$L:$L,разходи!$E:$E,'ПП Май'!$C$52,разходи!$M:$M,'ПП Май'!U2)</f>
        <v>0</v>
      </c>
      <c r="V52" s="76">
        <f>SUMIFS(разходи!$L:$L,разходи!$E:$E,'ПП Май'!$C$52,разходи!$M:$M,'ПП Май'!V2)</f>
        <v>0</v>
      </c>
      <c r="W52" s="76">
        <f>SUMIFS(разходи!$L:$L,разходи!$E:$E,'ПП Май'!$C$52,разходи!$M:$M,'ПП Май'!W2)</f>
        <v>0</v>
      </c>
      <c r="X52" s="74">
        <f>SUMIFS(разходи!$L:$L,разходи!$E:$E,'ПП Май'!$C$52,разходи!$M:$M,'ПП Май'!X2)</f>
        <v>0</v>
      </c>
      <c r="Y52" s="74">
        <f>SUMIFS(разходи!$L:$L,разходи!$E:$E,'ПП Май'!$C$52,разходи!$M:$M,'ПП Май'!Y2)</f>
        <v>0</v>
      </c>
      <c r="Z52" s="74">
        <f>SUMIFS(разходи!$L:$L,разходи!$E:$E,'ПП Май'!$C$52,разходи!$M:$M,'ПП Май'!Z2)</f>
        <v>0</v>
      </c>
      <c r="AA52" s="74">
        <f>SUMIFS(разходи!$L:$L,разходи!$E:$E,'ПП Май'!$C$52,разходи!$M:$M,'ПП Май'!AA2)</f>
        <v>0</v>
      </c>
      <c r="AB52" s="76">
        <f>SUMIFS(разходи!$L:$L,разходи!$E:$E,'ПП Май'!$C$52,разходи!$M:$M,'ПП Май'!AB2)</f>
        <v>0</v>
      </c>
      <c r="AC52" s="76">
        <f>SUMIFS(разходи!$L:$L,разходи!$E:$E,'ПП Май'!$C$52,разходи!$M:$M,'ПП Май'!AC2)</f>
        <v>0</v>
      </c>
      <c r="AD52" s="76">
        <f>SUMIFS(разходи!$L:$L,разходи!$E:$E,'ПП Май'!$C$52,разходи!$M:$M,'ПП Май'!AD2)</f>
        <v>0</v>
      </c>
      <c r="AE52" s="74">
        <f>SUMIFS(разходи!$L:$L,разходи!$E:$E,'ПП Май'!$C$52,разходи!$M:$M,'ПП Май'!AE2)</f>
        <v>0</v>
      </c>
      <c r="AF52" s="74">
        <f>SUMIFS(разходи!$L:$L,разходи!$E:$E,'ПП Май'!$C$52,разходи!$M:$M,'ПП Май'!AF2)</f>
        <v>0</v>
      </c>
      <c r="AG52" s="74">
        <f>SUMIFS(разходи!$L:$L,разходи!$E:$E,'ПП Май'!$C$52,разходи!$M:$M,'ПП Май'!AG2)</f>
        <v>0</v>
      </c>
      <c r="AH52" s="74">
        <f>SUMIFS(разходи!$L:$L,разходи!$E:$E,'ПП Май'!$C$52,разходи!$M:$M,'ПП Май'!AH2)</f>
        <v>0</v>
      </c>
      <c r="AI52" s="74">
        <f>SUMIFS(разходи!$L:$L,разходи!$E:$E,'ПП Май'!$C$52,разходи!$M:$M,'ПП Май'!AI2)</f>
        <v>0</v>
      </c>
      <c r="AJ52" s="61">
        <f t="shared" si="18"/>
        <v>0</v>
      </c>
      <c r="AK52" s="69">
        <f t="shared" si="13"/>
        <v>0</v>
      </c>
    </row>
    <row r="53" spans="1:37" s="21" customFormat="1" ht="20.100000000000001" customHeight="1" outlineLevel="1" x14ac:dyDescent="0.3">
      <c r="A53" s="27"/>
      <c r="B53" s="22"/>
      <c r="C53" s="8" t="s">
        <v>868</v>
      </c>
      <c r="D53" s="80">
        <f>SUM(D54:D55)</f>
        <v>3000</v>
      </c>
      <c r="E53" s="76">
        <f>SUMIFS(разходи!$L:$L,разходи!$E:$E,'ПП Май'!$C$57,разходи!$M:$M,'ПП Май'!E2)</f>
        <v>0</v>
      </c>
      <c r="F53" s="74">
        <f>SUMIFS(разходи!$L:$L,разходи!$E:$E,'ПП Май'!$C$57,разходи!$M:$M,'ПП Май'!F2)</f>
        <v>0</v>
      </c>
      <c r="G53" s="76">
        <f>SUMIFS(разходи!$L:$L,разходи!$E:$E,'ПП Май'!$C$57,разходи!$M:$M,'ПП Май'!G2)</f>
        <v>0</v>
      </c>
      <c r="H53" s="76">
        <f>SUMIFS(разходи!$L:$L,разходи!$E:$E,'ПП Май'!$C$57,разходи!$M:$M,'ПП Май'!H2)</f>
        <v>0</v>
      </c>
      <c r="I53" s="76">
        <f>SUMIFS(разходи!$L:$L,разходи!$E:$E,'ПП Май'!$C$57,разходи!$M:$M,'ПП Май'!I2)</f>
        <v>0</v>
      </c>
      <c r="J53" s="76">
        <f>SUMIFS(разходи!$L:$L,разходи!$E:$E,'ПП Май'!$C$57,разходи!$M:$M,'ПП Май'!J2)</f>
        <v>0</v>
      </c>
      <c r="K53" s="74">
        <f>SUMIFS(разходи!$L:$L,разходи!$E:$E,'ПП Май'!$C$57,разходи!$M:$M,'ПП Май'!K2)</f>
        <v>0</v>
      </c>
      <c r="L53" s="74">
        <f>SUMIFS(разходи!$L:$L,разходи!$E:$E,'ПП Май'!$C$57,разходи!$M:$M,'ПП Май'!L2)</f>
        <v>0</v>
      </c>
      <c r="M53" s="74">
        <f>SUMIFS(разходи!$L:$L,разходи!$E:$E,'ПП Май'!$C$57,разходи!$M:$M,'ПП Май'!M2)</f>
        <v>0</v>
      </c>
      <c r="N53" s="74">
        <f>SUMIFS(разходи!$L:$L,разходи!$E:$E,'ПП Май'!$C$57,разходи!$M:$M,'ПП Май'!N2)</f>
        <v>0</v>
      </c>
      <c r="O53" s="76">
        <f>SUMIFS(разходи!$L:$L,разходи!$E:$E,'ПП Май'!$C$57,разходи!$M:$M,'ПП Май'!O2)</f>
        <v>0</v>
      </c>
      <c r="P53" s="76">
        <f>SUMIFS(разходи!$L:$L,разходи!$E:$E,'ПП Май'!$C$57,разходи!$M:$M,'ПП Май'!P2)</f>
        <v>0</v>
      </c>
      <c r="Q53" s="74">
        <f>SUMIFS(разходи!$L:$L,разходи!$E:$E,'ПП Май'!$C$57,разходи!$M:$M,'ПП Май'!Q2)</f>
        <v>0</v>
      </c>
      <c r="R53" s="74">
        <f>SUMIFS(разходи!$L:$L,разходи!$E:$E,'ПП Май'!$C$57,разходи!$M:$M,'ПП Май'!R2)</f>
        <v>0</v>
      </c>
      <c r="S53" s="74">
        <f>SUMIFS(разходи!$L:$L,разходи!$E:$E,'ПП Май'!$C$57,разходи!$M:$M,'ПП Май'!S2)</f>
        <v>0</v>
      </c>
      <c r="T53" s="74">
        <f>SUMIFS(разходи!$L:$L,разходи!$E:$E,'ПП Май'!$C$57,разходи!$M:$M,'ПП Май'!T2)</f>
        <v>0</v>
      </c>
      <c r="U53" s="74">
        <f>SUMIFS(разходи!$L:$L,разходи!$E:$E,'ПП Май'!$C$57,разходи!$M:$M,'ПП Май'!U2)</f>
        <v>0</v>
      </c>
      <c r="V53" s="76">
        <f>SUMIFS(разходи!$L:$L,разходи!$E:$E,'ПП Май'!$C$57,разходи!$M:$M,'ПП Май'!V2)</f>
        <v>0</v>
      </c>
      <c r="W53" s="76">
        <f>SUMIFS(разходи!$L:$L,разходи!$E:$E,'ПП Май'!$C$57,разходи!$M:$M,'ПП Май'!W2)</f>
        <v>0</v>
      </c>
      <c r="X53" s="74">
        <f>SUMIFS(разходи!$L:$L,разходи!$E:$E,'ПП Май'!$C$57,разходи!$M:$M,'ПП Май'!X2)</f>
        <v>0</v>
      </c>
      <c r="Y53" s="74">
        <f>SUMIFS(разходи!$L:$L,разходи!$E:$E,'ПП Май'!$C$57,разходи!$M:$M,'ПП Май'!Y2)</f>
        <v>0</v>
      </c>
      <c r="Z53" s="74">
        <f>SUMIFS(разходи!$L:$L,разходи!$E:$E,'ПП Май'!$C$57,разходи!$M:$M,'ПП Май'!Z2)</f>
        <v>0</v>
      </c>
      <c r="AA53" s="74">
        <f>SUMIFS(разходи!$L:$L,разходи!$E:$E,'ПП Май'!$C$57,разходи!$M:$M,'ПП Май'!AA2)</f>
        <v>0</v>
      </c>
      <c r="AB53" s="76">
        <f>SUMIFS(разходи!$L:$L,разходи!$E:$E,'ПП Май'!$C$57,разходи!$M:$M,'ПП Май'!AB2)</f>
        <v>0</v>
      </c>
      <c r="AC53" s="76">
        <f>SUMIFS(разходи!$L:$L,разходи!$E:$E,'ПП Май'!$C$57,разходи!$M:$M,'ПП Май'!AC2)</f>
        <v>0</v>
      </c>
      <c r="AD53" s="76">
        <f>SUMIFS(разходи!$L:$L,разходи!$E:$E,'ПП Май'!$C$57,разходи!$M:$M,'ПП Май'!AD2)</f>
        <v>0</v>
      </c>
      <c r="AE53" s="74">
        <f>SUMIFS(разходи!$L:$L,разходи!$E:$E,'ПП Май'!$C$57,разходи!$M:$M,'ПП Май'!AE2)</f>
        <v>0</v>
      </c>
      <c r="AF53" s="74">
        <f>SUMIFS(разходи!$L:$L,разходи!$E:$E,'ПП Май'!$C$57,разходи!$M:$M,'ПП Май'!AF2)</f>
        <v>0</v>
      </c>
      <c r="AG53" s="74">
        <f>SUMIFS(разходи!$L:$L,разходи!$E:$E,'ПП Май'!$C$57,разходи!$M:$M,'ПП Май'!AG2)</f>
        <v>0</v>
      </c>
      <c r="AH53" s="74">
        <f>SUMIFS(разходи!$L:$L,разходи!$E:$E,'ПП Май'!$C$57,разходи!$M:$M,'ПП Май'!AH2)</f>
        <v>0</v>
      </c>
      <c r="AI53" s="74">
        <f>SUMIFS(разходи!$L:$L,разходи!$E:$E,'ПП Май'!$C$57,разходи!$M:$M,'ПП Май'!AI2)</f>
        <v>0</v>
      </c>
      <c r="AJ53" s="61">
        <f t="shared" si="18"/>
        <v>0</v>
      </c>
      <c r="AK53" s="69">
        <f t="shared" si="13"/>
        <v>3000</v>
      </c>
    </row>
    <row r="54" spans="1:37" s="53" customFormat="1" ht="20.10000000000000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Май'!$C$54,разходи!$M:$M,'ПП Май'!E2)</f>
        <v>0</v>
      </c>
      <c r="F54" s="74">
        <f>SUMIFS(разходи!$L:$L,разходи!$E:$E,'ПП Май'!$C$54,разходи!$M:$M,'ПП Май'!F2)</f>
        <v>0</v>
      </c>
      <c r="G54" s="76">
        <f>SUMIFS(разходи!$L:$L,разходи!$E:$E,'ПП Май'!$C$54,разходи!$M:$M,'ПП Май'!G2)</f>
        <v>0</v>
      </c>
      <c r="H54" s="76">
        <f>SUMIFS(разходи!$L:$L,разходи!$E:$E,'ПП Май'!$C$54,разходи!$M:$M,'ПП Май'!H2)</f>
        <v>0</v>
      </c>
      <c r="I54" s="76">
        <f>SUMIFS(разходи!$L:$L,разходи!$E:$E,'ПП Май'!$C$54,разходи!$M:$M,'ПП Май'!I2)</f>
        <v>0</v>
      </c>
      <c r="J54" s="76">
        <f>SUMIFS(разходи!$L:$L,разходи!$E:$E,'ПП Май'!$C$54,разходи!$M:$M,'ПП Май'!J2)</f>
        <v>0</v>
      </c>
      <c r="K54" s="74">
        <f>SUMIFS(разходи!$L:$L,разходи!$E:$E,'ПП Май'!$C$54,разходи!$M:$M,'ПП Май'!K2)</f>
        <v>0</v>
      </c>
      <c r="L54" s="74">
        <f>SUMIFS(разходи!$L:$L,разходи!$E:$E,'ПП Май'!$C$54,разходи!$M:$M,'ПП Май'!L2)</f>
        <v>0</v>
      </c>
      <c r="M54" s="74">
        <f>SUMIFS(разходи!$L:$L,разходи!$E:$E,'ПП Май'!$C$54,разходи!$M:$M,'ПП Май'!M2)</f>
        <v>0</v>
      </c>
      <c r="N54" s="74">
        <f>SUMIFS(разходи!$L:$L,разходи!$E:$E,'ПП Май'!$C$54,разходи!$M:$M,'ПП Май'!N2)</f>
        <v>0</v>
      </c>
      <c r="O54" s="76">
        <f>SUMIFS(разходи!$L:$L,разходи!$E:$E,'ПП Май'!$C$54,разходи!$M:$M,'ПП Май'!O2)</f>
        <v>0</v>
      </c>
      <c r="P54" s="76">
        <f>SUMIFS(разходи!$L:$L,разходи!$E:$E,'ПП Май'!$C$54,разходи!$M:$M,'ПП Май'!P2)</f>
        <v>0</v>
      </c>
      <c r="Q54" s="74">
        <f>SUMIFS(разходи!$L:$L,разходи!$E:$E,'ПП Май'!$C$54,разходи!$M:$M,'ПП Май'!Q2)</f>
        <v>0</v>
      </c>
      <c r="R54" s="74">
        <f>SUMIFS(разходи!$L:$L,разходи!$E:$E,'ПП Май'!$C$54,разходи!$M:$M,'ПП Май'!R2)</f>
        <v>0</v>
      </c>
      <c r="S54" s="74">
        <f>SUMIFS(разходи!$L:$L,разходи!$E:$E,'ПП Май'!$C$54,разходи!$M:$M,'ПП Май'!S2)</f>
        <v>0</v>
      </c>
      <c r="T54" s="74">
        <f>SUMIFS(разходи!$L:$L,разходи!$E:$E,'ПП Май'!$C$54,разходи!$M:$M,'ПП Май'!T2)</f>
        <v>0</v>
      </c>
      <c r="U54" s="74">
        <f>SUMIFS(разходи!$L:$L,разходи!$E:$E,'ПП Май'!$C$54,разходи!$M:$M,'ПП Май'!U2)</f>
        <v>0</v>
      </c>
      <c r="V54" s="76">
        <f>SUMIFS(разходи!$L:$L,разходи!$E:$E,'ПП Май'!$C$54,разходи!$M:$M,'ПП Май'!V2)</f>
        <v>0</v>
      </c>
      <c r="W54" s="76">
        <f>SUMIFS(разходи!$L:$L,разходи!$E:$E,'ПП Май'!$C$54,разходи!$M:$M,'ПП Май'!W2)</f>
        <v>0</v>
      </c>
      <c r="X54" s="74">
        <f>SUMIFS(разходи!$L:$L,разходи!$E:$E,'ПП Май'!$C$54,разходи!$M:$M,'ПП Май'!X2)</f>
        <v>0</v>
      </c>
      <c r="Y54" s="74">
        <f>SUMIFS(разходи!$L:$L,разходи!$E:$E,'ПП Май'!$C$54,разходи!$M:$M,'ПП Май'!Y2)</f>
        <v>0</v>
      </c>
      <c r="Z54" s="74">
        <f>SUMIFS(разходи!$L:$L,разходи!$E:$E,'ПП Май'!$C$54,разходи!$M:$M,'ПП Май'!Z2)</f>
        <v>0</v>
      </c>
      <c r="AA54" s="74">
        <f>SUMIFS(разходи!$L:$L,разходи!$E:$E,'ПП Май'!$C$54,разходи!$M:$M,'ПП Май'!AA2)</f>
        <v>0</v>
      </c>
      <c r="AB54" s="76">
        <f>SUMIFS(разходи!$L:$L,разходи!$E:$E,'ПП Май'!$C$54,разходи!$M:$M,'ПП Май'!AB2)</f>
        <v>0</v>
      </c>
      <c r="AC54" s="76">
        <f>SUMIFS(разходи!$L:$L,разходи!$E:$E,'ПП Май'!$C$54,разходи!$M:$M,'ПП Май'!AC2)</f>
        <v>0</v>
      </c>
      <c r="AD54" s="76">
        <f>SUMIFS(разходи!$L:$L,разходи!$E:$E,'ПП Май'!$C$54,разходи!$M:$M,'ПП Май'!AD2)</f>
        <v>0</v>
      </c>
      <c r="AE54" s="74">
        <f>SUMIFS(разходи!$L:$L,разходи!$E:$E,'ПП Май'!$C$54,разходи!$M:$M,'ПП Май'!AE2)</f>
        <v>0</v>
      </c>
      <c r="AF54" s="74">
        <f>SUMIFS(разходи!$L:$L,разходи!$E:$E,'ПП Май'!$C$54,разходи!$M:$M,'ПП Май'!AF2)</f>
        <v>0</v>
      </c>
      <c r="AG54" s="74">
        <f>SUMIFS(разходи!$L:$L,разходи!$E:$E,'ПП Май'!$C$54,разходи!$M:$M,'ПП Май'!AG2)</f>
        <v>0</v>
      </c>
      <c r="AH54" s="74">
        <f>SUMIFS(разходи!$L:$L,разходи!$E:$E,'ПП Май'!$C$54,разходи!$M:$M,'ПП Май'!AH2)</f>
        <v>0</v>
      </c>
      <c r="AI54" s="74">
        <f>SUMIFS(разходи!$L:$L,разходи!$E:$E,'ПП Май'!$C$54,разходи!$M:$M,'ПП Май'!AI2)</f>
        <v>0</v>
      </c>
      <c r="AJ54" s="61">
        <f t="shared" si="18"/>
        <v>0</v>
      </c>
      <c r="AK54" s="69">
        <f t="shared" si="1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6">
        <f>SUMIFS(разходи!$L:$L,разходи!$E:$E,'ПП Май'!$C$55,разходи!$M:$M,'ПП Май'!E2)</f>
        <v>0</v>
      </c>
      <c r="F55" s="74">
        <f>SUMIFS(разходи!$L:$L,разходи!$E:$E,'ПП Май'!$C$55,разходи!$M:$M,'ПП Май'!F2)</f>
        <v>0</v>
      </c>
      <c r="G55" s="76">
        <f>SUMIFS(разходи!$L:$L,разходи!$E:$E,'ПП Май'!$C$55,разходи!$M:$M,'ПП Май'!G2)</f>
        <v>0</v>
      </c>
      <c r="H55" s="76">
        <f>SUMIFS(разходи!$L:$L,разходи!$E:$E,'ПП Май'!$C$55,разходи!$M:$M,'ПП Май'!H2)</f>
        <v>0</v>
      </c>
      <c r="I55" s="76">
        <f>SUMIFS(разходи!$L:$L,разходи!$E:$E,'ПП Май'!$C$55,разходи!$M:$M,'ПП Май'!I2)</f>
        <v>0</v>
      </c>
      <c r="J55" s="76">
        <f>SUMIFS(разходи!$L:$L,разходи!$E:$E,'ПП Май'!$C$55,разходи!$M:$M,'ПП Май'!J2)</f>
        <v>0</v>
      </c>
      <c r="K55" s="74">
        <f>SUMIFS(разходи!$L:$L,разходи!$E:$E,'ПП Май'!$C$55,разходи!$M:$M,'ПП Май'!K2)</f>
        <v>0</v>
      </c>
      <c r="L55" s="74">
        <f>SUMIFS(разходи!$L:$L,разходи!$E:$E,'ПП Май'!$C$55,разходи!$M:$M,'ПП Май'!L2)</f>
        <v>0</v>
      </c>
      <c r="M55" s="74">
        <f>SUMIFS(разходи!$L:$L,разходи!$E:$E,'ПП Май'!$C$55,разходи!$M:$M,'ПП Май'!M2)</f>
        <v>0</v>
      </c>
      <c r="N55" s="74">
        <f>SUMIFS(разходи!$L:$L,разходи!$E:$E,'ПП Май'!$C$55,разходи!$M:$M,'ПП Май'!N2)</f>
        <v>0</v>
      </c>
      <c r="O55" s="76">
        <f>SUMIFS(разходи!$L:$L,разходи!$E:$E,'ПП Май'!$C$55,разходи!$M:$M,'ПП Май'!O2)</f>
        <v>0</v>
      </c>
      <c r="P55" s="76">
        <f>SUMIFS(разходи!$L:$L,разходи!$E:$E,'ПП Май'!$C$55,разходи!$M:$M,'ПП Май'!P2)</f>
        <v>0</v>
      </c>
      <c r="Q55" s="74">
        <f>SUMIFS(разходи!$L:$L,разходи!$E:$E,'ПП Май'!$C$55,разходи!$M:$M,'ПП Май'!Q2)</f>
        <v>0</v>
      </c>
      <c r="R55" s="74">
        <f>SUMIFS(разходи!$L:$L,разходи!$E:$E,'ПП Май'!$C$55,разходи!$M:$M,'ПП Май'!R2)</f>
        <v>0</v>
      </c>
      <c r="S55" s="74">
        <f>SUMIFS(разходи!$L:$L,разходи!$E:$E,'ПП Май'!$C$55,разходи!$M:$M,'ПП Май'!S2)</f>
        <v>0</v>
      </c>
      <c r="T55" s="74">
        <f>SUMIFS(разходи!$L:$L,разходи!$E:$E,'ПП Май'!$C$55,разходи!$M:$M,'ПП Май'!T2)</f>
        <v>0</v>
      </c>
      <c r="U55" s="74">
        <f>SUMIFS(разходи!$L:$L,разходи!$E:$E,'ПП Май'!$C$55,разходи!$M:$M,'ПП Май'!U2)</f>
        <v>0</v>
      </c>
      <c r="V55" s="76">
        <f>SUMIFS(разходи!$L:$L,разходи!$E:$E,'ПП Май'!$C$55,разходи!$M:$M,'ПП Май'!V2)</f>
        <v>0</v>
      </c>
      <c r="W55" s="76">
        <f>SUMIFS(разходи!$L:$L,разходи!$E:$E,'ПП Май'!$C$55,разходи!$M:$M,'ПП Май'!W2)</f>
        <v>0</v>
      </c>
      <c r="X55" s="74">
        <f>SUMIFS(разходи!$L:$L,разходи!$E:$E,'ПП Май'!$C$55,разходи!$M:$M,'ПП Май'!X2)</f>
        <v>0</v>
      </c>
      <c r="Y55" s="74">
        <f>SUMIFS(разходи!$L:$L,разходи!$E:$E,'ПП Май'!$C$55,разходи!$M:$M,'ПП Май'!Y2)</f>
        <v>0</v>
      </c>
      <c r="Z55" s="74">
        <f>SUMIFS(разходи!$L:$L,разходи!$E:$E,'ПП Май'!$C$55,разходи!$M:$M,'ПП Май'!Z2)</f>
        <v>0</v>
      </c>
      <c r="AA55" s="74">
        <f>SUMIFS(разходи!$L:$L,разходи!$E:$E,'ПП Май'!$C$55,разходи!$M:$M,'ПП Май'!AA2)</f>
        <v>0</v>
      </c>
      <c r="AB55" s="76">
        <f>SUMIFS(разходи!$L:$L,разходи!$E:$E,'ПП Май'!$C$55,разходи!$M:$M,'ПП Май'!AB2)</f>
        <v>0</v>
      </c>
      <c r="AC55" s="76">
        <f>SUMIFS(разходи!$L:$L,разходи!$E:$E,'ПП Май'!$C$55,разходи!$M:$M,'ПП Май'!AC2)</f>
        <v>0</v>
      </c>
      <c r="AD55" s="76">
        <f>SUMIFS(разходи!$L:$L,разходи!$E:$E,'ПП Май'!$C$55,разходи!$M:$M,'ПП Май'!AD2)</f>
        <v>0</v>
      </c>
      <c r="AE55" s="74">
        <f>SUMIFS(разходи!$L:$L,разходи!$E:$E,'ПП Май'!$C$55,разходи!$M:$M,'ПП Май'!AE2)</f>
        <v>0</v>
      </c>
      <c r="AF55" s="74">
        <f>SUMIFS(разходи!$L:$L,разходи!$E:$E,'ПП Май'!$C$55,разходи!$M:$M,'ПП Май'!AF2)</f>
        <v>0</v>
      </c>
      <c r="AG55" s="74">
        <f>SUMIFS(разходи!$L:$L,разходи!$E:$E,'ПП Май'!$C$55,разходи!$M:$M,'ПП Май'!AG2)</f>
        <v>0</v>
      </c>
      <c r="AH55" s="74">
        <f>SUMIFS(разходи!$L:$L,разходи!$E:$E,'ПП Май'!$C$55,разходи!$M:$M,'ПП Май'!AH2)</f>
        <v>0</v>
      </c>
      <c r="AI55" s="74">
        <f>SUMIFS(разходи!$L:$L,разходи!$E:$E,'ПП Май'!$C$55,разходи!$M:$M,'ПП Май'!AI2)</f>
        <v>0</v>
      </c>
      <c r="AJ55" s="61">
        <f t="shared" si="18"/>
        <v>0</v>
      </c>
      <c r="AK55" s="69">
        <f t="shared" si="13"/>
        <v>3000</v>
      </c>
    </row>
    <row r="56" spans="1:37" s="39" customFormat="1" ht="20.100000000000001" customHeight="1" outlineLevel="1" x14ac:dyDescent="0.3">
      <c r="A56" s="37"/>
      <c r="B56" s="38"/>
      <c r="C56" s="48" t="s">
        <v>870</v>
      </c>
      <c r="D56" s="80">
        <f>SUM(D57:D61)</f>
        <v>3200</v>
      </c>
      <c r="E56" s="76">
        <f t="shared" ref="E56:AI56" si="23">SUM(E57:E61)</f>
        <v>0</v>
      </c>
      <c r="F56" s="74">
        <f t="shared" si="23"/>
        <v>0</v>
      </c>
      <c r="G56" s="76">
        <f t="shared" si="23"/>
        <v>0</v>
      </c>
      <c r="H56" s="76">
        <f t="shared" si="23"/>
        <v>0</v>
      </c>
      <c r="I56" s="76">
        <f t="shared" si="23"/>
        <v>0</v>
      </c>
      <c r="J56" s="76">
        <f t="shared" si="23"/>
        <v>0</v>
      </c>
      <c r="K56" s="74">
        <f t="shared" si="23"/>
        <v>0</v>
      </c>
      <c r="L56" s="74">
        <f t="shared" si="23"/>
        <v>0</v>
      </c>
      <c r="M56" s="74">
        <f t="shared" si="23"/>
        <v>0</v>
      </c>
      <c r="N56" s="74">
        <f t="shared" si="23"/>
        <v>0</v>
      </c>
      <c r="O56" s="76">
        <f t="shared" si="23"/>
        <v>0</v>
      </c>
      <c r="P56" s="76">
        <f t="shared" si="23"/>
        <v>0</v>
      </c>
      <c r="Q56" s="74">
        <f t="shared" si="23"/>
        <v>0</v>
      </c>
      <c r="R56" s="74">
        <f t="shared" si="23"/>
        <v>0</v>
      </c>
      <c r="S56" s="74">
        <f t="shared" si="23"/>
        <v>0</v>
      </c>
      <c r="T56" s="74">
        <f t="shared" si="23"/>
        <v>0</v>
      </c>
      <c r="U56" s="74">
        <f t="shared" si="23"/>
        <v>0</v>
      </c>
      <c r="V56" s="76">
        <f t="shared" si="23"/>
        <v>0</v>
      </c>
      <c r="W56" s="76">
        <f t="shared" si="23"/>
        <v>0</v>
      </c>
      <c r="X56" s="74">
        <f t="shared" si="23"/>
        <v>0</v>
      </c>
      <c r="Y56" s="74">
        <f t="shared" si="23"/>
        <v>3286.5839999999998</v>
      </c>
      <c r="Z56" s="74">
        <f t="shared" si="23"/>
        <v>0</v>
      </c>
      <c r="AA56" s="74">
        <f t="shared" si="23"/>
        <v>0</v>
      </c>
      <c r="AB56" s="76">
        <f t="shared" si="23"/>
        <v>0</v>
      </c>
      <c r="AC56" s="76">
        <f t="shared" si="23"/>
        <v>0</v>
      </c>
      <c r="AD56" s="76">
        <f t="shared" si="23"/>
        <v>0</v>
      </c>
      <c r="AE56" s="74">
        <f t="shared" si="23"/>
        <v>1212.9000000000001</v>
      </c>
      <c r="AF56" s="74">
        <f t="shared" si="23"/>
        <v>0</v>
      </c>
      <c r="AG56" s="74">
        <f t="shared" si="23"/>
        <v>0</v>
      </c>
      <c r="AH56" s="74">
        <f t="shared" si="23"/>
        <v>0</v>
      </c>
      <c r="AI56" s="74">
        <f t="shared" si="23"/>
        <v>422.01</v>
      </c>
      <c r="AJ56" s="61">
        <f t="shared" si="18"/>
        <v>4921.4940000000006</v>
      </c>
      <c r="AK56" s="69">
        <f t="shared" si="13"/>
        <v>-1721.4940000000006</v>
      </c>
    </row>
    <row r="57" spans="1:37" s="39" customFormat="1" ht="20.10000000000000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Май'!$C$57,разходи!$M:$M,'ПП Май'!E2)</f>
        <v>0</v>
      </c>
      <c r="F57" s="74">
        <f>SUMIFS(разходи!$L:$L,разходи!$E:$E,'ПП Май'!$C$57,разходи!$M:$M,'ПП Май'!F2)</f>
        <v>0</v>
      </c>
      <c r="G57" s="76">
        <f>SUMIFS(разходи!$L:$L,разходи!$E:$E,'ПП Май'!$C$57,разходи!$M:$M,'ПП Май'!G2)</f>
        <v>0</v>
      </c>
      <c r="H57" s="76">
        <f>SUMIFS(разходи!$L:$L,разходи!$E:$E,'ПП Май'!$C$57,разходи!$M:$M,'ПП Май'!H2)</f>
        <v>0</v>
      </c>
      <c r="I57" s="76">
        <f>SUMIFS(разходи!$L:$L,разходи!$E:$E,'ПП Май'!$C$57,разходи!$M:$M,'ПП Май'!I2)</f>
        <v>0</v>
      </c>
      <c r="J57" s="76">
        <f>SUMIFS(разходи!$L:$L,разходи!$E:$E,'ПП Май'!$C$57,разходи!$M:$M,'ПП Май'!J2)</f>
        <v>0</v>
      </c>
      <c r="K57" s="74">
        <f>SUMIFS(разходи!$L:$L,разходи!$E:$E,'ПП Май'!$C$57,разходи!$M:$M,'ПП Май'!K2)</f>
        <v>0</v>
      </c>
      <c r="L57" s="74">
        <f>SUMIFS(разходи!$L:$L,разходи!$E:$E,'ПП Май'!$C$57,разходи!$M:$M,'ПП Май'!L2)</f>
        <v>0</v>
      </c>
      <c r="M57" s="74">
        <f>SUMIFS(разходи!$L:$L,разходи!$E:$E,'ПП Май'!$C$57,разходи!$M:$M,'ПП Май'!M2)</f>
        <v>0</v>
      </c>
      <c r="N57" s="74">
        <f>SUMIFS(разходи!$L:$L,разходи!$E:$E,'ПП Май'!$C$57,разходи!$M:$M,'ПП Май'!N2)</f>
        <v>0</v>
      </c>
      <c r="O57" s="76">
        <f>SUMIFS(разходи!$L:$L,разходи!$E:$E,'ПП Май'!$C$57,разходи!$M:$M,'ПП Май'!O2)</f>
        <v>0</v>
      </c>
      <c r="P57" s="76">
        <f>SUMIFS(разходи!$L:$L,разходи!$E:$E,'ПП Май'!$C$57,разходи!$M:$M,'ПП Май'!P2)</f>
        <v>0</v>
      </c>
      <c r="Q57" s="74">
        <f>SUMIFS(разходи!$L:$L,разходи!$E:$E,'ПП Май'!$C$57,разходи!$M:$M,'ПП Май'!Q2)</f>
        <v>0</v>
      </c>
      <c r="R57" s="74">
        <f>SUMIFS(разходи!$L:$L,разходи!$E:$E,'ПП Май'!$C$57,разходи!$M:$M,'ПП Май'!R2)</f>
        <v>0</v>
      </c>
      <c r="S57" s="74">
        <f>SUMIFS(разходи!$L:$L,разходи!$E:$E,'ПП Май'!$C$57,разходи!$M:$M,'ПП Май'!S2)</f>
        <v>0</v>
      </c>
      <c r="T57" s="74">
        <f>SUMIFS(разходи!$L:$L,разходи!$E:$E,'ПП Май'!$C$57,разходи!$M:$M,'ПП Май'!T2)</f>
        <v>0</v>
      </c>
      <c r="U57" s="74">
        <f>SUMIFS(разходи!$L:$L,разходи!$E:$E,'ПП Май'!$C$57,разходи!$M:$M,'ПП Май'!U2)</f>
        <v>0</v>
      </c>
      <c r="V57" s="76">
        <f>SUMIFS(разходи!$L:$L,разходи!$E:$E,'ПП Май'!$C$57,разходи!$M:$M,'ПП Май'!V2)</f>
        <v>0</v>
      </c>
      <c r="W57" s="76">
        <f>SUMIFS(разходи!$L:$L,разходи!$E:$E,'ПП Май'!$C$57,разходи!$M:$M,'ПП Май'!W2)</f>
        <v>0</v>
      </c>
      <c r="X57" s="74">
        <f>SUMIFS(разходи!$L:$L,разходи!$E:$E,'ПП Май'!$C$57,разходи!$M:$M,'ПП Май'!X2)</f>
        <v>0</v>
      </c>
      <c r="Y57" s="74">
        <f>SUMIFS(разходи!$L:$L,разходи!$E:$E,'ПП Май'!$C$57,разходи!$M:$M,'ПП Май'!Y2)</f>
        <v>0</v>
      </c>
      <c r="Z57" s="74">
        <f>SUMIFS(разходи!$L:$L,разходи!$E:$E,'ПП Май'!$C$57,разходи!$M:$M,'ПП Май'!Z2)</f>
        <v>0</v>
      </c>
      <c r="AA57" s="74">
        <f>SUMIFS(разходи!$L:$L,разходи!$E:$E,'ПП Май'!$C$57,разходи!$M:$M,'ПП Май'!AA2)</f>
        <v>0</v>
      </c>
      <c r="AB57" s="76">
        <f>SUMIFS(разходи!$L:$L,разходи!$E:$E,'ПП Май'!$C$57,разходи!$M:$M,'ПП Май'!AB2)</f>
        <v>0</v>
      </c>
      <c r="AC57" s="76">
        <f>SUMIFS(разходи!$L:$L,разходи!$E:$E,'ПП Май'!$C$57,разходи!$M:$M,'ПП Май'!AC2)</f>
        <v>0</v>
      </c>
      <c r="AD57" s="76">
        <f>SUMIFS(разходи!$L:$L,разходи!$E:$E,'ПП Май'!$C$57,разходи!$M:$M,'ПП Май'!AD2)</f>
        <v>0</v>
      </c>
      <c r="AE57" s="74">
        <f>SUMIFS(разходи!$L:$L,разходи!$E:$E,'ПП Май'!$C$57,разходи!$M:$M,'ПП Май'!AE2)</f>
        <v>0</v>
      </c>
      <c r="AF57" s="74">
        <f>SUMIFS(разходи!$L:$L,разходи!$E:$E,'ПП Май'!$C$57,разходи!$M:$M,'ПП Май'!AF2)</f>
        <v>0</v>
      </c>
      <c r="AG57" s="74">
        <f>SUMIFS(разходи!$L:$L,разходи!$E:$E,'ПП Май'!$C$57,разходи!$M:$M,'ПП Май'!AG2)</f>
        <v>0</v>
      </c>
      <c r="AH57" s="74">
        <f>SUMIFS(разходи!$L:$L,разходи!$E:$E,'ПП Май'!$C$57,разходи!$M:$M,'ПП Май'!AH2)</f>
        <v>0</v>
      </c>
      <c r="AI57" s="74">
        <f>SUMIFS(разходи!$L:$L,разходи!$E:$E,'ПП Май'!$C$57,разходи!$M:$M,'ПП Май'!AI2)</f>
        <v>0</v>
      </c>
      <c r="AJ57" s="61">
        <f t="shared" si="18"/>
        <v>0</v>
      </c>
      <c r="AK57" s="69">
        <f t="shared" si="13"/>
        <v>0</v>
      </c>
    </row>
    <row r="58" spans="1:37" s="39" customFormat="1" ht="20.100000000000001" customHeight="1" outlineLevel="2" x14ac:dyDescent="0.3">
      <c r="A58" s="37"/>
      <c r="B58" s="38"/>
      <c r="C58" s="49" t="s">
        <v>872</v>
      </c>
      <c r="D58" s="80">
        <v>1600</v>
      </c>
      <c r="E58" s="76">
        <f>SUMIFS(разходи!$L:$L,разходи!$E:$E,'ПП Май'!$C$58,разходи!$M:$M,'ПП Май'!E2)</f>
        <v>0</v>
      </c>
      <c r="F58" s="74">
        <f>SUMIFS(разходи!$L:$L,разходи!$E:$E,'ПП Май'!$C$58,разходи!$M:$M,'ПП Май'!F2)</f>
        <v>0</v>
      </c>
      <c r="G58" s="76">
        <f>SUMIFS(разходи!$L:$L,разходи!$E:$E,'ПП Май'!$C$58,разходи!$M:$M,'ПП Май'!G2)</f>
        <v>0</v>
      </c>
      <c r="H58" s="76">
        <f>SUMIFS(разходи!$L:$L,разходи!$E:$E,'ПП Май'!$C$58,разходи!$M:$M,'ПП Май'!H2)</f>
        <v>0</v>
      </c>
      <c r="I58" s="76">
        <f>SUMIFS(разходи!$L:$L,разходи!$E:$E,'ПП Май'!$C$58,разходи!$M:$M,'ПП Май'!I2)</f>
        <v>0</v>
      </c>
      <c r="J58" s="76">
        <f>SUMIFS(разходи!$L:$L,разходи!$E:$E,'ПП Май'!$C$58,разходи!$M:$M,'ПП Май'!J2)</f>
        <v>0</v>
      </c>
      <c r="K58" s="74">
        <f>SUMIFS(разходи!$L:$L,разходи!$E:$E,'ПП Май'!$C$58,разходи!$M:$M,'ПП Май'!K2)</f>
        <v>0</v>
      </c>
      <c r="L58" s="74">
        <f>SUMIFS(разходи!$L:$L,разходи!$E:$E,'ПП Май'!$C$58,разходи!$M:$M,'ПП Май'!L2)</f>
        <v>0</v>
      </c>
      <c r="M58" s="74">
        <f>SUMIFS(разходи!$L:$L,разходи!$E:$E,'ПП Май'!$C$58,разходи!$M:$M,'ПП Май'!M2)</f>
        <v>0</v>
      </c>
      <c r="N58" s="74">
        <f>SUMIFS(разходи!$L:$L,разходи!$E:$E,'ПП Май'!$C$58,разходи!$M:$M,'ПП Май'!N2)</f>
        <v>0</v>
      </c>
      <c r="O58" s="76">
        <f>SUMIFS(разходи!$L:$L,разходи!$E:$E,'ПП Май'!$C$58,разходи!$M:$M,'ПП Май'!O2)</f>
        <v>0</v>
      </c>
      <c r="P58" s="76">
        <f>SUMIFS(разходи!$L:$L,разходи!$E:$E,'ПП Май'!$C$58,разходи!$M:$M,'ПП Май'!P2)</f>
        <v>0</v>
      </c>
      <c r="Q58" s="74">
        <f>SUMIFS(разходи!$L:$L,разходи!$E:$E,'ПП Май'!$C$58,разходи!$M:$M,'ПП Май'!Q2)</f>
        <v>0</v>
      </c>
      <c r="R58" s="74">
        <f>SUMIFS(разходи!$L:$L,разходи!$E:$E,'ПП Май'!$C$58,разходи!$M:$M,'ПП Май'!R2)</f>
        <v>0</v>
      </c>
      <c r="S58" s="74">
        <f>SUMIFS(разходи!$L:$L,разходи!$E:$E,'ПП Май'!$C$58,разходи!$M:$M,'ПП Май'!S2)</f>
        <v>0</v>
      </c>
      <c r="T58" s="74">
        <f>SUMIFS(разходи!$L:$L,разходи!$E:$E,'ПП Май'!$C$58,разходи!$M:$M,'ПП Май'!T2)</f>
        <v>0</v>
      </c>
      <c r="U58" s="74">
        <f>SUMIFS(разходи!$L:$L,разходи!$E:$E,'ПП Май'!$C$58,разходи!$M:$M,'ПП Май'!U2)</f>
        <v>0</v>
      </c>
      <c r="V58" s="76">
        <f>SUMIFS(разходи!$L:$L,разходи!$E:$E,'ПП Май'!$C$58,разходи!$M:$M,'ПП Май'!V2)</f>
        <v>0</v>
      </c>
      <c r="W58" s="76">
        <f>SUMIFS(разходи!$L:$L,разходи!$E:$E,'ПП Май'!$C$58,разходи!$M:$M,'ПП Май'!W2)</f>
        <v>0</v>
      </c>
      <c r="X58" s="74">
        <f>SUMIFS(разходи!$L:$L,разходи!$E:$E,'ПП Май'!$C$58,разходи!$M:$M,'ПП Май'!X2)</f>
        <v>0</v>
      </c>
      <c r="Y58" s="74">
        <f>SUMIFS(разходи!$L:$L,разходи!$E:$E,'ПП Май'!$C$58,разходи!$M:$M,'ПП Май'!Y2)</f>
        <v>0</v>
      </c>
      <c r="Z58" s="74">
        <f>SUMIFS(разходи!$L:$L,разходи!$E:$E,'ПП Май'!$C$58,разходи!$M:$M,'ПП Май'!Z2)</f>
        <v>0</v>
      </c>
      <c r="AA58" s="74">
        <f>SUMIFS(разходи!$L:$L,разходи!$E:$E,'ПП Май'!$C$58,разходи!$M:$M,'ПП Май'!AA2)</f>
        <v>0</v>
      </c>
      <c r="AB58" s="76">
        <f>SUMIFS(разходи!$L:$L,разходи!$E:$E,'ПП Май'!$C$58,разходи!$M:$M,'ПП Май'!AB2)</f>
        <v>0</v>
      </c>
      <c r="AC58" s="76">
        <f>SUMIFS(разходи!$L:$L,разходи!$E:$E,'ПП Май'!$C$58,разходи!$M:$M,'ПП Май'!AC2)</f>
        <v>0</v>
      </c>
      <c r="AD58" s="76">
        <f>SUMIFS(разходи!$L:$L,разходи!$E:$E,'ПП Май'!$C$58,разходи!$M:$M,'ПП Май'!AD2)</f>
        <v>0</v>
      </c>
      <c r="AE58" s="74">
        <f>SUMIFS(разходи!$L:$L,разходи!$E:$E,'ПП Май'!$C$58,разходи!$M:$M,'ПП Май'!AE2)</f>
        <v>1212.9000000000001</v>
      </c>
      <c r="AF58" s="74">
        <f>SUMIFS(разходи!$L:$L,разходи!$E:$E,'ПП Май'!$C$58,разходи!$M:$M,'ПП Май'!AF2)</f>
        <v>0</v>
      </c>
      <c r="AG58" s="74">
        <f>SUMIFS(разходи!$L:$L,разходи!$E:$E,'ПП Май'!$C$58,разходи!$M:$M,'ПП Май'!AG2)</f>
        <v>0</v>
      </c>
      <c r="AH58" s="74">
        <f>SUMIFS(разходи!$L:$L,разходи!$E:$E,'ПП Май'!$C$58,разходи!$M:$M,'ПП Май'!AH2)</f>
        <v>0</v>
      </c>
      <c r="AI58" s="74">
        <f>SUMIFS(разходи!$L:$L,разходи!$E:$E,'ПП Май'!$C$58,разходи!$M:$M,'ПП Май'!AI2)</f>
        <v>0</v>
      </c>
      <c r="AJ58" s="61">
        <f t="shared" si="18"/>
        <v>1212.9000000000001</v>
      </c>
      <c r="AK58" s="69">
        <f t="shared" si="13"/>
        <v>387.09999999999991</v>
      </c>
    </row>
    <row r="59" spans="1:37" s="39" customFormat="1" ht="20.100000000000001" customHeight="1" outlineLevel="2" x14ac:dyDescent="0.3">
      <c r="A59" s="37"/>
      <c r="B59" s="38"/>
      <c r="C59" s="49" t="s">
        <v>786</v>
      </c>
      <c r="D59" s="80">
        <v>1600</v>
      </c>
      <c r="E59" s="76">
        <f>SUMIFS(разходи!$L:$L,разходи!$E:$E,'ПП Май'!$C$59,разходи!$M:$M,'ПП Май'!E2)</f>
        <v>0</v>
      </c>
      <c r="F59" s="74">
        <f>SUMIFS(разходи!$L:$L,разходи!$E:$E,'ПП Май'!$C$59,разходи!$M:$M,'ПП Май'!F2)</f>
        <v>0</v>
      </c>
      <c r="G59" s="76">
        <f>SUMIFS(разходи!$L:$L,разходи!$E:$E,'ПП Май'!$C$59,разходи!$M:$M,'ПП Май'!G2)</f>
        <v>0</v>
      </c>
      <c r="H59" s="76">
        <f>SUMIFS(разходи!$L:$L,разходи!$E:$E,'ПП Май'!$C$59,разходи!$M:$M,'ПП Май'!H2)</f>
        <v>0</v>
      </c>
      <c r="I59" s="76">
        <f>SUMIFS(разходи!$L:$L,разходи!$E:$E,'ПП Май'!$C$59,разходи!$M:$M,'ПП Май'!I2)</f>
        <v>0</v>
      </c>
      <c r="J59" s="76">
        <f>SUMIFS(разходи!$L:$L,разходи!$E:$E,'ПП Май'!$C$59,разходи!$M:$M,'ПП Май'!J2)</f>
        <v>0</v>
      </c>
      <c r="K59" s="74">
        <f>SUMIFS(разходи!$L:$L,разходи!$E:$E,'ПП Май'!$C$59,разходи!$M:$M,'ПП Май'!K2)</f>
        <v>0</v>
      </c>
      <c r="L59" s="74">
        <f>SUMIFS(разходи!$L:$L,разходи!$E:$E,'ПП Май'!$C$59,разходи!$M:$M,'ПП Май'!L2)</f>
        <v>0</v>
      </c>
      <c r="M59" s="74">
        <f>SUMIFS(разходи!$L:$L,разходи!$E:$E,'ПП Май'!$C$59,разходи!$M:$M,'ПП Май'!M2)</f>
        <v>0</v>
      </c>
      <c r="N59" s="74">
        <f>SUMIFS(разходи!$L:$L,разходи!$E:$E,'ПП Май'!$C$59,разходи!$M:$M,'ПП Май'!N2)</f>
        <v>0</v>
      </c>
      <c r="O59" s="76">
        <f>SUMIFS(разходи!$L:$L,разходи!$E:$E,'ПП Май'!$C$59,разходи!$M:$M,'ПП Май'!O2)</f>
        <v>0</v>
      </c>
      <c r="P59" s="76">
        <f>SUMIFS(разходи!$L:$L,разходи!$E:$E,'ПП Май'!$C$59,разходи!$M:$M,'ПП Май'!P2)</f>
        <v>0</v>
      </c>
      <c r="Q59" s="74">
        <f>SUMIFS(разходи!$L:$L,разходи!$E:$E,'ПП Май'!$C$59,разходи!$M:$M,'ПП Май'!Q2)</f>
        <v>0</v>
      </c>
      <c r="R59" s="74">
        <f>SUMIFS(разходи!$L:$L,разходи!$E:$E,'ПП Май'!$C$59,разходи!$M:$M,'ПП Май'!R2)</f>
        <v>0</v>
      </c>
      <c r="S59" s="74">
        <f>SUMIFS(разходи!$L:$L,разходи!$E:$E,'ПП Май'!$C$59,разходи!$M:$M,'ПП Май'!S2)</f>
        <v>0</v>
      </c>
      <c r="T59" s="74">
        <f>SUMIFS(разходи!$L:$L,разходи!$E:$E,'ПП Май'!$C$59,разходи!$M:$M,'ПП Май'!T2)</f>
        <v>0</v>
      </c>
      <c r="U59" s="74">
        <f>SUMIFS(разходи!$L:$L,разходи!$E:$E,'ПП Май'!$C$59,разходи!$M:$M,'ПП Май'!U2)</f>
        <v>0</v>
      </c>
      <c r="V59" s="76">
        <f>SUMIFS(разходи!$L:$L,разходи!$E:$E,'ПП Май'!$C$59,разходи!$M:$M,'ПП Май'!V2)</f>
        <v>0</v>
      </c>
      <c r="W59" s="76">
        <f>SUMIFS(разходи!$L:$L,разходи!$E:$E,'ПП Май'!$C$59,разходи!$M:$M,'ПП Май'!W2)</f>
        <v>0</v>
      </c>
      <c r="X59" s="74">
        <f>SUMIFS(разходи!$L:$L,разходи!$E:$E,'ПП Май'!$C$59,разходи!$M:$M,'ПП Май'!X2)</f>
        <v>0</v>
      </c>
      <c r="Y59" s="74">
        <f>SUMIFS(разходи!$L:$L,разходи!$E:$E,'ПП Май'!$C$59,разходи!$M:$M,'ПП Май'!Y2)</f>
        <v>3286.5839999999998</v>
      </c>
      <c r="Z59" s="74">
        <f>SUMIFS(разходи!$L:$L,разходи!$E:$E,'ПП Май'!$C$59,разходи!$M:$M,'ПП Май'!Z2)</f>
        <v>0</v>
      </c>
      <c r="AA59" s="74">
        <f>SUMIFS(разходи!$L:$L,разходи!$E:$E,'ПП Май'!$C$59,разходи!$M:$M,'ПП Май'!AA2)</f>
        <v>0</v>
      </c>
      <c r="AB59" s="76">
        <f>SUMIFS(разходи!$L:$L,разходи!$E:$E,'ПП Май'!$C$59,разходи!$M:$M,'ПП Май'!AB2)</f>
        <v>0</v>
      </c>
      <c r="AC59" s="76">
        <f>SUMIFS(разходи!$L:$L,разходи!$E:$E,'ПП Май'!$C$59,разходи!$M:$M,'ПП Май'!AC2)</f>
        <v>0</v>
      </c>
      <c r="AD59" s="76">
        <f>SUMIFS(разходи!$L:$L,разходи!$E:$E,'ПП Май'!$C$59,разходи!$M:$M,'ПП Май'!AD2)</f>
        <v>0</v>
      </c>
      <c r="AE59" s="74">
        <f>SUMIFS(разходи!$L:$L,разходи!$E:$E,'ПП Май'!$C$59,разходи!$M:$M,'ПП Май'!AE2)</f>
        <v>0</v>
      </c>
      <c r="AF59" s="74">
        <f>SUMIFS(разходи!$L:$L,разходи!$E:$E,'ПП Май'!$C$59,разходи!$M:$M,'ПП Май'!AF2)</f>
        <v>0</v>
      </c>
      <c r="AG59" s="74">
        <f>SUMIFS(разходи!$L:$L,разходи!$E:$E,'ПП Май'!$C$59,разходи!$M:$M,'ПП Май'!AG2)</f>
        <v>0</v>
      </c>
      <c r="AH59" s="74">
        <f>SUMIFS(разходи!$L:$L,разходи!$E:$E,'ПП Май'!$C$59,разходи!$M:$M,'ПП Май'!AH2)</f>
        <v>0</v>
      </c>
      <c r="AI59" s="74">
        <f>SUMIFS(разходи!$L:$L,разходи!$E:$E,'ПП Май'!$C$59,разходи!$M:$M,'ПП Май'!AI2)</f>
        <v>0</v>
      </c>
      <c r="AJ59" s="61">
        <f t="shared" si="18"/>
        <v>3286.5839999999998</v>
      </c>
      <c r="AK59" s="69">
        <f t="shared" si="13"/>
        <v>-1686.5839999999998</v>
      </c>
    </row>
    <row r="60" spans="1:37" s="39" customFormat="1" ht="20.10000000000000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Май'!$C$60,разходи!$M:$M,'ПП Май'!E2)</f>
        <v>0</v>
      </c>
      <c r="F60" s="74">
        <f>SUMIFS(разходи!$L:$L,разходи!$E:$E,'ПП Май'!$C$60,разходи!$M:$M,'ПП Май'!F2)</f>
        <v>0</v>
      </c>
      <c r="G60" s="76">
        <f>SUMIFS(разходи!$L:$L,разходи!$E:$E,'ПП Май'!$C$60,разходи!$M:$M,'ПП Май'!G2)</f>
        <v>0</v>
      </c>
      <c r="H60" s="76">
        <f>SUMIFS(разходи!$L:$L,разходи!$E:$E,'ПП Май'!$C$60,разходи!$M:$M,'ПП Май'!H2)</f>
        <v>0</v>
      </c>
      <c r="I60" s="76">
        <f>SUMIFS(разходи!$L:$L,разходи!$E:$E,'ПП Май'!$C$60,разходи!$M:$M,'ПП Май'!I2)</f>
        <v>0</v>
      </c>
      <c r="J60" s="76">
        <f>SUMIFS(разходи!$L:$L,разходи!$E:$E,'ПП Май'!$C$60,разходи!$M:$M,'ПП Май'!J2)</f>
        <v>0</v>
      </c>
      <c r="K60" s="74">
        <f>SUMIFS(разходи!$L:$L,разходи!$E:$E,'ПП Май'!$C$60,разходи!$M:$M,'ПП Май'!K2)</f>
        <v>0</v>
      </c>
      <c r="L60" s="74">
        <f>SUMIFS(разходи!$L:$L,разходи!$E:$E,'ПП Май'!$C$60,разходи!$M:$M,'ПП Май'!L2)</f>
        <v>0</v>
      </c>
      <c r="M60" s="74">
        <f>SUMIFS(разходи!$L:$L,разходи!$E:$E,'ПП Май'!$C$60,разходи!$M:$M,'ПП Май'!M2)</f>
        <v>0</v>
      </c>
      <c r="N60" s="74">
        <f>SUMIFS(разходи!$L:$L,разходи!$E:$E,'ПП Май'!$C$60,разходи!$M:$M,'ПП Май'!N2)</f>
        <v>0</v>
      </c>
      <c r="O60" s="76">
        <f>SUMIFS(разходи!$L:$L,разходи!$E:$E,'ПП Май'!$C$60,разходи!$M:$M,'ПП Май'!O2)</f>
        <v>0</v>
      </c>
      <c r="P60" s="76">
        <f>SUMIFS(разходи!$L:$L,разходи!$E:$E,'ПП Май'!$C$60,разходи!$M:$M,'ПП Май'!P2)</f>
        <v>0</v>
      </c>
      <c r="Q60" s="74">
        <f>SUMIFS(разходи!$L:$L,разходи!$E:$E,'ПП Май'!$C$60,разходи!$M:$M,'ПП Май'!Q2)</f>
        <v>0</v>
      </c>
      <c r="R60" s="74">
        <f>SUMIFS(разходи!$L:$L,разходи!$E:$E,'ПП Май'!$C$60,разходи!$M:$M,'ПП Май'!R2)</f>
        <v>0</v>
      </c>
      <c r="S60" s="74">
        <f>SUMIFS(разходи!$L:$L,разходи!$E:$E,'ПП Май'!$C$60,разходи!$M:$M,'ПП Май'!S2)</f>
        <v>0</v>
      </c>
      <c r="T60" s="74">
        <f>SUMIFS(разходи!$L:$L,разходи!$E:$E,'ПП Май'!$C$60,разходи!$M:$M,'ПП Май'!T2)</f>
        <v>0</v>
      </c>
      <c r="U60" s="74">
        <f>SUMIFS(разходи!$L:$L,разходи!$E:$E,'ПП Май'!$C$60,разходи!$M:$M,'ПП Май'!U2)</f>
        <v>0</v>
      </c>
      <c r="V60" s="76">
        <f>SUMIFS(разходи!$L:$L,разходи!$E:$E,'ПП Май'!$C$60,разходи!$M:$M,'ПП Май'!V2)</f>
        <v>0</v>
      </c>
      <c r="W60" s="76">
        <f>SUMIFS(разходи!$L:$L,разходи!$E:$E,'ПП Май'!$C$60,разходи!$M:$M,'ПП Май'!W2)</f>
        <v>0</v>
      </c>
      <c r="X60" s="74">
        <f>SUMIFS(разходи!$L:$L,разходи!$E:$E,'ПП Май'!$C$60,разходи!$M:$M,'ПП Май'!X2)</f>
        <v>0</v>
      </c>
      <c r="Y60" s="74">
        <f>SUMIFS(разходи!$L:$L,разходи!$E:$E,'ПП Май'!$C$60,разходи!$M:$M,'ПП Май'!Y2)</f>
        <v>0</v>
      </c>
      <c r="Z60" s="74">
        <f>SUMIFS(разходи!$L:$L,разходи!$E:$E,'ПП Май'!$C$60,разходи!$M:$M,'ПП Май'!Z2)</f>
        <v>0</v>
      </c>
      <c r="AA60" s="74">
        <f>SUMIFS(разходи!$L:$L,разходи!$E:$E,'ПП Май'!$C$60,разходи!$M:$M,'ПП Май'!AA2)</f>
        <v>0</v>
      </c>
      <c r="AB60" s="76">
        <f>SUMIFS(разходи!$L:$L,разходи!$E:$E,'ПП Май'!$C$60,разходи!$M:$M,'ПП Май'!AB2)</f>
        <v>0</v>
      </c>
      <c r="AC60" s="76">
        <f>SUMIFS(разходи!$L:$L,разходи!$E:$E,'ПП Май'!$C$60,разходи!$M:$M,'ПП Май'!AC2)</f>
        <v>0</v>
      </c>
      <c r="AD60" s="76">
        <f>SUMIFS(разходи!$L:$L,разходи!$E:$E,'ПП Май'!$C$60,разходи!$M:$M,'ПП Май'!AD2)</f>
        <v>0</v>
      </c>
      <c r="AE60" s="74">
        <f>SUMIFS(разходи!$L:$L,разходи!$E:$E,'ПП Май'!$C$60,разходи!$M:$M,'ПП Май'!AE2)</f>
        <v>0</v>
      </c>
      <c r="AF60" s="74">
        <f>SUMIFS(разходи!$L:$L,разходи!$E:$E,'ПП Май'!$C$60,разходи!$M:$M,'ПП Май'!AF2)</f>
        <v>0</v>
      </c>
      <c r="AG60" s="74">
        <f>SUMIFS(разходи!$L:$L,разходи!$E:$E,'ПП Май'!$C$60,разходи!$M:$M,'ПП Май'!AG2)</f>
        <v>0</v>
      </c>
      <c r="AH60" s="74">
        <f>SUMIFS(разходи!$L:$L,разходи!$E:$E,'ПП Май'!$C$60,разходи!$M:$M,'ПП Май'!AH2)</f>
        <v>0</v>
      </c>
      <c r="AI60" s="74">
        <f>SUMIFS(разходи!$L:$L,разходи!$E:$E,'ПП Май'!$C$60,разходи!$M:$M,'ПП Май'!AI2)</f>
        <v>0</v>
      </c>
      <c r="AJ60" s="61">
        <f t="shared" si="18"/>
        <v>0</v>
      </c>
      <c r="AK60" s="69">
        <f t="shared" si="13"/>
        <v>0</v>
      </c>
    </row>
    <row r="61" spans="1:37" s="39" customFormat="1" ht="20.10000000000000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Май'!$C$61,разходи!$M:$M,'ПП Май'!E2)</f>
        <v>0</v>
      </c>
      <c r="F61" s="74">
        <f>SUMIFS(разходи!$L:$L,разходи!$E:$E,'ПП Май'!$C$61,разходи!$M:$M,'ПП Май'!F2)</f>
        <v>0</v>
      </c>
      <c r="G61" s="76">
        <f>SUMIFS(разходи!$L:$L,разходи!$E:$E,'ПП Май'!$C$61,разходи!$M:$M,'ПП Май'!G2)</f>
        <v>0</v>
      </c>
      <c r="H61" s="76">
        <f>SUMIFS(разходи!$L:$L,разходи!$E:$E,'ПП Май'!$C$61,разходи!$M:$M,'ПП Май'!H2)</f>
        <v>0</v>
      </c>
      <c r="I61" s="76">
        <f>SUMIFS(разходи!$L:$L,разходи!$E:$E,'ПП Май'!$C$61,разходи!$M:$M,'ПП Май'!I2)</f>
        <v>0</v>
      </c>
      <c r="J61" s="76">
        <f>SUMIFS(разходи!$L:$L,разходи!$E:$E,'ПП Май'!$C$61,разходи!$M:$M,'ПП Май'!J2)</f>
        <v>0</v>
      </c>
      <c r="K61" s="74">
        <f>SUMIFS(разходи!$L:$L,разходи!$E:$E,'ПП Май'!$C$61,разходи!$M:$M,'ПП Май'!K2)</f>
        <v>0</v>
      </c>
      <c r="L61" s="74">
        <f>SUMIFS(разходи!$L:$L,разходи!$E:$E,'ПП Май'!$C$61,разходи!$M:$M,'ПП Май'!L2)</f>
        <v>0</v>
      </c>
      <c r="M61" s="74">
        <f>SUMIFS(разходи!$L:$L,разходи!$E:$E,'ПП Май'!$C$61,разходи!$M:$M,'ПП Май'!M2)</f>
        <v>0</v>
      </c>
      <c r="N61" s="74">
        <f>SUMIFS(разходи!$L:$L,разходи!$E:$E,'ПП Май'!$C$61,разходи!$M:$M,'ПП Май'!N2)</f>
        <v>0</v>
      </c>
      <c r="O61" s="76">
        <f>SUMIFS(разходи!$L:$L,разходи!$E:$E,'ПП Май'!$C$61,разходи!$M:$M,'ПП Май'!O2)</f>
        <v>0</v>
      </c>
      <c r="P61" s="76">
        <f>SUMIFS(разходи!$L:$L,разходи!$E:$E,'ПП Май'!$C$61,разходи!$M:$M,'ПП Май'!P2)</f>
        <v>0</v>
      </c>
      <c r="Q61" s="74">
        <f>SUMIFS(разходи!$L:$L,разходи!$E:$E,'ПП Май'!$C$61,разходи!$M:$M,'ПП Май'!Q2)</f>
        <v>0</v>
      </c>
      <c r="R61" s="74">
        <f>SUMIFS(разходи!$L:$L,разходи!$E:$E,'ПП Май'!$C$61,разходи!$M:$M,'ПП Май'!R2)</f>
        <v>0</v>
      </c>
      <c r="S61" s="74">
        <f>SUMIFS(разходи!$L:$L,разходи!$E:$E,'ПП Май'!$C$61,разходи!$M:$M,'ПП Май'!S2)</f>
        <v>0</v>
      </c>
      <c r="T61" s="74">
        <f>SUMIFS(разходи!$L:$L,разходи!$E:$E,'ПП Май'!$C$61,разходи!$M:$M,'ПП Май'!T2)</f>
        <v>0</v>
      </c>
      <c r="U61" s="74">
        <f>SUMIFS(разходи!$L:$L,разходи!$E:$E,'ПП Май'!$C$61,разходи!$M:$M,'ПП Май'!U2)</f>
        <v>0</v>
      </c>
      <c r="V61" s="76">
        <f>SUMIFS(разходи!$L:$L,разходи!$E:$E,'ПП Май'!$C$61,разходи!$M:$M,'ПП Май'!V2)</f>
        <v>0</v>
      </c>
      <c r="W61" s="76">
        <f>SUMIFS(разходи!$L:$L,разходи!$E:$E,'ПП Май'!$C$61,разходи!$M:$M,'ПП Май'!W2)</f>
        <v>0</v>
      </c>
      <c r="X61" s="74">
        <f>SUMIFS(разходи!$L:$L,разходи!$E:$E,'ПП Май'!$C$61,разходи!$M:$M,'ПП Май'!X2)</f>
        <v>0</v>
      </c>
      <c r="Y61" s="74">
        <f>SUMIFS(разходи!$L:$L,разходи!$E:$E,'ПП Май'!$C$61,разходи!$M:$M,'ПП Май'!Y2)</f>
        <v>0</v>
      </c>
      <c r="Z61" s="74">
        <f>SUMIFS(разходи!$L:$L,разходи!$E:$E,'ПП Май'!$C$61,разходи!$M:$M,'ПП Май'!Z2)</f>
        <v>0</v>
      </c>
      <c r="AA61" s="74">
        <f>SUMIFS(разходи!$L:$L,разходи!$E:$E,'ПП Май'!$C$61,разходи!$M:$M,'ПП Май'!AA2)</f>
        <v>0</v>
      </c>
      <c r="AB61" s="76">
        <f>SUMIFS(разходи!$L:$L,разходи!$E:$E,'ПП Май'!$C$61,разходи!$M:$M,'ПП Май'!AB2)</f>
        <v>0</v>
      </c>
      <c r="AC61" s="76">
        <f>SUMIFS(разходи!$L:$L,разходи!$E:$E,'ПП Май'!$C$61,разходи!$M:$M,'ПП Май'!AC2)</f>
        <v>0</v>
      </c>
      <c r="AD61" s="76">
        <f>SUMIFS(разходи!$L:$L,разходи!$E:$E,'ПП Май'!$C$61,разходи!$M:$M,'ПП Май'!AD2)</f>
        <v>0</v>
      </c>
      <c r="AE61" s="74">
        <f>SUMIFS(разходи!$L:$L,разходи!$E:$E,'ПП Май'!$C$61,разходи!$M:$M,'ПП Май'!AE2)</f>
        <v>0</v>
      </c>
      <c r="AF61" s="74">
        <f>SUMIFS(разходи!$L:$L,разходи!$E:$E,'ПП Май'!$C$61,разходи!$M:$M,'ПП Май'!AF2)</f>
        <v>0</v>
      </c>
      <c r="AG61" s="74">
        <f>SUMIFS(разходи!$L:$L,разходи!$E:$E,'ПП Май'!$C$61,разходи!$M:$M,'ПП Май'!AG2)</f>
        <v>0</v>
      </c>
      <c r="AH61" s="74">
        <f>SUMIFS(разходи!$L:$L,разходи!$E:$E,'ПП Май'!$C$61,разходи!$M:$M,'ПП Май'!AH2)</f>
        <v>0</v>
      </c>
      <c r="AI61" s="74">
        <f>SUMIFS(разходи!$L:$L,разходи!$E:$E,'ПП Май'!$C$61,разходи!$M:$M,'ПП Май'!AI2)</f>
        <v>422.01</v>
      </c>
      <c r="AJ61" s="61">
        <f t="shared" si="18"/>
        <v>422.01</v>
      </c>
      <c r="AK61" s="69">
        <f t="shared" si="13"/>
        <v>-422.01</v>
      </c>
    </row>
    <row r="62" spans="1:37" s="39" customFormat="1" ht="20.100000000000001" customHeight="1" outlineLevel="1" x14ac:dyDescent="0.3">
      <c r="A62" s="37"/>
      <c r="B62" s="38"/>
      <c r="C62" s="32" t="s">
        <v>875</v>
      </c>
      <c r="D62" s="80">
        <v>43000</v>
      </c>
      <c r="E62" s="76">
        <f t="shared" ref="E62:AI62" si="24">SUM(E63:E65)</f>
        <v>0</v>
      </c>
      <c r="F62" s="74">
        <f t="shared" si="24"/>
        <v>0</v>
      </c>
      <c r="G62" s="76">
        <f t="shared" si="24"/>
        <v>0</v>
      </c>
      <c r="H62" s="76">
        <f t="shared" si="24"/>
        <v>0</v>
      </c>
      <c r="I62" s="76">
        <f t="shared" si="24"/>
        <v>0</v>
      </c>
      <c r="J62" s="76">
        <f t="shared" si="24"/>
        <v>0</v>
      </c>
      <c r="K62" s="74">
        <f t="shared" si="24"/>
        <v>0</v>
      </c>
      <c r="L62" s="74">
        <f t="shared" si="24"/>
        <v>0</v>
      </c>
      <c r="M62" s="74">
        <f t="shared" si="24"/>
        <v>0</v>
      </c>
      <c r="N62" s="74">
        <f t="shared" si="24"/>
        <v>0</v>
      </c>
      <c r="O62" s="76">
        <f t="shared" si="24"/>
        <v>0</v>
      </c>
      <c r="P62" s="76">
        <f t="shared" si="24"/>
        <v>0</v>
      </c>
      <c r="Q62" s="74">
        <f t="shared" si="24"/>
        <v>0</v>
      </c>
      <c r="R62" s="74">
        <f t="shared" si="24"/>
        <v>0</v>
      </c>
      <c r="S62" s="74">
        <f t="shared" si="24"/>
        <v>0</v>
      </c>
      <c r="T62" s="74">
        <f t="shared" si="24"/>
        <v>0</v>
      </c>
      <c r="U62" s="74">
        <f t="shared" si="24"/>
        <v>0</v>
      </c>
      <c r="V62" s="76">
        <f t="shared" si="24"/>
        <v>0</v>
      </c>
      <c r="W62" s="76">
        <f t="shared" si="24"/>
        <v>0</v>
      </c>
      <c r="X62" s="74">
        <f t="shared" si="24"/>
        <v>0</v>
      </c>
      <c r="Y62" s="74">
        <f t="shared" si="24"/>
        <v>0</v>
      </c>
      <c r="Z62" s="74">
        <f t="shared" si="24"/>
        <v>0</v>
      </c>
      <c r="AA62" s="74">
        <f t="shared" si="24"/>
        <v>0</v>
      </c>
      <c r="AB62" s="76">
        <f t="shared" si="24"/>
        <v>0</v>
      </c>
      <c r="AC62" s="76">
        <f t="shared" si="24"/>
        <v>0</v>
      </c>
      <c r="AD62" s="76">
        <f t="shared" si="24"/>
        <v>0</v>
      </c>
      <c r="AE62" s="74">
        <f t="shared" si="24"/>
        <v>8909.67</v>
      </c>
      <c r="AF62" s="74">
        <f t="shared" si="24"/>
        <v>0</v>
      </c>
      <c r="AG62" s="74">
        <f t="shared" si="24"/>
        <v>0</v>
      </c>
      <c r="AH62" s="74">
        <f t="shared" si="24"/>
        <v>0</v>
      </c>
      <c r="AI62" s="74">
        <f t="shared" si="24"/>
        <v>0</v>
      </c>
      <c r="AJ62" s="61">
        <f t="shared" si="18"/>
        <v>8909.67</v>
      </c>
      <c r="AK62" s="69">
        <f t="shared" si="13"/>
        <v>34090.33</v>
      </c>
    </row>
    <row r="63" spans="1:37" s="39" customFormat="1" ht="20.100000000000001" customHeight="1" outlineLevel="2" x14ac:dyDescent="0.3">
      <c r="A63" s="37"/>
      <c r="B63" s="38"/>
      <c r="C63" s="50" t="s">
        <v>876</v>
      </c>
      <c r="D63" s="80"/>
      <c r="E63" s="76">
        <f>SUMIFS(разходи!$L:$L,разходи!$E:$E,'ПП Май'!$C$63,разходи!$M:$M,'ПП Май'!E2)</f>
        <v>0</v>
      </c>
      <c r="F63" s="74">
        <f>SUMIFS(разходи!$L:$L,разходи!$E:$E,'ПП Май'!$C$63,разходи!$M:$M,'ПП Май'!F2)</f>
        <v>0</v>
      </c>
      <c r="G63" s="76">
        <f>SUMIFS(разходи!$L:$L,разходи!$E:$E,'ПП Май'!$C$63,разходи!$M:$M,'ПП Май'!G2)</f>
        <v>0</v>
      </c>
      <c r="H63" s="76">
        <f>SUMIFS(разходи!$L:$L,разходи!$E:$E,'ПП Май'!$C$63,разходи!$M:$M,'ПП Май'!H2)</f>
        <v>0</v>
      </c>
      <c r="I63" s="76">
        <f>SUMIFS(разходи!$L:$L,разходи!$E:$E,'ПП Май'!$C$63,разходи!$M:$M,'ПП Май'!I2)</f>
        <v>0</v>
      </c>
      <c r="J63" s="76">
        <f>SUMIFS(разходи!$L:$L,разходи!$E:$E,'ПП Май'!$C$63,разходи!$M:$M,'ПП Май'!J2)</f>
        <v>0</v>
      </c>
      <c r="K63" s="74">
        <f>SUMIFS(разходи!$L:$L,разходи!$E:$E,'ПП Май'!$C$63,разходи!$M:$M,'ПП Май'!K2)</f>
        <v>0</v>
      </c>
      <c r="L63" s="74">
        <f>SUMIFS(разходи!$L:$L,разходи!$E:$E,'ПП Май'!$C$63,разходи!$M:$M,'ПП Май'!L2)</f>
        <v>0</v>
      </c>
      <c r="M63" s="74">
        <f>SUMIFS(разходи!$L:$L,разходи!$E:$E,'ПП Май'!$C$63,разходи!$M:$M,'ПП Май'!M2)</f>
        <v>0</v>
      </c>
      <c r="N63" s="74">
        <f>SUMIFS(разходи!$L:$L,разходи!$E:$E,'ПП Май'!$C$63,разходи!$M:$M,'ПП Май'!N2)</f>
        <v>0</v>
      </c>
      <c r="O63" s="76">
        <f>SUMIFS(разходи!$L:$L,разходи!$E:$E,'ПП Май'!$C$63,разходи!$M:$M,'ПП Май'!O2)</f>
        <v>0</v>
      </c>
      <c r="P63" s="76">
        <f>SUMIFS(разходи!$L:$L,разходи!$E:$E,'ПП Май'!$C$63,разходи!$M:$M,'ПП Май'!P2)</f>
        <v>0</v>
      </c>
      <c r="Q63" s="74">
        <f>SUMIFS(разходи!$L:$L,разходи!$E:$E,'ПП Май'!$C$63,разходи!$M:$M,'ПП Май'!Q2)</f>
        <v>0</v>
      </c>
      <c r="R63" s="74">
        <f>SUMIFS(разходи!$L:$L,разходи!$E:$E,'ПП Май'!$C$63,разходи!$M:$M,'ПП Май'!R2)</f>
        <v>0</v>
      </c>
      <c r="S63" s="74">
        <f>SUMIFS(разходи!$L:$L,разходи!$E:$E,'ПП Май'!$C$63,разходи!$M:$M,'ПП Май'!S2)</f>
        <v>0</v>
      </c>
      <c r="T63" s="74">
        <f>SUMIFS(разходи!$L:$L,разходи!$E:$E,'ПП Май'!$C$63,разходи!$M:$M,'ПП Май'!T2)</f>
        <v>0</v>
      </c>
      <c r="U63" s="74">
        <f>SUMIFS(разходи!$L:$L,разходи!$E:$E,'ПП Май'!$C$63,разходи!$M:$M,'ПП Май'!U2)</f>
        <v>0</v>
      </c>
      <c r="V63" s="76">
        <f>SUMIFS(разходи!$L:$L,разходи!$E:$E,'ПП Май'!$C$63,разходи!$M:$M,'ПП Май'!V2)</f>
        <v>0</v>
      </c>
      <c r="W63" s="76">
        <f>SUMIFS(разходи!$L:$L,разходи!$E:$E,'ПП Май'!$C$63,разходи!$M:$M,'ПП Май'!W2)</f>
        <v>0</v>
      </c>
      <c r="X63" s="74">
        <f>SUMIFS(разходи!$L:$L,разходи!$E:$E,'ПП Май'!$C$63,разходи!$M:$M,'ПП Май'!X2)</f>
        <v>0</v>
      </c>
      <c r="Y63" s="74">
        <f>SUMIFS(разходи!$L:$L,разходи!$E:$E,'ПП Май'!$C$63,разходи!$M:$M,'ПП Май'!Y2)</f>
        <v>0</v>
      </c>
      <c r="Z63" s="74">
        <f>SUMIFS(разходи!$L:$L,разходи!$E:$E,'ПП Май'!$C$63,разходи!$M:$M,'ПП Май'!Z2)</f>
        <v>0</v>
      </c>
      <c r="AA63" s="74">
        <f>SUMIFS(разходи!$L:$L,разходи!$E:$E,'ПП Май'!$C$63,разходи!$M:$M,'ПП Май'!AA2)</f>
        <v>0</v>
      </c>
      <c r="AB63" s="76">
        <f>SUMIFS(разходи!$L:$L,разходи!$E:$E,'ПП Май'!$C$63,разходи!$M:$M,'ПП Май'!AB2)</f>
        <v>0</v>
      </c>
      <c r="AC63" s="76">
        <f>SUMIFS(разходи!$L:$L,разходи!$E:$E,'ПП Май'!$C$63,разходи!$M:$M,'ПП Май'!AC2)</f>
        <v>0</v>
      </c>
      <c r="AD63" s="76">
        <f>SUMIFS(разходи!$L:$L,разходи!$E:$E,'ПП Май'!$C$63,разходи!$M:$M,'ПП Май'!AD2)</f>
        <v>0</v>
      </c>
      <c r="AE63" s="74">
        <f>SUMIFS(разходи!$L:$L,разходи!$E:$E,'ПП Май'!$C$63,разходи!$M:$M,'ПП Май'!AE2)</f>
        <v>0</v>
      </c>
      <c r="AF63" s="74">
        <f>SUMIFS(разходи!$L:$L,разходи!$E:$E,'ПП Май'!$C$63,разходи!$M:$M,'ПП Май'!AF2)</f>
        <v>0</v>
      </c>
      <c r="AG63" s="74">
        <f>SUMIFS(разходи!$L:$L,разходи!$E:$E,'ПП Май'!$C$63,разходи!$M:$M,'ПП Май'!AG2)</f>
        <v>0</v>
      </c>
      <c r="AH63" s="74">
        <f>SUMIFS(разходи!$L:$L,разходи!$E:$E,'ПП Май'!$C$63,разходи!$M:$M,'ПП Май'!AH2)</f>
        <v>0</v>
      </c>
      <c r="AI63" s="74">
        <f>SUMIFS(разходи!$L:$L,разходи!$E:$E,'ПП Май'!$C$63,разходи!$M:$M,'ПП Май'!AI2)</f>
        <v>0</v>
      </c>
      <c r="AJ63" s="61">
        <f t="shared" si="18"/>
        <v>0</v>
      </c>
      <c r="AK63" s="69">
        <f t="shared" si="13"/>
        <v>0</v>
      </c>
    </row>
    <row r="64" spans="1:37" s="39" customFormat="1" ht="20.100000000000001" customHeight="1" outlineLevel="2" x14ac:dyDescent="0.3">
      <c r="A64" s="37"/>
      <c r="B64" s="38"/>
      <c r="C64" s="50" t="s">
        <v>623</v>
      </c>
      <c r="D64" s="80"/>
      <c r="E64" s="76">
        <f>SUMIFS(разходи!$L:$L,разходи!$E:$E,'ПП Май'!$C$64,разходи!$M:$M,'ПП Май'!E2)</f>
        <v>0</v>
      </c>
      <c r="F64" s="74">
        <f>SUMIFS(разходи!$L:$L,разходи!$E:$E,'ПП Май'!$C$64,разходи!$M:$M,'ПП Май'!F2)</f>
        <v>0</v>
      </c>
      <c r="G64" s="76">
        <f>SUMIFS(разходи!$L:$L,разходи!$E:$E,'ПП Май'!$C$64,разходи!$M:$M,'ПП Май'!G2)</f>
        <v>0</v>
      </c>
      <c r="H64" s="76">
        <f>SUMIFS(разходи!$L:$L,разходи!$E:$E,'ПП Май'!$C$64,разходи!$M:$M,'ПП Май'!H2)</f>
        <v>0</v>
      </c>
      <c r="I64" s="76">
        <f>SUMIFS(разходи!$L:$L,разходи!$E:$E,'ПП Май'!$C$64,разходи!$M:$M,'ПП Май'!I2)</f>
        <v>0</v>
      </c>
      <c r="J64" s="76">
        <f>SUMIFS(разходи!$L:$L,разходи!$E:$E,'ПП Май'!$C$64,разходи!$M:$M,'ПП Май'!J2)</f>
        <v>0</v>
      </c>
      <c r="K64" s="74">
        <f>SUMIFS(разходи!$L:$L,разходи!$E:$E,'ПП Май'!$C$64,разходи!$M:$M,'ПП Май'!K2)</f>
        <v>0</v>
      </c>
      <c r="L64" s="74">
        <f>SUMIFS(разходи!$L:$L,разходи!$E:$E,'ПП Май'!$C$64,разходи!$M:$M,'ПП Май'!L2)</f>
        <v>0</v>
      </c>
      <c r="M64" s="74">
        <f>SUMIFS(разходи!$L:$L,разходи!$E:$E,'ПП Май'!$C$64,разходи!$M:$M,'ПП Май'!M2)</f>
        <v>0</v>
      </c>
      <c r="N64" s="74">
        <f>SUMIFS(разходи!$L:$L,разходи!$E:$E,'ПП Май'!$C$64,разходи!$M:$M,'ПП Май'!N2)</f>
        <v>0</v>
      </c>
      <c r="O64" s="76">
        <f>SUMIFS(разходи!$L:$L,разходи!$E:$E,'ПП Май'!$C$64,разходи!$M:$M,'ПП Май'!O2)</f>
        <v>0</v>
      </c>
      <c r="P64" s="76">
        <f>SUMIFS(разходи!$L:$L,разходи!$E:$E,'ПП Май'!$C$64,разходи!$M:$M,'ПП Май'!P2)</f>
        <v>0</v>
      </c>
      <c r="Q64" s="74">
        <f>SUMIFS(разходи!$L:$L,разходи!$E:$E,'ПП Май'!$C$64,разходи!$M:$M,'ПП Май'!Q2)</f>
        <v>0</v>
      </c>
      <c r="R64" s="74">
        <f>SUMIFS(разходи!$L:$L,разходи!$E:$E,'ПП Май'!$C$64,разходи!$M:$M,'ПП Май'!R2)</f>
        <v>0</v>
      </c>
      <c r="S64" s="74">
        <f>SUMIFS(разходи!$L:$L,разходи!$E:$E,'ПП Май'!$C$64,разходи!$M:$M,'ПП Май'!S2)</f>
        <v>0</v>
      </c>
      <c r="T64" s="74">
        <f>SUMIFS(разходи!$L:$L,разходи!$E:$E,'ПП Май'!$C$64,разходи!$M:$M,'ПП Май'!T2)</f>
        <v>0</v>
      </c>
      <c r="U64" s="74">
        <f>SUMIFS(разходи!$L:$L,разходи!$E:$E,'ПП Май'!$C$64,разходи!$M:$M,'ПП Май'!U2)</f>
        <v>0</v>
      </c>
      <c r="V64" s="76">
        <f>SUMIFS(разходи!$L:$L,разходи!$E:$E,'ПП Май'!$C$64,разходи!$M:$M,'ПП Май'!V2)</f>
        <v>0</v>
      </c>
      <c r="W64" s="76">
        <f>SUMIFS(разходи!$L:$L,разходи!$E:$E,'ПП Май'!$C$64,разходи!$M:$M,'ПП Май'!W2)</f>
        <v>0</v>
      </c>
      <c r="X64" s="74">
        <f>SUMIFS(разходи!$L:$L,разходи!$E:$E,'ПП Май'!$C$64,разходи!$M:$M,'ПП Май'!X2)</f>
        <v>0</v>
      </c>
      <c r="Y64" s="74">
        <f>SUMIFS(разходи!$L:$L,разходи!$E:$E,'ПП Май'!$C$64,разходи!$M:$M,'ПП Май'!Y2)</f>
        <v>0</v>
      </c>
      <c r="Z64" s="74">
        <f>SUMIFS(разходи!$L:$L,разходи!$E:$E,'ПП Май'!$C$64,разходи!$M:$M,'ПП Май'!Z2)</f>
        <v>0</v>
      </c>
      <c r="AA64" s="74">
        <f>SUMIFS(разходи!$L:$L,разходи!$E:$E,'ПП Май'!$C$64,разходи!$M:$M,'ПП Май'!AA2)</f>
        <v>0</v>
      </c>
      <c r="AB64" s="76">
        <f>SUMIFS(разходи!$L:$L,разходи!$E:$E,'ПП Май'!$C$64,разходи!$M:$M,'ПП Май'!AB2)</f>
        <v>0</v>
      </c>
      <c r="AC64" s="76">
        <f>SUMIFS(разходи!$L:$L,разходи!$E:$E,'ПП Май'!$C$64,разходи!$M:$M,'ПП Май'!AC2)</f>
        <v>0</v>
      </c>
      <c r="AD64" s="76">
        <f>SUMIFS(разходи!$L:$L,разходи!$E:$E,'ПП Май'!$C$64,разходи!$M:$M,'ПП Май'!AD2)</f>
        <v>0</v>
      </c>
      <c r="AE64" s="74">
        <f>SUMIFS(разходи!$L:$L,разходи!$E:$E,'ПП Май'!$C$64,разходи!$M:$M,'ПП Май'!AE2)</f>
        <v>8909.67</v>
      </c>
      <c r="AF64" s="74">
        <f>SUMIFS(разходи!$L:$L,разходи!$E:$E,'ПП Май'!$C$64,разходи!$M:$M,'ПП Май'!AF2)</f>
        <v>0</v>
      </c>
      <c r="AG64" s="74">
        <f>SUMIFS(разходи!$L:$L,разходи!$E:$E,'ПП Май'!$C$64,разходи!$M:$M,'ПП Май'!AG2)</f>
        <v>0</v>
      </c>
      <c r="AH64" s="74">
        <f>SUMIFS(разходи!$L:$L,разходи!$E:$E,'ПП Май'!$C$64,разходи!$M:$M,'ПП Май'!AH2)</f>
        <v>0</v>
      </c>
      <c r="AI64" s="74">
        <f>SUMIFS(разходи!$L:$L,разходи!$E:$E,'ПП Май'!$C$64,разходи!$M:$M,'ПП Май'!AI2)</f>
        <v>0</v>
      </c>
      <c r="AJ64" s="61">
        <f t="shared" si="18"/>
        <v>8909.67</v>
      </c>
      <c r="AK64" s="69">
        <f t="shared" si="13"/>
        <v>-8909.67</v>
      </c>
    </row>
    <row r="65" spans="1:37" s="39" customFormat="1" ht="20.10000000000000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Май'!$C$65,разходи!$M:$M,'ПП Май'!E2)</f>
        <v>0</v>
      </c>
      <c r="F65" s="74">
        <f>SUMIFS(разходи!$L:$L,разходи!$E:$E,'ПП Май'!$C$65,разходи!$M:$M,'ПП Май'!F2)</f>
        <v>0</v>
      </c>
      <c r="G65" s="76">
        <f>SUMIFS(разходи!$L:$L,разходи!$E:$E,'ПП Май'!$C$65,разходи!$M:$M,'ПП Май'!G2)</f>
        <v>0</v>
      </c>
      <c r="H65" s="76">
        <f>SUMIFS(разходи!$L:$L,разходи!$E:$E,'ПП Май'!$C$65,разходи!$M:$M,'ПП Май'!H2)</f>
        <v>0</v>
      </c>
      <c r="I65" s="76">
        <f>SUMIFS(разходи!$L:$L,разходи!$E:$E,'ПП Май'!$C$65,разходи!$M:$M,'ПП Май'!I2)</f>
        <v>0</v>
      </c>
      <c r="J65" s="76">
        <f>SUMIFS(разходи!$L:$L,разходи!$E:$E,'ПП Май'!$C$65,разходи!$M:$M,'ПП Май'!J2)</f>
        <v>0</v>
      </c>
      <c r="K65" s="74">
        <f>SUMIFS(разходи!$L:$L,разходи!$E:$E,'ПП Май'!$C$65,разходи!$M:$M,'ПП Май'!K2)</f>
        <v>0</v>
      </c>
      <c r="L65" s="74">
        <f>SUMIFS(разходи!$L:$L,разходи!$E:$E,'ПП Май'!$C$65,разходи!$M:$M,'ПП Май'!L2)</f>
        <v>0</v>
      </c>
      <c r="M65" s="74">
        <f>SUMIFS(разходи!$L:$L,разходи!$E:$E,'ПП Май'!$C$65,разходи!$M:$M,'ПП Май'!M2)</f>
        <v>0</v>
      </c>
      <c r="N65" s="74">
        <f>SUMIFS(разходи!$L:$L,разходи!$E:$E,'ПП Май'!$C$65,разходи!$M:$M,'ПП Май'!N2)</f>
        <v>0</v>
      </c>
      <c r="O65" s="76">
        <f>SUMIFS(разходи!$L:$L,разходи!$E:$E,'ПП Май'!$C$65,разходи!$M:$M,'ПП Май'!O2)</f>
        <v>0</v>
      </c>
      <c r="P65" s="76">
        <f>SUMIFS(разходи!$L:$L,разходи!$E:$E,'ПП Май'!$C$65,разходи!$M:$M,'ПП Май'!P2)</f>
        <v>0</v>
      </c>
      <c r="Q65" s="74">
        <f>SUMIFS(разходи!$L:$L,разходи!$E:$E,'ПП Май'!$C$65,разходи!$M:$M,'ПП Май'!Q2)</f>
        <v>0</v>
      </c>
      <c r="R65" s="74">
        <f>SUMIFS(разходи!$L:$L,разходи!$E:$E,'ПП Май'!$C$65,разходи!$M:$M,'ПП Май'!R2)</f>
        <v>0</v>
      </c>
      <c r="S65" s="74">
        <f>SUMIFS(разходи!$L:$L,разходи!$E:$E,'ПП Май'!$C$65,разходи!$M:$M,'ПП Май'!S2)</f>
        <v>0</v>
      </c>
      <c r="T65" s="74">
        <f>SUMIFS(разходи!$L:$L,разходи!$E:$E,'ПП Май'!$C$65,разходи!$M:$M,'ПП Май'!T2)</f>
        <v>0</v>
      </c>
      <c r="U65" s="74">
        <f>SUMIFS(разходи!$L:$L,разходи!$E:$E,'ПП Май'!$C$65,разходи!$M:$M,'ПП Май'!U2)</f>
        <v>0</v>
      </c>
      <c r="V65" s="76">
        <f>SUMIFS(разходи!$L:$L,разходи!$E:$E,'ПП Май'!$C$65,разходи!$M:$M,'ПП Май'!V2)</f>
        <v>0</v>
      </c>
      <c r="W65" s="76">
        <f>SUMIFS(разходи!$L:$L,разходи!$E:$E,'ПП Май'!$C$65,разходи!$M:$M,'ПП Май'!W2)</f>
        <v>0</v>
      </c>
      <c r="X65" s="74">
        <f>SUMIFS(разходи!$L:$L,разходи!$E:$E,'ПП Май'!$C$65,разходи!$M:$M,'ПП Май'!X2)</f>
        <v>0</v>
      </c>
      <c r="Y65" s="74">
        <f>SUMIFS(разходи!$L:$L,разходи!$E:$E,'ПП Май'!$C$65,разходи!$M:$M,'ПП Май'!Y2)</f>
        <v>0</v>
      </c>
      <c r="Z65" s="74">
        <f>SUMIFS(разходи!$L:$L,разходи!$E:$E,'ПП Май'!$C$65,разходи!$M:$M,'ПП Май'!Z2)</f>
        <v>0</v>
      </c>
      <c r="AA65" s="74">
        <f>SUMIFS(разходи!$L:$L,разходи!$E:$E,'ПП Май'!$C$65,разходи!$M:$M,'ПП Май'!AA2)</f>
        <v>0</v>
      </c>
      <c r="AB65" s="76">
        <f>SUMIFS(разходи!$L:$L,разходи!$E:$E,'ПП Май'!$C$65,разходи!$M:$M,'ПП Май'!AB2)</f>
        <v>0</v>
      </c>
      <c r="AC65" s="76">
        <f>SUMIFS(разходи!$L:$L,разходи!$E:$E,'ПП Май'!$C$65,разходи!$M:$M,'ПП Май'!AC2)</f>
        <v>0</v>
      </c>
      <c r="AD65" s="76">
        <f>SUMIFS(разходи!$L:$L,разходи!$E:$E,'ПП Май'!$C$65,разходи!$M:$M,'ПП Май'!AD2)</f>
        <v>0</v>
      </c>
      <c r="AE65" s="74">
        <f>SUMIFS(разходи!$L:$L,разходи!$E:$E,'ПП Май'!$C$65,разходи!$M:$M,'ПП Май'!AE2)</f>
        <v>0</v>
      </c>
      <c r="AF65" s="74">
        <f>SUMIFS(разходи!$L:$L,разходи!$E:$E,'ПП Май'!$C$65,разходи!$M:$M,'ПП Май'!AF2)</f>
        <v>0</v>
      </c>
      <c r="AG65" s="74">
        <f>SUMIFS(разходи!$L:$L,разходи!$E:$E,'ПП Май'!$C$65,разходи!$M:$M,'ПП Май'!AG2)</f>
        <v>0</v>
      </c>
      <c r="AH65" s="74">
        <f>SUMIFS(разходи!$L:$L,разходи!$E:$E,'ПП Май'!$C$65,разходи!$M:$M,'ПП Май'!AH2)</f>
        <v>0</v>
      </c>
      <c r="AI65" s="74">
        <f>SUMIFS(разходи!$L:$L,разходи!$E:$E,'ПП Май'!$C$65,разходи!$M:$M,'ПП Май'!AI2)</f>
        <v>0</v>
      </c>
      <c r="AJ65" s="61">
        <f t="shared" si="18"/>
        <v>0</v>
      </c>
      <c r="AK65" s="69">
        <f t="shared" si="13"/>
        <v>0</v>
      </c>
    </row>
    <row r="66" spans="1:37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I66" si="25">D3-D23</f>
        <v>-6580077</v>
      </c>
      <c r="E66" s="54">
        <f t="shared" si="25"/>
        <v>0</v>
      </c>
      <c r="F66" s="54">
        <f t="shared" si="25"/>
        <v>-905238.51249056007</v>
      </c>
      <c r="G66" s="54">
        <f t="shared" si="25"/>
        <v>0</v>
      </c>
      <c r="H66" s="54">
        <f t="shared" si="25"/>
        <v>0</v>
      </c>
      <c r="I66" s="54">
        <f t="shared" si="25"/>
        <v>0</v>
      </c>
      <c r="J66" s="54">
        <f t="shared" si="25"/>
        <v>0</v>
      </c>
      <c r="K66" s="54">
        <f t="shared" si="25"/>
        <v>-54318.64</v>
      </c>
      <c r="L66" s="54">
        <f t="shared" si="25"/>
        <v>-6422.58</v>
      </c>
      <c r="M66" s="54">
        <f t="shared" si="25"/>
        <v>-353447.17</v>
      </c>
      <c r="N66" s="54">
        <f t="shared" si="25"/>
        <v>-666452.05200000003</v>
      </c>
      <c r="O66" s="54">
        <f t="shared" si="25"/>
        <v>0</v>
      </c>
      <c r="P66" s="54">
        <f t="shared" si="25"/>
        <v>0</v>
      </c>
      <c r="Q66" s="54">
        <f t="shared" si="25"/>
        <v>-1028897.6317383039</v>
      </c>
      <c r="R66" s="54">
        <f t="shared" si="25"/>
        <v>0</v>
      </c>
      <c r="S66" s="54">
        <f t="shared" si="25"/>
        <v>-115235</v>
      </c>
      <c r="T66" s="54">
        <f t="shared" si="25"/>
        <v>-749949.4246575</v>
      </c>
      <c r="U66" s="54">
        <f t="shared" si="25"/>
        <v>-490867.57</v>
      </c>
      <c r="V66" s="54">
        <f t="shared" si="25"/>
        <v>0</v>
      </c>
      <c r="W66" s="54">
        <f t="shared" si="25"/>
        <v>0</v>
      </c>
      <c r="X66" s="54">
        <f t="shared" si="25"/>
        <v>11408.196</v>
      </c>
      <c r="Y66" s="54">
        <f t="shared" si="25"/>
        <v>-329295.17563780001</v>
      </c>
      <c r="Z66" s="54">
        <f t="shared" si="25"/>
        <v>-750432.5</v>
      </c>
      <c r="AA66" s="54">
        <f t="shared" si="25"/>
        <v>-438488.08974969998</v>
      </c>
      <c r="AB66" s="54">
        <f t="shared" si="25"/>
        <v>0</v>
      </c>
      <c r="AC66" s="54">
        <f t="shared" si="25"/>
        <v>0</v>
      </c>
      <c r="AD66" s="54">
        <f t="shared" si="25"/>
        <v>0</v>
      </c>
      <c r="AE66" s="54">
        <f t="shared" si="25"/>
        <v>741636.22399999993</v>
      </c>
      <c r="AF66" s="54">
        <f t="shared" si="25"/>
        <v>652714.35093939304</v>
      </c>
      <c r="AG66" s="54">
        <f t="shared" si="25"/>
        <v>-202217.06566593001</v>
      </c>
      <c r="AH66" s="54">
        <f t="shared" si="25"/>
        <v>-173407.31199999998</v>
      </c>
      <c r="AI66" s="54">
        <f t="shared" si="25"/>
        <v>-329882.104161</v>
      </c>
      <c r="AJ66" s="54">
        <f t="shared" si="18"/>
        <v>-5188792.0571614001</v>
      </c>
      <c r="AK66" s="54">
        <f t="shared" si="13"/>
        <v>-1391284.9428385999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639-A044-49A4-AA4C-CA36EC015B92}">
  <sheetPr>
    <tabColor theme="7" tint="0.79998168889431442"/>
  </sheetPr>
  <dimension ref="A1:AJ140"/>
  <sheetViews>
    <sheetView topLeftCell="A16" zoomScale="60" zoomScaleNormal="60" workbookViewId="0">
      <pane xSplit="4" topLeftCell="E1" activePane="topRight" state="frozen"/>
      <selection pane="topRight" activeCell="C49" sqref="C49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842</v>
      </c>
      <c r="D2" s="17" t="s">
        <v>843</v>
      </c>
      <c r="E2" s="83">
        <v>45444</v>
      </c>
      <c r="F2" s="83">
        <f>+E2+1</f>
        <v>45445</v>
      </c>
      <c r="G2" s="81">
        <f t="shared" ref="G2:AH2" si="0">+F2+1</f>
        <v>45446</v>
      </c>
      <c r="H2" s="81">
        <f t="shared" si="0"/>
        <v>45447</v>
      </c>
      <c r="I2" s="81">
        <f t="shared" si="0"/>
        <v>45448</v>
      </c>
      <c r="J2" s="81">
        <f t="shared" si="0"/>
        <v>45449</v>
      </c>
      <c r="K2" s="81">
        <f t="shared" si="0"/>
        <v>45450</v>
      </c>
      <c r="L2" s="83">
        <f t="shared" si="0"/>
        <v>45451</v>
      </c>
      <c r="M2" s="83">
        <f t="shared" si="0"/>
        <v>45452</v>
      </c>
      <c r="N2" s="81">
        <f t="shared" si="0"/>
        <v>45453</v>
      </c>
      <c r="O2" s="81">
        <f>+N2+1</f>
        <v>45454</v>
      </c>
      <c r="P2" s="81">
        <f t="shared" si="0"/>
        <v>45455</v>
      </c>
      <c r="Q2" s="82">
        <f t="shared" si="0"/>
        <v>45456</v>
      </c>
      <c r="R2" s="82">
        <f t="shared" si="0"/>
        <v>45457</v>
      </c>
      <c r="S2" s="83">
        <f t="shared" si="0"/>
        <v>45458</v>
      </c>
      <c r="T2" s="83">
        <f t="shared" si="0"/>
        <v>45459</v>
      </c>
      <c r="U2" s="81">
        <f t="shared" si="0"/>
        <v>45460</v>
      </c>
      <c r="V2" s="81">
        <f t="shared" si="0"/>
        <v>45461</v>
      </c>
      <c r="W2" s="81">
        <f t="shared" si="0"/>
        <v>45462</v>
      </c>
      <c r="X2" s="81">
        <f t="shared" si="0"/>
        <v>45463</v>
      </c>
      <c r="Y2" s="81">
        <f t="shared" si="0"/>
        <v>45464</v>
      </c>
      <c r="Z2" s="83">
        <f t="shared" si="0"/>
        <v>45465</v>
      </c>
      <c r="AA2" s="83">
        <f t="shared" si="0"/>
        <v>45466</v>
      </c>
      <c r="AB2" s="81">
        <f t="shared" si="0"/>
        <v>45467</v>
      </c>
      <c r="AC2" s="81">
        <f t="shared" si="0"/>
        <v>45468</v>
      </c>
      <c r="AD2" s="81">
        <f t="shared" si="0"/>
        <v>45469</v>
      </c>
      <c r="AE2" s="81">
        <f t="shared" si="0"/>
        <v>45470</v>
      </c>
      <c r="AF2" s="81">
        <f t="shared" si="0"/>
        <v>45471</v>
      </c>
      <c r="AG2" s="83">
        <f t="shared" si="0"/>
        <v>45472</v>
      </c>
      <c r="AH2" s="83">
        <f t="shared" si="0"/>
        <v>45473</v>
      </c>
      <c r="AI2" s="19" t="s">
        <v>844</v>
      </c>
      <c r="AJ2" s="20" t="s">
        <v>845</v>
      </c>
    </row>
    <row r="3" spans="1:36" s="4" customFormat="1" ht="20.100000000000001" customHeight="1" x14ac:dyDescent="0.3">
      <c r="A3" s="1"/>
      <c r="B3" s="2" t="s">
        <v>846</v>
      </c>
      <c r="C3" s="3" t="s">
        <v>847</v>
      </c>
      <c r="D3" s="54">
        <f t="shared" ref="D3:AH3" si="1">SUM(D4,D11)</f>
        <v>12359611.609824</v>
      </c>
      <c r="E3" s="54">
        <f t="shared" si="1"/>
        <v>10596</v>
      </c>
      <c r="F3" s="54">
        <f t="shared" si="1"/>
        <v>0</v>
      </c>
      <c r="G3" s="54">
        <f t="shared" si="1"/>
        <v>0</v>
      </c>
      <c r="H3" s="54">
        <f t="shared" si="1"/>
        <v>63570.588000000003</v>
      </c>
      <c r="I3" s="54">
        <f t="shared" si="1"/>
        <v>1474.7400000000007</v>
      </c>
      <c r="J3" s="54">
        <f t="shared" si="1"/>
        <v>5003.4479999999994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80644.776000000013</v>
      </c>
      <c r="AJ3" s="54">
        <f t="shared" ref="AJ3:AJ34" si="3">+D3-AI3</f>
        <v>12278966.833823999</v>
      </c>
    </row>
    <row r="4" spans="1:36" s="4" customFormat="1" ht="20.100000000000001" customHeight="1" x14ac:dyDescent="0.3">
      <c r="B4" s="5" t="s">
        <v>848</v>
      </c>
      <c r="C4" s="6" t="s">
        <v>849</v>
      </c>
      <c r="D4" s="73">
        <f t="shared" ref="D4" si="4">SUM(D5,D9,D10)</f>
        <v>12359611.609824</v>
      </c>
      <c r="E4" s="77">
        <f>SUM(E5,E9,E10)</f>
        <v>10596</v>
      </c>
      <c r="F4" s="77">
        <f>SUM(F5,F9,F10)</f>
        <v>0</v>
      </c>
      <c r="G4" s="73">
        <f>SUM(G5,G9,G10)</f>
        <v>0</v>
      </c>
      <c r="H4" s="73">
        <f>+H5+H9+H10</f>
        <v>63569.16</v>
      </c>
      <c r="I4" s="73">
        <f t="shared" ref="I4:AH4" si="5">SUM(I5,I9,I10)</f>
        <v>1350.0480000000007</v>
      </c>
      <c r="J4" s="73">
        <f t="shared" si="5"/>
        <v>4388.9159999999993</v>
      </c>
      <c r="K4" s="73">
        <f t="shared" si="5"/>
        <v>0</v>
      </c>
      <c r="L4" s="77">
        <f t="shared" si="5"/>
        <v>0</v>
      </c>
      <c r="M4" s="77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3">
        <f t="shared" si="5"/>
        <v>0</v>
      </c>
      <c r="S4" s="77">
        <f t="shared" si="5"/>
        <v>0</v>
      </c>
      <c r="T4" s="77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7">
        <f t="shared" si="5"/>
        <v>0</v>
      </c>
      <c r="AA4" s="77">
        <f t="shared" si="5"/>
        <v>0</v>
      </c>
      <c r="AB4" s="73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7">
        <f t="shared" si="5"/>
        <v>0</v>
      </c>
      <c r="AH4" s="77">
        <f t="shared" si="5"/>
        <v>0</v>
      </c>
      <c r="AI4" s="57">
        <f t="shared" si="2"/>
        <v>79904.123999999996</v>
      </c>
      <c r="AJ4" s="58">
        <f t="shared" si="3"/>
        <v>12279707.485824</v>
      </c>
    </row>
    <row r="5" spans="1:36" s="4" customFormat="1" ht="20.100000000000001" customHeight="1" x14ac:dyDescent="0.3">
      <c r="B5" s="7">
        <v>1</v>
      </c>
      <c r="C5" s="8" t="s">
        <v>850</v>
      </c>
      <c r="D5" s="74">
        <f>SUM(D6:D8)</f>
        <v>12359611.609824</v>
      </c>
      <c r="E5" s="76">
        <f t="shared" ref="E5" si="6">SUM(E6:E8)</f>
        <v>0</v>
      </c>
      <c r="F5" s="76">
        <f>SUM(F6:F8)</f>
        <v>0</v>
      </c>
      <c r="G5" s="74">
        <f>SUM(G6:G8)</f>
        <v>0</v>
      </c>
      <c r="H5" s="74">
        <f>+H6+H7+H8</f>
        <v>-1653.4919999999993</v>
      </c>
      <c r="I5" s="74">
        <f t="shared" ref="I5:AH5" si="7">SUM(I6:I8)</f>
        <v>1350.0480000000007</v>
      </c>
      <c r="J5" s="74">
        <f t="shared" si="7"/>
        <v>4388.9159999999993</v>
      </c>
      <c r="K5" s="74">
        <f t="shared" si="7"/>
        <v>0</v>
      </c>
      <c r="L5" s="76">
        <f t="shared" si="7"/>
        <v>0</v>
      </c>
      <c r="M5" s="76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6">
        <f t="shared" si="7"/>
        <v>0</v>
      </c>
      <c r="T5" s="76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6">
        <f t="shared" si="7"/>
        <v>0</v>
      </c>
      <c r="AA5" s="76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6">
        <f t="shared" si="7"/>
        <v>0</v>
      </c>
      <c r="AH5" s="76">
        <f t="shared" si="7"/>
        <v>0</v>
      </c>
      <c r="AI5" s="61">
        <f t="shared" si="2"/>
        <v>4085.4720000000007</v>
      </c>
      <c r="AJ5" s="62">
        <f t="shared" si="3"/>
        <v>12355526.137824001</v>
      </c>
    </row>
    <row r="6" spans="1:36" s="23" customFormat="1" ht="20.100000000000001" customHeight="1" outlineLevel="1" x14ac:dyDescent="0.3">
      <c r="B6" s="24"/>
      <c r="C6" s="25" t="s">
        <v>851</v>
      </c>
      <c r="D6" s="79">
        <v>11262384.6984</v>
      </c>
      <c r="E6" s="78"/>
      <c r="F6" s="78"/>
      <c r="G6" s="75"/>
      <c r="H6" s="75"/>
      <c r="I6" s="75"/>
      <c r="J6" s="75"/>
      <c r="K6" s="75"/>
      <c r="L6" s="78"/>
      <c r="M6" s="78"/>
      <c r="N6" s="75"/>
      <c r="O6" s="75"/>
      <c r="P6" s="75"/>
      <c r="Q6" s="75"/>
      <c r="R6" s="75"/>
      <c r="S6" s="78"/>
      <c r="T6" s="78"/>
      <c r="U6" s="75"/>
      <c r="V6" s="75"/>
      <c r="W6" s="75"/>
      <c r="X6" s="75"/>
      <c r="Y6" s="75"/>
      <c r="Z6" s="78"/>
      <c r="AA6" s="78"/>
      <c r="AB6" s="75"/>
      <c r="AC6" s="75"/>
      <c r="AD6" s="75"/>
      <c r="AE6" s="75"/>
      <c r="AF6" s="75"/>
      <c r="AG6" s="78"/>
      <c r="AH6" s="78"/>
      <c r="AI6" s="66">
        <f t="shared" si="2"/>
        <v>0</v>
      </c>
      <c r="AJ6" s="67">
        <f t="shared" si="3"/>
        <v>11262384.6984</v>
      </c>
    </row>
    <row r="7" spans="1:36" s="21" customFormat="1" ht="20.100000000000001" customHeight="1" outlineLevel="1" x14ac:dyDescent="0.3">
      <c r="B7" s="22"/>
      <c r="C7" s="8" t="s">
        <v>53</v>
      </c>
      <c r="D7" s="80">
        <f>881955.75952*1.2</f>
        <v>1058346.9114239998</v>
      </c>
      <c r="E7" s="76">
        <f>SUMIFS(приходи!$L:$L,приходи!$E:$E,'ПП Юни'!$C$7,приходи!$M:$M,'ПП Юни'!E2)</f>
        <v>0</v>
      </c>
      <c r="F7" s="76">
        <f>SUMIFS(приходи!$L:$L,приходи!$E:$E,'ПП Юни'!$C$7,приходи!$M:$M,'ПП Юни'!F2)</f>
        <v>0</v>
      </c>
      <c r="G7" s="74">
        <f>SUMIFS(приходи!$L:$L,приходи!$E:$E,'ПП Юни'!$C$7,приходи!$M:$M,'ПП Юни'!G2)</f>
        <v>0</v>
      </c>
      <c r="H7" s="74">
        <f>SUMIFS(приходи!$L:$L,приходи!$E:$E,'ПП Юни'!$C$7,приходи!$M:$M,'ПП Юни'!H2)</f>
        <v>0</v>
      </c>
      <c r="I7" s="74">
        <f>SUMIFS(приходи!$L:$L,приходи!$E:$E,'ПП Юни'!$C$7,приходи!$M:$M,'ПП Юни'!I2)</f>
        <v>0</v>
      </c>
      <c r="J7" s="74">
        <f>SUMIFS(приходи!$L:$L,приходи!$E:$E,'ПП Юни'!$C$7,приходи!$M:$M,'ПП Юни'!J2)</f>
        <v>0</v>
      </c>
      <c r="K7" s="74">
        <f>SUMIFS(приходи!$L:$L,приходи!$E:$E,'ПП Юни'!$C$7,приходи!$M:$M,'ПП Юни'!K2)</f>
        <v>0</v>
      </c>
      <c r="L7" s="76">
        <f>SUMIFS(приходи!$L:$L,приходи!$E:$E,'ПП Юни'!$C$7,приходи!$M:$M,'ПП Юни'!L2)</f>
        <v>0</v>
      </c>
      <c r="M7" s="76">
        <f>SUMIFS(приходи!$L:$L,приходи!$E:$E,'ПП Юни'!$C$7,приходи!$M:$M,'ПП Юни'!M2)</f>
        <v>0</v>
      </c>
      <c r="N7" s="74">
        <f>SUMIFS(приходи!$L:$L,приходи!$E:$E,'ПП Юни'!$C$7,приходи!$M:$M,'ПП Юни'!N2)</f>
        <v>0</v>
      </c>
      <c r="O7" s="74">
        <f>SUMIFS(приходи!$L:$L,приходи!$E:$E,'ПП Юни'!$C$7,приходи!$M:$M,'ПП Юни'!O2)</f>
        <v>0</v>
      </c>
      <c r="P7" s="74">
        <f>SUMIFS(приходи!$L:$L,приходи!$E:$E,'ПП Юни'!$C$7,приходи!$M:$M,'ПП Юни'!P2)</f>
        <v>0</v>
      </c>
      <c r="Q7" s="74">
        <f>SUMIFS(приходи!$L:$L,приходи!$E:$E,'ПП Юни'!$C$7,приходи!$M:$M,'ПП Юни'!Q2)</f>
        <v>0</v>
      </c>
      <c r="R7" s="74">
        <f>SUMIFS(приходи!$L:$L,приходи!$E:$E,'ПП Юни'!$C$7,приходи!$M:$M,'ПП Юни'!R2)</f>
        <v>0</v>
      </c>
      <c r="S7" s="76">
        <f>SUMIFS(приходи!$L:$L,приходи!$E:$E,'ПП Юни'!$C$7,приходи!$M:$M,'ПП Юни'!S2)</f>
        <v>0</v>
      </c>
      <c r="T7" s="76">
        <f>SUMIFS(приходи!$L:$L,приходи!$E:$E,'ПП Юни'!$C$7,приходи!$M:$M,'ПП Юни'!T2)</f>
        <v>0</v>
      </c>
      <c r="U7" s="74">
        <f>SUMIFS(приходи!$L:$L,приходи!$E:$E,'ПП Юни'!$C$7,приходи!$M:$M,'ПП Юни'!U2)</f>
        <v>0</v>
      </c>
      <c r="V7" s="74">
        <f>SUMIFS(приходи!$L:$L,приходи!$E:$E,'ПП Юни'!$C$7,приходи!$M:$M,'ПП Юни'!V2)</f>
        <v>0</v>
      </c>
      <c r="W7" s="74">
        <f>SUMIFS(приходи!$L:$L,приходи!$E:$E,'ПП Юни'!$C$7,приходи!$M:$M,'ПП Юни'!W2)</f>
        <v>0</v>
      </c>
      <c r="X7" s="74">
        <f>SUMIFS(приходи!$L:$L,приходи!$E:$E,'ПП Юни'!$C$7,приходи!$M:$M,'ПП Юни'!X2)</f>
        <v>0</v>
      </c>
      <c r="Y7" s="74">
        <f>SUMIFS(приходи!$L:$L,приходи!$E:$E,'ПП Юни'!$C$7,приходи!$M:$M,'ПП Юни'!Y2)</f>
        <v>0</v>
      </c>
      <c r="Z7" s="76">
        <f>SUMIFS(приходи!$L:$L,приходи!$E:$E,'ПП Юни'!$C$7,приходи!$M:$M,'ПП Юни'!Z2)</f>
        <v>0</v>
      </c>
      <c r="AA7" s="76">
        <f>SUMIFS(приходи!$L:$L,приходи!$E:$E,'ПП Юни'!$C$7,приходи!$M:$M,'ПП Юни'!AA2)</f>
        <v>0</v>
      </c>
      <c r="AB7" s="74">
        <f>SUMIFS(приходи!$L:$L,приходи!$E:$E,'ПП Юни'!$C$7,приходи!$M:$M,'ПП Юни'!AB2)</f>
        <v>0</v>
      </c>
      <c r="AC7" s="74">
        <f>SUMIFS(приходи!$L:$L,приходи!$E:$E,'ПП Юни'!$C$7,приходи!$M:$M,'ПП Юни'!AC2)</f>
        <v>0</v>
      </c>
      <c r="AD7" s="74">
        <f>SUMIFS(приходи!$L:$L,приходи!$E:$E,'ПП Юни'!$C$7,приходи!$M:$M,'ПП Юни'!AD2)</f>
        <v>0</v>
      </c>
      <c r="AE7" s="74">
        <f>SUMIFS(приходи!$L:$L,приходи!$E:$E,'ПП Юни'!$C$7,приходи!$M:$M,'ПП Юни'!AE2)</f>
        <v>0</v>
      </c>
      <c r="AF7" s="74">
        <f>SUMIFS(приходи!$L:$L,приходи!$E:$E,'ПП Юни'!$C$7,приходи!$M:$M,'ПП Юни'!AF2)</f>
        <v>0</v>
      </c>
      <c r="AG7" s="76">
        <f>SUMIFS(приходи!$L:$L,приходи!$E:$E,'ПП Юни'!$C$7,приходи!$M:$M,'ПП Юни'!AG2)</f>
        <v>0</v>
      </c>
      <c r="AH7" s="76">
        <f>SUMIFS(приходи!$L:$L,приходи!$E:$E,'ПП Юни'!$C$7,приходи!$M:$M,'ПП Юни'!AH2)</f>
        <v>0</v>
      </c>
      <c r="AI7" s="61">
        <f t="shared" si="2"/>
        <v>0</v>
      </c>
      <c r="AJ7" s="69">
        <f t="shared" si="3"/>
        <v>1058346.9114239998</v>
      </c>
    </row>
    <row r="8" spans="1:36" s="21" customFormat="1" ht="20.100000000000001" customHeight="1" outlineLevel="1" x14ac:dyDescent="0.3">
      <c r="B8" s="22"/>
      <c r="C8" s="8" t="s">
        <v>33</v>
      </c>
      <c r="D8" s="80">
        <f>32400*1.2</f>
        <v>38880</v>
      </c>
      <c r="E8" s="76">
        <f>SUMIFS(приходи!$L:$L,приходи!$E:$E,'ПП Юни'!$C$8,приходи!$M:$M,'ПП Юни'!E2)</f>
        <v>0</v>
      </c>
      <c r="F8" s="76">
        <f>SUMIFS(приходи!$L:$L,приходи!$E:$E,'ПП Юни'!$C$8,приходи!$M:$M,'ПП Юни'!F2)</f>
        <v>0</v>
      </c>
      <c r="G8" s="74">
        <f>SUMIFS(приходи!$L:$L,приходи!$E:$E,'ПП Юни'!$C$8,приходи!$M:$M,'ПП Юни'!G2)</f>
        <v>0</v>
      </c>
      <c r="H8" s="74">
        <f>SUMIFS(приходи!$L:$L,приходи!$E:$E,'ПП Юни'!$C$8,приходи!$M:$M,'ПП Юни'!H2)</f>
        <v>-1653.4919999999993</v>
      </c>
      <c r="I8" s="74">
        <f>SUMIFS(приходи!$L:$L,приходи!$E:$E,'ПП Юни'!$C$8,приходи!$M:$M,'ПП Юни'!I2)</f>
        <v>1350.0480000000007</v>
      </c>
      <c r="J8" s="74">
        <f>SUMIFS(приходи!$L:$L,приходи!$E:$E,'ПП Юни'!$C$8,приходи!$M:$M,'ПП Юни'!J2)</f>
        <v>4388.9159999999993</v>
      </c>
      <c r="K8" s="74">
        <f>SUMIFS(приходи!$L:$L,приходи!$E:$E,'ПП Юни'!$C$8,приходи!$M:$M,'ПП Юни'!K2)</f>
        <v>0</v>
      </c>
      <c r="L8" s="76">
        <f>SUMIFS(приходи!$L:$L,приходи!$E:$E,'ПП Юни'!$C$8,приходи!$M:$M,'ПП Юни'!L2)</f>
        <v>0</v>
      </c>
      <c r="M8" s="76">
        <f>SUMIFS(приходи!$L:$L,приходи!$E:$E,'ПП Юни'!$C$8,приходи!$M:$M,'ПП Юни'!M2)</f>
        <v>0</v>
      </c>
      <c r="N8" s="74">
        <f>SUMIFS(приходи!$L:$L,приходи!$E:$E,'ПП Юни'!$C$8,приходи!$M:$M,'ПП Юни'!N2)</f>
        <v>0</v>
      </c>
      <c r="O8" s="74">
        <f>SUMIFS(приходи!$L:$L,приходи!$E:$E,'ПП Юни'!$C$8,приходи!$M:$M,'ПП Юни'!O2)</f>
        <v>0</v>
      </c>
      <c r="P8" s="74">
        <f>SUMIFS(приходи!$L:$L,приходи!$E:$E,'ПП Юни'!$C$8,приходи!$M:$M,'ПП Юни'!P2)</f>
        <v>0</v>
      </c>
      <c r="Q8" s="74">
        <f>SUMIFS(приходи!$L:$L,приходи!$E:$E,'ПП Юни'!$C$8,приходи!$M:$M,'ПП Юни'!Q2)</f>
        <v>0</v>
      </c>
      <c r="R8" s="74">
        <f>SUMIFS(приходи!$L:$L,приходи!$E:$E,'ПП Юни'!$C$8,приходи!$M:$M,'ПП Юни'!R2)</f>
        <v>0</v>
      </c>
      <c r="S8" s="76">
        <f>SUMIFS(приходи!$L:$L,приходи!$E:$E,'ПП Юни'!$C$8,приходи!$M:$M,'ПП Юни'!S2)</f>
        <v>0</v>
      </c>
      <c r="T8" s="76">
        <f>SUMIFS(приходи!$L:$L,приходи!$E:$E,'ПП Юни'!$C$8,приходи!$M:$M,'ПП Юни'!T2)</f>
        <v>0</v>
      </c>
      <c r="U8" s="74">
        <f>SUMIFS(приходи!$L:$L,приходи!$E:$E,'ПП Юни'!$C$8,приходи!$M:$M,'ПП Юни'!U2)</f>
        <v>0</v>
      </c>
      <c r="V8" s="74">
        <f>SUMIFS(приходи!$L:$L,приходи!$E:$E,'ПП Юни'!$C$8,приходи!$M:$M,'ПП Юни'!V2)</f>
        <v>0</v>
      </c>
      <c r="W8" s="74">
        <f>SUMIFS(приходи!$L:$L,приходи!$E:$E,'ПП Юни'!$C$8,приходи!$M:$M,'ПП Юни'!W2)</f>
        <v>0</v>
      </c>
      <c r="X8" s="74">
        <f>SUMIFS(приходи!$L:$L,приходи!$E:$E,'ПП Юни'!$C$8,приходи!$M:$M,'ПП Юни'!X2)</f>
        <v>0</v>
      </c>
      <c r="Y8" s="74">
        <f>SUMIFS(приходи!$L:$L,приходи!$E:$E,'ПП Юни'!$C$8,приходи!$M:$M,'ПП Юни'!Y2)</f>
        <v>0</v>
      </c>
      <c r="Z8" s="76">
        <f>SUMIFS(приходи!$L:$L,приходи!$E:$E,'ПП Юни'!$C$8,приходи!$M:$M,'ПП Юни'!Z2)</f>
        <v>0</v>
      </c>
      <c r="AA8" s="76">
        <f>SUMIFS(приходи!$L:$L,приходи!$E:$E,'ПП Юни'!$C$8,приходи!$M:$M,'ПП Юни'!AA2)</f>
        <v>0</v>
      </c>
      <c r="AB8" s="74">
        <f>SUMIFS(приходи!$L:$L,приходи!$E:$E,'ПП Юни'!$C$8,приходи!$M:$M,'ПП Юни'!AB2)</f>
        <v>0</v>
      </c>
      <c r="AC8" s="74">
        <f>SUMIFS(приходи!$L:$L,приходи!$E:$E,'ПП Юни'!$C$8,приходи!$M:$M,'ПП Юни'!AC2)</f>
        <v>0</v>
      </c>
      <c r="AD8" s="74">
        <f>SUMIFS(приходи!$L:$L,приходи!$E:$E,'ПП Юни'!$C$8,приходи!$M:$M,'ПП Юни'!AD2)</f>
        <v>0</v>
      </c>
      <c r="AE8" s="74">
        <f>SUMIFS(приходи!$L:$L,приходи!$E:$E,'ПП Юни'!$C$8,приходи!$M:$M,'ПП Юни'!AE2)</f>
        <v>0</v>
      </c>
      <c r="AF8" s="74">
        <f>SUMIFS(приходи!$L:$L,приходи!$E:$E,'ПП Юни'!$C$8,приходи!$M:$M,'ПП Юни'!AF2)</f>
        <v>0</v>
      </c>
      <c r="AG8" s="76">
        <f>SUMIFS(приходи!$L:$L,приходи!$E:$E,'ПП Юни'!$C$8,приходи!$M:$M,'ПП Юни'!AG2)</f>
        <v>0</v>
      </c>
      <c r="AH8" s="76">
        <f>SUMIFS(приходи!$L:$L,приходи!$E:$E,'ПП Юни'!$C$8,приходи!$M:$M,'ПП Юни'!AH2)</f>
        <v>0</v>
      </c>
      <c r="AI8" s="61">
        <f t="shared" si="2"/>
        <v>4085.4720000000007</v>
      </c>
      <c r="AJ8" s="69">
        <f t="shared" si="3"/>
        <v>34794.527999999998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Юни'!$C$9,приходи!$M:$M,'ПП Юни'!E2)</f>
        <v>10596</v>
      </c>
      <c r="F9" s="76">
        <f>SUMIFS(приходи!$L:$L,приходи!$E:$E,'ПП Юни'!$C$9,приходи!$M:$M,'ПП Юни'!F2)</f>
        <v>0</v>
      </c>
      <c r="G9" s="74">
        <f>SUMIFS(приходи!$L:$L,приходи!$E:$E,'ПП Юни'!$C$9,приходи!$M:$M,'ПП Юни'!G2)</f>
        <v>0</v>
      </c>
      <c r="H9" s="74">
        <f>SUMIFS(приходи!$L:$L,приходи!$E:$E,'ПП Юни'!$C$9,приходи!$M:$M,'ПП Юни'!H2)</f>
        <v>39692.411999999997</v>
      </c>
      <c r="I9" s="74">
        <f>SUMIFS(приходи!$L:$L,приходи!$E:$E,'ПП Юни'!$C$9,приходи!$M:$M,'ПП Юни'!I2)</f>
        <v>0</v>
      </c>
      <c r="J9" s="74">
        <f>SUMIFS(приходи!$L:$L,приходи!$E:$E,'ПП Юни'!$C$9,приходи!$M:$M,'ПП Юни'!J2)</f>
        <v>0</v>
      </c>
      <c r="K9" s="74">
        <f>SUMIFS(приходи!$L:$L,приходи!$E:$E,'ПП Юни'!$C$9,приходи!$M:$M,'ПП Юни'!K2)</f>
        <v>0</v>
      </c>
      <c r="L9" s="76">
        <f>SUMIFS(приходи!$L:$L,приходи!$E:$E,'ПП Юни'!$C$9,приходи!$M:$M,'ПП Юни'!L2)</f>
        <v>0</v>
      </c>
      <c r="M9" s="76">
        <f>SUMIFS(приходи!$L:$L,приходи!$E:$E,'ПП Юни'!$C$9,приходи!$M:$M,'ПП Юни'!M2)</f>
        <v>0</v>
      </c>
      <c r="N9" s="74">
        <f>SUMIFS(приходи!$L:$L,приходи!$E:$E,'ПП Юни'!$C$9,приходи!$M:$M,'ПП Юни'!N2)</f>
        <v>0</v>
      </c>
      <c r="O9" s="74">
        <f>SUMIFS(приходи!$L:$L,приходи!$E:$E,'ПП Юни'!$C$9,приходи!$M:$M,'ПП Юни'!O2)</f>
        <v>0</v>
      </c>
      <c r="P9" s="74">
        <f>SUMIFS(приходи!$L:$L,приходи!$E:$E,'ПП Юни'!$C$9,приходи!$M:$M,'ПП Юни'!P2)</f>
        <v>0</v>
      </c>
      <c r="Q9" s="74">
        <f>SUMIFS(приходи!$L:$L,приходи!$E:$E,'ПП Юни'!$C$9,приходи!$M:$M,'ПП Юни'!Q2)</f>
        <v>0</v>
      </c>
      <c r="R9" s="74">
        <f>SUMIFS(приходи!$L:$L,приходи!$E:$E,'ПП Юни'!$C$9,приходи!$M:$M,'ПП Юни'!R2)</f>
        <v>0</v>
      </c>
      <c r="S9" s="76">
        <f>SUMIFS(приходи!$L:$L,приходи!$E:$E,'ПП Юни'!$C$9,приходи!$M:$M,'ПП Юни'!S2)</f>
        <v>0</v>
      </c>
      <c r="T9" s="76">
        <f>SUMIFS(приходи!$L:$L,приходи!$E:$E,'ПП Юни'!$C$9,приходи!$M:$M,'ПП Юни'!T2)</f>
        <v>0</v>
      </c>
      <c r="U9" s="74">
        <f>SUMIFS(приходи!$L:$L,приходи!$E:$E,'ПП Юни'!$C$9,приходи!$M:$M,'ПП Юни'!U2)</f>
        <v>0</v>
      </c>
      <c r="V9" s="74">
        <f>SUMIFS(приходи!$L:$L,приходи!$E:$E,'ПП Юни'!$C$9,приходи!$M:$M,'ПП Юни'!V2)</f>
        <v>0</v>
      </c>
      <c r="W9" s="74">
        <f>SUMIFS(приходи!$L:$L,приходи!$E:$E,'ПП Юни'!$C$9,приходи!$M:$M,'ПП Юни'!W2)</f>
        <v>0</v>
      </c>
      <c r="X9" s="74">
        <f>SUMIFS(приходи!$L:$L,приходи!$E:$E,'ПП Юни'!$C$9,приходи!$M:$M,'ПП Юни'!X2)</f>
        <v>0</v>
      </c>
      <c r="Y9" s="74">
        <f>SUMIFS(приходи!$L:$L,приходи!$E:$E,'ПП Юни'!$C$9,приходи!$M:$M,'ПП Юни'!Y2)</f>
        <v>0</v>
      </c>
      <c r="Z9" s="76">
        <f>SUMIFS(приходи!$L:$L,приходи!$E:$E,'ПП Юни'!$C$9,приходи!$M:$M,'ПП Юни'!Z2)</f>
        <v>0</v>
      </c>
      <c r="AA9" s="76">
        <f>SUMIFS(приходи!$L:$L,приходи!$E:$E,'ПП Юни'!$C$9,приходи!$M:$M,'ПП Юни'!AA2)</f>
        <v>0</v>
      </c>
      <c r="AB9" s="74">
        <f>SUMIFS(приходи!$L:$L,приходи!$E:$E,'ПП Юни'!$C$9,приходи!$M:$M,'ПП Юни'!AB2)</f>
        <v>0</v>
      </c>
      <c r="AC9" s="74">
        <f>SUMIFS(приходи!$L:$L,приходи!$E:$E,'ПП Юни'!$C$9,приходи!$M:$M,'ПП Юни'!AC2)</f>
        <v>0</v>
      </c>
      <c r="AD9" s="74">
        <f>SUMIFS(приходи!$L:$L,приходи!$E:$E,'ПП Юни'!$C$9,приходи!$M:$M,'ПП Юни'!AD2)</f>
        <v>0</v>
      </c>
      <c r="AE9" s="74">
        <f>SUMIFS(приходи!$L:$L,приходи!$E:$E,'ПП Юни'!$C$9,приходи!$M:$M,'ПП Юни'!AE2)</f>
        <v>0</v>
      </c>
      <c r="AF9" s="74">
        <f>SUMIFS(приходи!$L:$L,приходи!$E:$E,'ПП Юни'!$C$9,приходи!$M:$M,'ПП Юни'!AF2)</f>
        <v>0</v>
      </c>
      <c r="AG9" s="76">
        <f>SUMIFS(приходи!$L:$L,приходи!$E:$E,'ПП Юни'!$C$9,приходи!$M:$M,'ПП Юни'!AG2)</f>
        <v>0</v>
      </c>
      <c r="AH9" s="76">
        <f>SUMIFS(приходи!$L:$L,приходи!$E:$E,'ПП Юни'!$C$9,приходи!$M:$M,'ПП Юни'!AH2)</f>
        <v>0</v>
      </c>
      <c r="AI9" s="61">
        <f t="shared" si="2"/>
        <v>50288.411999999997</v>
      </c>
      <c r="AJ9" s="69">
        <f t="shared" si="3"/>
        <v>-50288.411999999997</v>
      </c>
    </row>
    <row r="10" spans="1:36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Юни'!$C$10,приходи!$M:$M,'ПП Юни'!E2)</f>
        <v>0</v>
      </c>
      <c r="F10" s="76">
        <f>SUMIFS(приходи!$L:$L,приходи!$E:$E,'ПП Юни'!$C$10,приходи!$M:$M,'ПП Юни'!F2)</f>
        <v>0</v>
      </c>
      <c r="G10" s="74">
        <f>SUMIFS(приходи!$L:$L,приходи!$E:$E,'ПП Юни'!$C$10,приходи!$M:$M,'ПП Юни'!G2)</f>
        <v>0</v>
      </c>
      <c r="H10" s="74">
        <f>SUMIFS(приходи!$L:$L,приходи!$E:$E,'ПП Юни'!$C$10,приходи!$M:$M,'ПП Юни'!H2)</f>
        <v>25530.240000000002</v>
      </c>
      <c r="I10" s="74">
        <f>SUMIFS(приходи!$L:$L,приходи!$E:$E,'ПП Юни'!$C$10,приходи!$M:$M,'ПП Юни'!I2)</f>
        <v>0</v>
      </c>
      <c r="J10" s="74">
        <f>SUMIFS(приходи!$L:$L,приходи!$E:$E,'ПП Юни'!$C$10,приходи!$M:$M,'ПП Юни'!J2)</f>
        <v>0</v>
      </c>
      <c r="K10" s="74">
        <f>SUMIFS(приходи!$L:$L,приходи!$E:$E,'ПП Юни'!$C$10,приходи!$M:$M,'ПП Юни'!K2)</f>
        <v>0</v>
      </c>
      <c r="L10" s="76">
        <f>SUMIFS(приходи!$L:$L,приходи!$E:$E,'ПП Юни'!$C$10,приходи!$M:$M,'ПП Юни'!L2)</f>
        <v>0</v>
      </c>
      <c r="M10" s="76">
        <f>SUMIFS(приходи!$L:$L,приходи!$E:$E,'ПП Юни'!$C$10,приходи!$M:$M,'ПП Юни'!M2)</f>
        <v>0</v>
      </c>
      <c r="N10" s="74">
        <f>SUMIFS(приходи!$L:$L,приходи!$E:$E,'ПП Юни'!$C$10,приходи!$M:$M,'ПП Юни'!N2)</f>
        <v>0</v>
      </c>
      <c r="O10" s="74">
        <f>SUMIFS(приходи!$L:$L,приходи!$E:$E,'ПП Юни'!$C$10,приходи!$M:$M,'ПП Юни'!O2)</f>
        <v>0</v>
      </c>
      <c r="P10" s="74">
        <f>SUMIFS(приходи!$L:$L,приходи!$E:$E,'ПП Юни'!$C$10,приходи!$M:$M,'ПП Юни'!P2)</f>
        <v>0</v>
      </c>
      <c r="Q10" s="74">
        <f>SUMIFS(приходи!$L:$L,приходи!$E:$E,'ПП Юни'!$C$10,приходи!$M:$M,'ПП Юни'!Q2)</f>
        <v>0</v>
      </c>
      <c r="R10" s="74">
        <f>SUMIFS(приходи!$L:$L,приходи!$E:$E,'ПП Юни'!$C$10,приходи!$M:$M,'ПП Юни'!R2)</f>
        <v>0</v>
      </c>
      <c r="S10" s="76">
        <f>SUMIFS(приходи!$L:$L,приходи!$E:$E,'ПП Юни'!$C$10,приходи!$M:$M,'ПП Юни'!S2)</f>
        <v>0</v>
      </c>
      <c r="T10" s="76">
        <f>SUMIFS(приходи!$L:$L,приходи!$E:$E,'ПП Юни'!$C$10,приходи!$M:$M,'ПП Юни'!T2)</f>
        <v>0</v>
      </c>
      <c r="U10" s="74">
        <f>SUMIFS(приходи!$L:$L,приходи!$E:$E,'ПП Юни'!$C$10,приходи!$M:$M,'ПП Юни'!U2)</f>
        <v>0</v>
      </c>
      <c r="V10" s="74">
        <f>SUMIFS(приходи!$L:$L,приходи!$E:$E,'ПП Юни'!$C$10,приходи!$M:$M,'ПП Юни'!V2)</f>
        <v>0</v>
      </c>
      <c r="W10" s="74">
        <f>SUMIFS(приходи!$L:$L,приходи!$E:$E,'ПП Юни'!$C$10,приходи!$M:$M,'ПП Юни'!W2)</f>
        <v>0</v>
      </c>
      <c r="X10" s="74">
        <f>SUMIFS(приходи!$L:$L,приходи!$E:$E,'ПП Юни'!$C$10,приходи!$M:$M,'ПП Юни'!X2)</f>
        <v>0</v>
      </c>
      <c r="Y10" s="74">
        <f>SUMIFS(приходи!$L:$L,приходи!$E:$E,'ПП Юни'!$C$10,приходи!$M:$M,'ПП Юни'!Y2)</f>
        <v>0</v>
      </c>
      <c r="Z10" s="76">
        <f>SUMIFS(приходи!$L:$L,приходи!$E:$E,'ПП Юни'!$C$10,приходи!$M:$M,'ПП Юни'!Z2)</f>
        <v>0</v>
      </c>
      <c r="AA10" s="76">
        <f>SUMIFS(приходи!$L:$L,приходи!$E:$E,'ПП Юни'!$C$10,приходи!$M:$M,'ПП Юни'!AA2)</f>
        <v>0</v>
      </c>
      <c r="AB10" s="74">
        <f>SUMIFS(приходи!$L:$L,приходи!$E:$E,'ПП Юни'!$C$10,приходи!$M:$M,'ПП Юни'!AB2)</f>
        <v>0</v>
      </c>
      <c r="AC10" s="74">
        <f>SUMIFS(приходи!$L:$L,приходи!$E:$E,'ПП Юни'!$C$10,приходи!$M:$M,'ПП Юни'!AC2)</f>
        <v>0</v>
      </c>
      <c r="AD10" s="74">
        <f>SUMIFS(приходи!$L:$L,приходи!$E:$E,'ПП Юни'!$C$10,приходи!$M:$M,'ПП Юни'!AD2)</f>
        <v>0</v>
      </c>
      <c r="AE10" s="74">
        <f>SUMIFS(приходи!$L:$L,приходи!$E:$E,'ПП Юни'!$C$10,приходи!$M:$M,'ПП Юни'!AE2)</f>
        <v>0</v>
      </c>
      <c r="AF10" s="74">
        <f>SUMIFS(приходи!$L:$L,приходи!$E:$E,'ПП Юни'!$C$10,приходи!$M:$M,'ПП Юни'!AF2)</f>
        <v>0</v>
      </c>
      <c r="AG10" s="76">
        <f>SUMIFS(приходи!$L:$L,приходи!$E:$E,'ПП Юни'!$C$10,приходи!$M:$M,'ПП Юни'!AG2)</f>
        <v>0</v>
      </c>
      <c r="AH10" s="76">
        <f>SUMIFS(приходи!$L:$L,приходи!$E:$E,'ПП Юни'!$C$10,приходи!$M:$M,'ПП Юни'!AH2)</f>
        <v>0</v>
      </c>
      <c r="AI10" s="61">
        <f t="shared" si="2"/>
        <v>25530.240000000002</v>
      </c>
      <c r="AJ10" s="69">
        <f t="shared" si="3"/>
        <v>-25530.240000000002</v>
      </c>
    </row>
    <row r="11" spans="1:36" s="4" customFormat="1" ht="20.100000000000001" customHeight="1" x14ac:dyDescent="0.3">
      <c r="B11" s="5" t="s">
        <v>852</v>
      </c>
      <c r="C11" s="6" t="s">
        <v>853</v>
      </c>
      <c r="D11" s="73">
        <f t="shared" ref="D11:AH11" si="8">SUM(D12:D13,D20,D21,D22)</f>
        <v>0</v>
      </c>
      <c r="E11" s="77">
        <f t="shared" si="8"/>
        <v>0</v>
      </c>
      <c r="F11" s="77">
        <f t="shared" si="8"/>
        <v>0</v>
      </c>
      <c r="G11" s="73">
        <f t="shared" si="8"/>
        <v>0</v>
      </c>
      <c r="H11" s="73">
        <f t="shared" si="8"/>
        <v>1.4279999999999999</v>
      </c>
      <c r="I11" s="73">
        <f t="shared" si="8"/>
        <v>124.69199999999999</v>
      </c>
      <c r="J11" s="73">
        <f t="shared" si="8"/>
        <v>614.53200000000004</v>
      </c>
      <c r="K11" s="73">
        <f t="shared" si="8"/>
        <v>0</v>
      </c>
      <c r="L11" s="77">
        <f t="shared" si="8"/>
        <v>0</v>
      </c>
      <c r="M11" s="77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0</v>
      </c>
      <c r="S11" s="77">
        <f t="shared" si="8"/>
        <v>0</v>
      </c>
      <c r="T11" s="77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3">
        <f t="shared" si="8"/>
        <v>0</v>
      </c>
      <c r="Z11" s="77">
        <f t="shared" si="8"/>
        <v>0</v>
      </c>
      <c r="AA11" s="77">
        <f t="shared" si="8"/>
        <v>0</v>
      </c>
      <c r="AB11" s="73">
        <f t="shared" si="8"/>
        <v>0</v>
      </c>
      <c r="AC11" s="73">
        <f t="shared" si="8"/>
        <v>0</v>
      </c>
      <c r="AD11" s="73">
        <f t="shared" si="8"/>
        <v>0</v>
      </c>
      <c r="AE11" s="73">
        <f t="shared" si="8"/>
        <v>0</v>
      </c>
      <c r="AF11" s="73">
        <f t="shared" si="8"/>
        <v>0</v>
      </c>
      <c r="AG11" s="77">
        <f t="shared" si="8"/>
        <v>0</v>
      </c>
      <c r="AH11" s="77">
        <f t="shared" si="8"/>
        <v>0</v>
      </c>
      <c r="AI11" s="57">
        <f t="shared" si="2"/>
        <v>740.65200000000004</v>
      </c>
      <c r="AJ11" s="58">
        <f t="shared" si="3"/>
        <v>-740.65200000000004</v>
      </c>
    </row>
    <row r="12" spans="1:36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Юни'!$C$12,приходи!$M:$M,'ПП Юни'!E2)</f>
        <v>0</v>
      </c>
      <c r="F12" s="76">
        <f>SUMIFS(приходи!$L:$L,приходи!$E:$E,'ПП Юни'!$C$12,приходи!$M:$M,'ПП Юни'!F2)</f>
        <v>0</v>
      </c>
      <c r="G12" s="74">
        <f>SUMIFS(приходи!$L:$L,приходи!$E:$E,'ПП Юни'!$C$12,приходи!$M:$M,'ПП Юни'!G2)</f>
        <v>0</v>
      </c>
      <c r="H12" s="74">
        <f>SUMIFS(приходи!$L:$L,приходи!$E:$E,'ПП Юни'!$C$12,приходи!$M:$M,'ПП Юни'!H2)</f>
        <v>0</v>
      </c>
      <c r="I12" s="74">
        <f>SUMIFS(приходи!$L:$L,приходи!$E:$E,'ПП Юни'!$C$12,приходи!$M:$M,'ПП Юни'!I2)</f>
        <v>0</v>
      </c>
      <c r="J12" s="74">
        <f>SUMIFS(приходи!$L:$L,приходи!$E:$E,'ПП Юни'!$C$12,приходи!$M:$M,'ПП Юни'!J2)</f>
        <v>366.76800000000003</v>
      </c>
      <c r="K12" s="74">
        <f>SUMIFS(приходи!$L:$L,приходи!$E:$E,'ПП Юни'!$C$12,приходи!$M:$M,'ПП Юни'!K2)</f>
        <v>0</v>
      </c>
      <c r="L12" s="76">
        <f>SUMIFS(приходи!$L:$L,приходи!$E:$E,'ПП Юни'!$C$12,приходи!$M:$M,'ПП Юни'!L2)</f>
        <v>0</v>
      </c>
      <c r="M12" s="76">
        <f>SUMIFS(приходи!$L:$L,приходи!$E:$E,'ПП Юни'!$C$12,приходи!$M:$M,'ПП Юни'!M2)</f>
        <v>0</v>
      </c>
      <c r="N12" s="74">
        <f>SUMIFS(приходи!$L:$L,приходи!$E:$E,'ПП Юни'!$C$12,приходи!$M:$M,'ПП Юни'!N2)</f>
        <v>0</v>
      </c>
      <c r="O12" s="74">
        <f>SUMIFS(приходи!$L:$L,приходи!$E:$E,'ПП Юни'!$C$12,приходи!$M:$M,'ПП Юни'!O2)</f>
        <v>0</v>
      </c>
      <c r="P12" s="74">
        <f>SUMIFS(приходи!$L:$L,приходи!$E:$E,'ПП Юни'!$C$12,приходи!$M:$M,'ПП Юни'!P2)</f>
        <v>0</v>
      </c>
      <c r="Q12" s="74">
        <f>SUMIFS(приходи!$L:$L,приходи!$E:$E,'ПП Юни'!$C$12,приходи!$M:$M,'ПП Юни'!Q2)</f>
        <v>0</v>
      </c>
      <c r="R12" s="74">
        <f>SUMIFS(приходи!$L:$L,приходи!$E:$E,'ПП Юни'!$C$12,приходи!$M:$M,'ПП Юни'!R2)</f>
        <v>0</v>
      </c>
      <c r="S12" s="76">
        <f>SUMIFS(приходи!$L:$L,приходи!$E:$E,'ПП Юни'!$C$12,приходи!$M:$M,'ПП Юни'!S2)</f>
        <v>0</v>
      </c>
      <c r="T12" s="76">
        <f>SUMIFS(приходи!$L:$L,приходи!$E:$E,'ПП Юни'!$C$12,приходи!$M:$M,'ПП Юни'!T2)</f>
        <v>0</v>
      </c>
      <c r="U12" s="74">
        <f>SUMIFS(приходи!$L:$L,приходи!$E:$E,'ПП Юни'!$C$12,приходи!$M:$M,'ПП Юни'!U2)</f>
        <v>0</v>
      </c>
      <c r="V12" s="74">
        <f>SUMIFS(приходи!$L:$L,приходи!$E:$E,'ПП Юни'!$C$12,приходи!$M:$M,'ПП Юни'!V2)</f>
        <v>0</v>
      </c>
      <c r="W12" s="74">
        <f>SUMIFS(приходи!$L:$L,приходи!$E:$E,'ПП Юни'!$C$12,приходи!$M:$M,'ПП Юни'!W2)</f>
        <v>0</v>
      </c>
      <c r="X12" s="74">
        <f>SUMIFS(приходи!$L:$L,приходи!$E:$E,'ПП Юни'!$C$12,приходи!$M:$M,'ПП Юни'!X2)</f>
        <v>0</v>
      </c>
      <c r="Y12" s="74">
        <f>SUMIFS(приходи!$L:$L,приходи!$E:$E,'ПП Юни'!$C$12,приходи!$M:$M,'ПП Юни'!Y2)</f>
        <v>0</v>
      </c>
      <c r="Z12" s="76">
        <f>SUMIFS(приходи!$L:$L,приходи!$E:$E,'ПП Юни'!$C$12,приходи!$M:$M,'ПП Юни'!Z2)</f>
        <v>0</v>
      </c>
      <c r="AA12" s="76">
        <f>SUMIFS(приходи!$L:$L,приходи!$E:$E,'ПП Юни'!$C$12,приходи!$M:$M,'ПП Юни'!AA2)</f>
        <v>0</v>
      </c>
      <c r="AB12" s="74">
        <f>SUMIFS(приходи!$L:$L,приходи!$E:$E,'ПП Юни'!$C$12,приходи!$M:$M,'ПП Юни'!AB2)</f>
        <v>0</v>
      </c>
      <c r="AC12" s="74">
        <f>SUMIFS(приходи!$L:$L,приходи!$E:$E,'ПП Юни'!$C$12,приходи!$M:$M,'ПП Юни'!AC2)</f>
        <v>0</v>
      </c>
      <c r="AD12" s="74">
        <f>SUMIFS(приходи!$L:$L,приходи!$E:$E,'ПП Юни'!$C$12,приходи!$M:$M,'ПП Юни'!AD2)</f>
        <v>0</v>
      </c>
      <c r="AE12" s="74">
        <f>SUMIFS(приходи!$L:$L,приходи!$E:$E,'ПП Юни'!$C$12,приходи!$M:$M,'ПП Юни'!AE2)</f>
        <v>0</v>
      </c>
      <c r="AF12" s="74">
        <f>SUMIFS(приходи!$L:$L,приходи!$E:$E,'ПП Юни'!$C$12,приходи!$M:$M,'ПП Юни'!AF2)</f>
        <v>0</v>
      </c>
      <c r="AG12" s="76">
        <f>SUMIFS(приходи!$L:$L,приходи!$E:$E,'ПП Юни'!$C$12,приходи!$M:$M,'ПП Юни'!AG2)</f>
        <v>0</v>
      </c>
      <c r="AH12" s="76">
        <f>SUMIFS(приходи!$L:$L,приходи!$E:$E,'ПП Юни'!$C$12,приходи!$M:$M,'ПП Юни'!AH2)</f>
        <v>0</v>
      </c>
      <c r="AI12" s="61">
        <f t="shared" si="2"/>
        <v>366.76800000000003</v>
      </c>
      <c r="AJ12" s="69">
        <f t="shared" si="3"/>
        <v>-366.76800000000003</v>
      </c>
    </row>
    <row r="13" spans="1:36" s="4" customFormat="1" ht="20.100000000000001" customHeight="1" x14ac:dyDescent="0.3">
      <c r="B13" s="7">
        <v>2</v>
      </c>
      <c r="C13" s="8" t="s">
        <v>854</v>
      </c>
      <c r="D13" s="74">
        <f t="shared" ref="D13" si="9">SUM(D14:D18)</f>
        <v>0</v>
      </c>
      <c r="E13" s="76">
        <f t="shared" ref="E13:AH13" si="10">SUM(E14:E19)</f>
        <v>0</v>
      </c>
      <c r="F13" s="76">
        <f t="shared" si="10"/>
        <v>0</v>
      </c>
      <c r="G13" s="74">
        <f t="shared" si="10"/>
        <v>0</v>
      </c>
      <c r="H13" s="74">
        <f t="shared" si="10"/>
        <v>1.4279999999999999</v>
      </c>
      <c r="I13" s="74">
        <f t="shared" si="10"/>
        <v>124.69199999999999</v>
      </c>
      <c r="J13" s="74">
        <f t="shared" si="10"/>
        <v>247.76400000000001</v>
      </c>
      <c r="K13" s="74">
        <f t="shared" si="10"/>
        <v>0</v>
      </c>
      <c r="L13" s="76">
        <f t="shared" si="10"/>
        <v>0</v>
      </c>
      <c r="M13" s="76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0</v>
      </c>
      <c r="S13" s="76">
        <f t="shared" si="10"/>
        <v>0</v>
      </c>
      <c r="T13" s="76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4">
        <f t="shared" si="10"/>
        <v>0</v>
      </c>
      <c r="Z13" s="76">
        <f t="shared" si="10"/>
        <v>0</v>
      </c>
      <c r="AA13" s="76">
        <f t="shared" si="10"/>
        <v>0</v>
      </c>
      <c r="AB13" s="74">
        <f t="shared" si="10"/>
        <v>0</v>
      </c>
      <c r="AC13" s="74">
        <f t="shared" si="10"/>
        <v>0</v>
      </c>
      <c r="AD13" s="74">
        <f t="shared" si="10"/>
        <v>0</v>
      </c>
      <c r="AE13" s="74">
        <f t="shared" si="10"/>
        <v>0</v>
      </c>
      <c r="AF13" s="74">
        <f t="shared" si="10"/>
        <v>0</v>
      </c>
      <c r="AG13" s="76">
        <f t="shared" si="10"/>
        <v>0</v>
      </c>
      <c r="AH13" s="76">
        <f t="shared" si="10"/>
        <v>0</v>
      </c>
      <c r="AI13" s="61">
        <f t="shared" si="2"/>
        <v>373.88400000000001</v>
      </c>
      <c r="AJ13" s="62">
        <f t="shared" si="3"/>
        <v>-373.88400000000001</v>
      </c>
    </row>
    <row r="14" spans="1:36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Юни'!$C$14,приходи!$M:$M,'ПП Юни'!E2)</f>
        <v>0</v>
      </c>
      <c r="F14" s="76">
        <f>SUMIFS(приходи!$L:$L,приходи!$E:$E,'ПП Юни'!$C$14,приходи!$M:$M,'ПП Юни'!F2)</f>
        <v>0</v>
      </c>
      <c r="G14" s="74">
        <f>SUMIFS(приходи!$L:$L,приходи!$E:$E,'ПП Юни'!$C$14,приходи!$M:$M,'ПП Юни'!G2)</f>
        <v>0</v>
      </c>
      <c r="H14" s="74">
        <f>SUMIFS(приходи!$L:$L,приходи!$E:$E,'ПП Юни'!$C$14,приходи!$M:$M,'ПП Юни'!H2)</f>
        <v>0</v>
      </c>
      <c r="I14" s="74">
        <f>SUMIFS(приходи!$L:$L,приходи!$E:$E,'ПП Юни'!$C$14,приходи!$M:$M,'ПП Юни'!I2)</f>
        <v>0</v>
      </c>
      <c r="J14" s="74">
        <f>SUMIFS(приходи!$L:$L,приходи!$E:$E,'ПП Юни'!$C$14,приходи!$M:$M,'ПП Юни'!J2)</f>
        <v>0</v>
      </c>
      <c r="K14" s="74">
        <f>SUMIFS(приходи!$L:$L,приходи!$E:$E,'ПП Юни'!$C$14,приходи!$M:$M,'ПП Юни'!K2)</f>
        <v>0</v>
      </c>
      <c r="L14" s="76">
        <f>SUMIFS(приходи!$L:$L,приходи!$E:$E,'ПП Юни'!$C$14,приходи!$M:$M,'ПП Юни'!L2)</f>
        <v>0</v>
      </c>
      <c r="M14" s="76">
        <f>SUMIFS(приходи!$L:$L,приходи!$E:$E,'ПП Юни'!$C$14,приходи!$M:$M,'ПП Юни'!M2)</f>
        <v>0</v>
      </c>
      <c r="N14" s="74">
        <f>SUMIFS(приходи!$L:$L,приходи!$E:$E,'ПП Юни'!$C$14,приходи!$M:$M,'ПП Юни'!N2)</f>
        <v>0</v>
      </c>
      <c r="O14" s="74">
        <f>SUMIFS(приходи!$L:$L,приходи!$E:$E,'ПП Юни'!$C$14,приходи!$M:$M,'ПП Юни'!O2)</f>
        <v>0</v>
      </c>
      <c r="P14" s="74">
        <f>SUMIFS(приходи!$L:$L,приходи!$E:$E,'ПП Юни'!$C$14,приходи!$M:$M,'ПП Юни'!P2)</f>
        <v>0</v>
      </c>
      <c r="Q14" s="74">
        <f>SUMIFS(приходи!$L:$L,приходи!$E:$E,'ПП Юни'!$C$14,приходи!$M:$M,'ПП Юни'!Q2)</f>
        <v>0</v>
      </c>
      <c r="R14" s="74">
        <f>SUMIFS(приходи!$L:$L,приходи!$E:$E,'ПП Юни'!$C$14,приходи!$M:$M,'ПП Юни'!R2)</f>
        <v>0</v>
      </c>
      <c r="S14" s="76">
        <f>SUMIFS(приходи!$L:$L,приходи!$E:$E,'ПП Юни'!$C$14,приходи!$M:$M,'ПП Юни'!S2)</f>
        <v>0</v>
      </c>
      <c r="T14" s="76">
        <f>SUMIFS(приходи!$L:$L,приходи!$E:$E,'ПП Юни'!$C$14,приходи!$M:$M,'ПП Юни'!T2)</f>
        <v>0</v>
      </c>
      <c r="U14" s="74">
        <f>SUMIFS(приходи!$L:$L,приходи!$E:$E,'ПП Юни'!$C$14,приходи!$M:$M,'ПП Юни'!U2)</f>
        <v>0</v>
      </c>
      <c r="V14" s="74">
        <f>SUMIFS(приходи!$L:$L,приходи!$E:$E,'ПП Юни'!$C$14,приходи!$M:$M,'ПП Юни'!V2)</f>
        <v>0</v>
      </c>
      <c r="W14" s="74">
        <f>SUMIFS(приходи!$L:$L,приходи!$E:$E,'ПП Юни'!$C$14,приходи!$M:$M,'ПП Юни'!W2)</f>
        <v>0</v>
      </c>
      <c r="X14" s="74">
        <f>SUMIFS(приходи!$L:$L,приходи!$E:$E,'ПП Юни'!$C$14,приходи!$M:$M,'ПП Юни'!X2)</f>
        <v>0</v>
      </c>
      <c r="Y14" s="74">
        <f>SUMIFS(приходи!$L:$L,приходи!$E:$E,'ПП Юни'!$C$14,приходи!$M:$M,'ПП Юни'!Y2)</f>
        <v>0</v>
      </c>
      <c r="Z14" s="76">
        <f>SUMIFS(приходи!$L:$L,приходи!$E:$E,'ПП Юни'!$C$14,приходи!$M:$M,'ПП Юни'!Z2)</f>
        <v>0</v>
      </c>
      <c r="AA14" s="76">
        <f>SUMIFS(приходи!$L:$L,приходи!$E:$E,'ПП Юни'!$C$14,приходи!$M:$M,'ПП Юни'!AA2)</f>
        <v>0</v>
      </c>
      <c r="AB14" s="74">
        <f>SUMIFS(приходи!$L:$L,приходи!$E:$E,'ПП Юни'!$C$14,приходи!$M:$M,'ПП Юни'!AB2)</f>
        <v>0</v>
      </c>
      <c r="AC14" s="74">
        <f>SUMIFS(приходи!$L:$L,приходи!$E:$E,'ПП Юни'!$C$14,приходи!$M:$M,'ПП Юни'!AC2)</f>
        <v>0</v>
      </c>
      <c r="AD14" s="74">
        <f>SUMIFS(приходи!$L:$L,приходи!$E:$E,'ПП Юни'!$C$14,приходи!$M:$M,'ПП Юни'!AD2)</f>
        <v>0</v>
      </c>
      <c r="AE14" s="74">
        <f>SUMIFS(приходи!$L:$L,приходи!$E:$E,'ПП Юни'!$C$14,приходи!$M:$M,'ПП Юни'!AE2)</f>
        <v>0</v>
      </c>
      <c r="AF14" s="74">
        <f>SUMIFS(приходи!$L:$L,приходи!$E:$E,'ПП Юни'!$C$14,приходи!$M:$M,'ПП Юни'!AF2)</f>
        <v>0</v>
      </c>
      <c r="AG14" s="76">
        <f>SUMIFS(приходи!$L:$L,приходи!$E:$E,'ПП Юни'!$C$14,приходи!$M:$M,'ПП Юни'!AG2)</f>
        <v>0</v>
      </c>
      <c r="AH14" s="76">
        <f>SUMIFS(приходи!$L:$L,приходи!$E:$E,'ПП Юни'!$C$14,приходи!$M:$M,'ПП Юни'!AH2)</f>
        <v>0</v>
      </c>
      <c r="AI14" s="61">
        <f t="shared" si="2"/>
        <v>0</v>
      </c>
      <c r="AJ14" s="69">
        <f t="shared" si="3"/>
        <v>0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Юни'!$C$15,приходи!$M:$M,'ПП Юни'!E2)</f>
        <v>0</v>
      </c>
      <c r="F15" s="76">
        <f>SUMIFS(приходи!$L:$L,приходи!$E:$E,'ПП Юни'!$C$15,приходи!$M:$M,'ПП Юни'!F2)</f>
        <v>0</v>
      </c>
      <c r="G15" s="74">
        <f>SUMIFS(приходи!$L:$L,приходи!$E:$E,'ПП Юни'!$C$15,приходи!$M:$M,'ПП Юни'!G2)</f>
        <v>0</v>
      </c>
      <c r="H15" s="74">
        <f>SUMIFS(приходи!$L:$L,приходи!$E:$E,'ПП Юни'!$C$15,приходи!$M:$M,'ПП Юни'!H2)</f>
        <v>0</v>
      </c>
      <c r="I15" s="74">
        <f>SUMIFS(приходи!$L:$L,приходи!$E:$E,'ПП Юни'!$C$15,приходи!$M:$M,'ПП Юни'!I2)</f>
        <v>0</v>
      </c>
      <c r="J15" s="74">
        <f>SUMIFS(приходи!$L:$L,приходи!$E:$E,'ПП Юни'!$C$15,приходи!$M:$M,'ПП Юни'!J2)</f>
        <v>0</v>
      </c>
      <c r="K15" s="74">
        <f>SUMIFS(приходи!$L:$L,приходи!$E:$E,'ПП Юни'!$C$15,приходи!$M:$M,'ПП Юни'!K2)</f>
        <v>0</v>
      </c>
      <c r="L15" s="76">
        <f>SUMIFS(приходи!$L:$L,приходи!$E:$E,'ПП Юни'!$C$15,приходи!$M:$M,'ПП Юни'!L2)</f>
        <v>0</v>
      </c>
      <c r="M15" s="76">
        <f>SUMIFS(приходи!$L:$L,приходи!$E:$E,'ПП Юни'!$C$15,приходи!$M:$M,'ПП Юни'!M2)</f>
        <v>0</v>
      </c>
      <c r="N15" s="74">
        <f>SUMIFS(приходи!$L:$L,приходи!$E:$E,'ПП Юни'!$C$15,приходи!$M:$M,'ПП Юни'!N2)</f>
        <v>0</v>
      </c>
      <c r="O15" s="74">
        <f>SUMIFS(приходи!$L:$L,приходи!$E:$E,'ПП Юни'!$C$15,приходи!$M:$M,'ПП Юни'!O2)</f>
        <v>0</v>
      </c>
      <c r="P15" s="74">
        <f>SUMIFS(приходи!$L:$L,приходи!$E:$E,'ПП Юни'!$C$15,приходи!$M:$M,'ПП Юни'!P2)</f>
        <v>0</v>
      </c>
      <c r="Q15" s="74">
        <f>SUMIFS(приходи!$L:$L,приходи!$E:$E,'ПП Юни'!$C$15,приходи!$M:$M,'ПП Юни'!Q2)</f>
        <v>0</v>
      </c>
      <c r="R15" s="74">
        <f>SUMIFS(приходи!$L:$L,приходи!$E:$E,'ПП Юни'!$C$15,приходи!$M:$M,'ПП Юни'!R2)</f>
        <v>0</v>
      </c>
      <c r="S15" s="76">
        <f>SUMIFS(приходи!$L:$L,приходи!$E:$E,'ПП Юни'!$C$15,приходи!$M:$M,'ПП Юни'!S2)</f>
        <v>0</v>
      </c>
      <c r="T15" s="76">
        <f>SUMIFS(приходи!$L:$L,приходи!$E:$E,'ПП Юни'!$C$15,приходи!$M:$M,'ПП Юни'!T2)</f>
        <v>0</v>
      </c>
      <c r="U15" s="74">
        <f>SUMIFS(приходи!$L:$L,приходи!$E:$E,'ПП Юни'!$C$15,приходи!$M:$M,'ПП Юни'!U2)</f>
        <v>0</v>
      </c>
      <c r="V15" s="74">
        <f>SUMIFS(приходи!$L:$L,приходи!$E:$E,'ПП Юни'!$C$15,приходи!$M:$M,'ПП Юни'!V2)</f>
        <v>0</v>
      </c>
      <c r="W15" s="74">
        <f>SUMIFS(приходи!$L:$L,приходи!$E:$E,'ПП Юни'!$C$15,приходи!$M:$M,'ПП Юни'!W2)</f>
        <v>0</v>
      </c>
      <c r="X15" s="74">
        <f>SUMIFS(приходи!$L:$L,приходи!$E:$E,'ПП Юни'!$C$15,приходи!$M:$M,'ПП Юни'!X2)</f>
        <v>0</v>
      </c>
      <c r="Y15" s="74">
        <f>SUMIFS(приходи!$L:$L,приходи!$E:$E,'ПП Юни'!$C$15,приходи!$M:$M,'ПП Юни'!Y2)</f>
        <v>0</v>
      </c>
      <c r="Z15" s="76">
        <f>SUMIFS(приходи!$L:$L,приходи!$E:$E,'ПП Юни'!$C$15,приходи!$M:$M,'ПП Юни'!Z2)</f>
        <v>0</v>
      </c>
      <c r="AA15" s="76">
        <f>SUMIFS(приходи!$L:$L,приходи!$E:$E,'ПП Юни'!$C$15,приходи!$M:$M,'ПП Юни'!AA2)</f>
        <v>0</v>
      </c>
      <c r="AB15" s="74">
        <f>SUMIFS(приходи!$L:$L,приходи!$E:$E,'ПП Юни'!$C$15,приходи!$M:$M,'ПП Юни'!AB2)</f>
        <v>0</v>
      </c>
      <c r="AC15" s="74">
        <f>SUMIFS(приходи!$L:$L,приходи!$E:$E,'ПП Юни'!$C$15,приходи!$M:$M,'ПП Юни'!AC2)</f>
        <v>0</v>
      </c>
      <c r="AD15" s="74">
        <f>SUMIFS(приходи!$L:$L,приходи!$E:$E,'ПП Юни'!$C$15,приходи!$M:$M,'ПП Юни'!AD2)</f>
        <v>0</v>
      </c>
      <c r="AE15" s="74">
        <f>SUMIFS(приходи!$L:$L,приходи!$E:$E,'ПП Юни'!$C$15,приходи!$M:$M,'ПП Юни'!AE2)</f>
        <v>0</v>
      </c>
      <c r="AF15" s="74">
        <f>SUMIFS(приходи!$L:$L,приходи!$E:$E,'ПП Юни'!$C$15,приходи!$M:$M,'ПП Юни'!AF2)</f>
        <v>0</v>
      </c>
      <c r="AG15" s="76">
        <f>SUMIFS(приходи!$L:$L,приходи!$E:$E,'ПП Юни'!$C$15,приходи!$M:$M,'ПП Юни'!AG2)</f>
        <v>0</v>
      </c>
      <c r="AH15" s="76">
        <f>SUMIFS(приходи!$L:$L,приходи!$E:$E,'ПП Юни'!$C$15,приходи!$M:$M,'ПП Юни'!AH2)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Юни'!$C$16,приходи!$M:$M,'ПП Юни'!E2)</f>
        <v>0</v>
      </c>
      <c r="F16" s="76">
        <f>SUMIFS(приходи!$L:$L,приходи!$E:$E,'ПП Юни'!$C$16,приходи!$M:$M,'ПП Юни'!F2)</f>
        <v>0</v>
      </c>
      <c r="G16" s="74">
        <f>SUMIFS(приходи!$L:$L,приходи!$E:$E,'ПП Юни'!$C$16,приходи!$M:$M,'ПП Юни'!G2)</f>
        <v>0</v>
      </c>
      <c r="H16" s="74">
        <f>SUMIFS(приходи!$L:$L,приходи!$E:$E,'ПП Юни'!$C$16,приходи!$M:$M,'ПП Юни'!H2)</f>
        <v>0</v>
      </c>
      <c r="I16" s="74">
        <f>SUMIFS(приходи!$L:$L,приходи!$E:$E,'ПП Юни'!$C$16,приходи!$M:$M,'ПП Юни'!I2)</f>
        <v>0</v>
      </c>
      <c r="J16" s="74">
        <f>SUMIFS(приходи!$L:$L,приходи!$E:$E,'ПП Юни'!$C$16,приходи!$M:$M,'ПП Юни'!J2)</f>
        <v>0</v>
      </c>
      <c r="K16" s="74">
        <f>SUMIFS(приходи!$L:$L,приходи!$E:$E,'ПП Юни'!$C$16,приходи!$M:$M,'ПП Юни'!K2)</f>
        <v>0</v>
      </c>
      <c r="L16" s="76">
        <f>SUMIFS(приходи!$L:$L,приходи!$E:$E,'ПП Юни'!$C$16,приходи!$M:$M,'ПП Юни'!L2)</f>
        <v>0</v>
      </c>
      <c r="M16" s="76">
        <f>SUMIFS(приходи!$L:$L,приходи!$E:$E,'ПП Юни'!$C$16,приходи!$M:$M,'ПП Юни'!M2)</f>
        <v>0</v>
      </c>
      <c r="N16" s="74">
        <f>SUMIFS(приходи!$L:$L,приходи!$E:$E,'ПП Юни'!$C$16,приходи!$M:$M,'ПП Юни'!N2)</f>
        <v>0</v>
      </c>
      <c r="O16" s="74">
        <f>SUMIFS(приходи!$L:$L,приходи!$E:$E,'ПП Юни'!$C$16,приходи!$M:$M,'ПП Юни'!O2)</f>
        <v>0</v>
      </c>
      <c r="P16" s="74">
        <f>SUMIFS(приходи!$L:$L,приходи!$E:$E,'ПП Юни'!$C$16,приходи!$M:$M,'ПП Юни'!P2)</f>
        <v>0</v>
      </c>
      <c r="Q16" s="74">
        <f>SUMIFS(приходи!$L:$L,приходи!$E:$E,'ПП Юни'!$C$16,приходи!$M:$M,'ПП Юни'!Q2)</f>
        <v>0</v>
      </c>
      <c r="R16" s="74">
        <f>SUMIFS(приходи!$L:$L,приходи!$E:$E,'ПП Юни'!$C$16,приходи!$M:$M,'ПП Юни'!R2)</f>
        <v>0</v>
      </c>
      <c r="S16" s="76">
        <f>SUMIFS(приходи!$L:$L,приходи!$E:$E,'ПП Юни'!$C$16,приходи!$M:$M,'ПП Юни'!S2)</f>
        <v>0</v>
      </c>
      <c r="T16" s="76">
        <f>SUMIFS(приходи!$L:$L,приходи!$E:$E,'ПП Юни'!$C$16,приходи!$M:$M,'ПП Юни'!T2)</f>
        <v>0</v>
      </c>
      <c r="U16" s="74">
        <f>SUMIFS(приходи!$L:$L,приходи!$E:$E,'ПП Юни'!$C$16,приходи!$M:$M,'ПП Юни'!U2)</f>
        <v>0</v>
      </c>
      <c r="V16" s="74">
        <f>SUMIFS(приходи!$L:$L,приходи!$E:$E,'ПП Юни'!$C$16,приходи!$M:$M,'ПП Юни'!V2)</f>
        <v>0</v>
      </c>
      <c r="W16" s="74">
        <f>SUMIFS(приходи!$L:$L,приходи!$E:$E,'ПП Юни'!$C$16,приходи!$M:$M,'ПП Юни'!W2)</f>
        <v>0</v>
      </c>
      <c r="X16" s="74">
        <f>SUMIFS(приходи!$L:$L,приходи!$E:$E,'ПП Юни'!$C$16,приходи!$M:$M,'ПП Юни'!X2)</f>
        <v>0</v>
      </c>
      <c r="Y16" s="74">
        <f>SUMIFS(приходи!$L:$L,приходи!$E:$E,'ПП Юни'!$C$16,приходи!$M:$M,'ПП Юни'!Y2)</f>
        <v>0</v>
      </c>
      <c r="Z16" s="76">
        <f>SUMIFS(приходи!$L:$L,приходи!$E:$E,'ПП Юни'!$C$16,приходи!$M:$M,'ПП Юни'!Z2)</f>
        <v>0</v>
      </c>
      <c r="AA16" s="76">
        <f>SUMIFS(приходи!$L:$L,приходи!$E:$E,'ПП Юни'!$C$16,приходи!$M:$M,'ПП Юни'!AA2)</f>
        <v>0</v>
      </c>
      <c r="AB16" s="74">
        <f>SUMIFS(приходи!$L:$L,приходи!$E:$E,'ПП Юни'!$C$16,приходи!$M:$M,'ПП Юни'!AB2)</f>
        <v>0</v>
      </c>
      <c r="AC16" s="74">
        <f>SUMIFS(приходи!$L:$L,приходи!$E:$E,'ПП Юни'!$C$16,приходи!$M:$M,'ПП Юни'!AC2)</f>
        <v>0</v>
      </c>
      <c r="AD16" s="74">
        <f>SUMIFS(приходи!$L:$L,приходи!$E:$E,'ПП Юни'!$C$16,приходи!$M:$M,'ПП Юни'!AD2)</f>
        <v>0</v>
      </c>
      <c r="AE16" s="74">
        <f>SUMIFS(приходи!$L:$L,приходи!$E:$E,'ПП Юни'!$C$16,приходи!$M:$M,'ПП Юни'!AE2)</f>
        <v>0</v>
      </c>
      <c r="AF16" s="74">
        <f>SUMIFS(приходи!$L:$L,приходи!$E:$E,'ПП Юни'!$C$16,приходи!$M:$M,'ПП Юни'!AF2)</f>
        <v>0</v>
      </c>
      <c r="AG16" s="76">
        <f>SUMIFS(приходи!$L:$L,приходи!$E:$E,'ПП Юни'!$C$16,приходи!$M:$M,'ПП Юни'!AG2)</f>
        <v>0</v>
      </c>
      <c r="AH16" s="76">
        <f>SUMIFS(приходи!$L:$L,приходи!$E:$E,'ПП Юни'!$C$16,приходи!$M:$M,'ПП Юни'!AH2)</f>
        <v>0</v>
      </c>
      <c r="AI16" s="61">
        <f t="shared" si="2"/>
        <v>0</v>
      </c>
      <c r="AJ16" s="69">
        <f t="shared" si="3"/>
        <v>0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Юни'!$C$17,приходи!$M:$M,'ПП Юни'!E2)</f>
        <v>0</v>
      </c>
      <c r="F17" s="76">
        <f>SUMIFS(приходи!$L:$L,приходи!$E:$E,'ПП Юни'!$C$17,приходи!$M:$M,'ПП Юни'!F2)</f>
        <v>0</v>
      </c>
      <c r="G17" s="74">
        <f>SUMIFS(приходи!$L:$L,приходи!$E:$E,'ПП Юни'!$C$17,приходи!$M:$M,'ПП Юни'!G2)</f>
        <v>0</v>
      </c>
      <c r="H17" s="74">
        <f>SUMIFS(приходи!$L:$L,приходи!$E:$E,'ПП Юни'!$C$17,приходи!$M:$M,'ПП Юни'!H2)</f>
        <v>0</v>
      </c>
      <c r="I17" s="74">
        <f>SUMIFS(приходи!$L:$L,приходи!$E:$E,'ПП Юни'!$C$17,приходи!$M:$M,'ПП Юни'!I2)</f>
        <v>0</v>
      </c>
      <c r="J17" s="74">
        <f>SUMIFS(приходи!$L:$L,приходи!$E:$E,'ПП Юни'!$C$17,приходи!$M:$M,'ПП Юни'!J2)</f>
        <v>0</v>
      </c>
      <c r="K17" s="74">
        <f>SUMIFS(приходи!$L:$L,приходи!$E:$E,'ПП Юни'!$C$17,приходи!$M:$M,'ПП Юни'!K2)</f>
        <v>0</v>
      </c>
      <c r="L17" s="76">
        <f>SUMIFS(приходи!$L:$L,приходи!$E:$E,'ПП Юни'!$C$17,приходи!$M:$M,'ПП Юни'!L2)</f>
        <v>0</v>
      </c>
      <c r="M17" s="76">
        <f>SUMIFS(приходи!$L:$L,приходи!$E:$E,'ПП Юни'!$C$17,приходи!$M:$M,'ПП Юни'!M2)</f>
        <v>0</v>
      </c>
      <c r="N17" s="74">
        <f>SUMIFS(приходи!$L:$L,приходи!$E:$E,'ПП Юни'!$C$17,приходи!$M:$M,'ПП Юни'!N2)</f>
        <v>0</v>
      </c>
      <c r="O17" s="74">
        <f>SUMIFS(приходи!$L:$L,приходи!$E:$E,'ПП Юни'!$C$17,приходи!$M:$M,'ПП Юни'!O2)</f>
        <v>0</v>
      </c>
      <c r="P17" s="74">
        <f>SUMIFS(приходи!$L:$L,приходи!$E:$E,'ПП Юни'!$C$17,приходи!$M:$M,'ПП Юни'!P2)</f>
        <v>0</v>
      </c>
      <c r="Q17" s="74">
        <f>SUMIFS(приходи!$L:$L,приходи!$E:$E,'ПП Юни'!$C$17,приходи!$M:$M,'ПП Юни'!Q2)</f>
        <v>0</v>
      </c>
      <c r="R17" s="74">
        <f>SUMIFS(приходи!$L:$L,приходи!$E:$E,'ПП Юни'!$C$17,приходи!$M:$M,'ПП Юни'!R2)</f>
        <v>0</v>
      </c>
      <c r="S17" s="76">
        <f>SUMIFS(приходи!$L:$L,приходи!$E:$E,'ПП Юни'!$C$17,приходи!$M:$M,'ПП Юни'!S2)</f>
        <v>0</v>
      </c>
      <c r="T17" s="76">
        <f>SUMIFS(приходи!$L:$L,приходи!$E:$E,'ПП Юни'!$C$17,приходи!$M:$M,'ПП Юни'!T2)</f>
        <v>0</v>
      </c>
      <c r="U17" s="74">
        <f>SUMIFS(приходи!$L:$L,приходи!$E:$E,'ПП Юни'!$C$17,приходи!$M:$M,'ПП Юни'!U2)</f>
        <v>0</v>
      </c>
      <c r="V17" s="74">
        <f>SUMIFS(приходи!$L:$L,приходи!$E:$E,'ПП Юни'!$C$17,приходи!$M:$M,'ПП Юни'!V2)</f>
        <v>0</v>
      </c>
      <c r="W17" s="74">
        <f>SUMIFS(приходи!$L:$L,приходи!$E:$E,'ПП Юни'!$C$17,приходи!$M:$M,'ПП Юни'!W2)</f>
        <v>0</v>
      </c>
      <c r="X17" s="74">
        <f>SUMIFS(приходи!$L:$L,приходи!$E:$E,'ПП Юни'!$C$17,приходи!$M:$M,'ПП Юни'!X2)</f>
        <v>0</v>
      </c>
      <c r="Y17" s="74">
        <f>SUMIFS(приходи!$L:$L,приходи!$E:$E,'ПП Юни'!$C$17,приходи!$M:$M,'ПП Юни'!Y2)</f>
        <v>0</v>
      </c>
      <c r="Z17" s="76">
        <f>SUMIFS(приходи!$L:$L,приходи!$E:$E,'ПП Юни'!$C$17,приходи!$M:$M,'ПП Юни'!Z2)</f>
        <v>0</v>
      </c>
      <c r="AA17" s="76">
        <f>SUMIFS(приходи!$L:$L,приходи!$E:$E,'ПП Юни'!$C$17,приходи!$M:$M,'ПП Юни'!AA2)</f>
        <v>0</v>
      </c>
      <c r="AB17" s="74">
        <f>SUMIFS(приходи!$L:$L,приходи!$E:$E,'ПП Юни'!$C$17,приходи!$M:$M,'ПП Юни'!AB2)</f>
        <v>0</v>
      </c>
      <c r="AC17" s="74">
        <f>SUMIFS(приходи!$L:$L,приходи!$E:$E,'ПП Юни'!$C$17,приходи!$M:$M,'ПП Юни'!AC2)</f>
        <v>0</v>
      </c>
      <c r="AD17" s="74">
        <f>SUMIFS(приходи!$L:$L,приходи!$E:$E,'ПП Юни'!$C$17,приходи!$M:$M,'ПП Юни'!AD2)</f>
        <v>0</v>
      </c>
      <c r="AE17" s="74">
        <f>SUMIFS(приходи!$L:$L,приходи!$E:$E,'ПП Юни'!$C$17,приходи!$M:$M,'ПП Юни'!AE2)</f>
        <v>0</v>
      </c>
      <c r="AF17" s="74">
        <f>SUMIFS(приходи!$L:$L,приходи!$E:$E,'ПП Юни'!$C$17,приходи!$M:$M,'ПП Юни'!AF2)</f>
        <v>0</v>
      </c>
      <c r="AG17" s="76">
        <f>SUMIFS(приходи!$L:$L,приходи!$E:$E,'ПП Юни'!$C$17,приходи!$M:$M,'ПП Юни'!AG2)</f>
        <v>0</v>
      </c>
      <c r="AH17" s="76">
        <f>SUMIFS(приходи!$L:$L,приходи!$E:$E,'ПП Юни'!$C$17,приходи!$M:$M,'ПП Юни'!AH2)</f>
        <v>0</v>
      </c>
      <c r="AI17" s="61">
        <f t="shared" si="2"/>
        <v>0</v>
      </c>
      <c r="AJ17" s="69">
        <f t="shared" si="3"/>
        <v>0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Юни'!$C$18,приходи!$M:$M,'ПП Юни'!E2)</f>
        <v>0</v>
      </c>
      <c r="F18" s="76">
        <f>SUMIFS(приходи!$L:$L,приходи!$E:$E,'ПП Юни'!$C$18,приходи!$M:$M,'ПП Юни'!F2)</f>
        <v>0</v>
      </c>
      <c r="G18" s="74">
        <f>SUMIFS(приходи!$L:$L,приходи!$E:$E,'ПП Юни'!$C$18,приходи!$M:$M,'ПП Юни'!G2)</f>
        <v>0</v>
      </c>
      <c r="H18" s="74">
        <f>SUMIFS(приходи!$L:$L,приходи!$E:$E,'ПП Юни'!$C$18,приходи!$M:$M,'ПП Юни'!H2)</f>
        <v>0</v>
      </c>
      <c r="I18" s="74">
        <f>SUMIFS(приходи!$L:$L,приходи!$E:$E,'ПП Юни'!$C$18,приходи!$M:$M,'ПП Юни'!I2)</f>
        <v>0</v>
      </c>
      <c r="J18" s="74">
        <f>SUMIFS(приходи!$L:$L,приходи!$E:$E,'ПП Юни'!$C$18,приходи!$M:$M,'ПП Юни'!J2)</f>
        <v>0</v>
      </c>
      <c r="K18" s="74">
        <f>SUMIFS(приходи!$L:$L,приходи!$E:$E,'ПП Юни'!$C$18,приходи!$M:$M,'ПП Юни'!K2)</f>
        <v>0</v>
      </c>
      <c r="L18" s="76">
        <f>SUMIFS(приходи!$L:$L,приходи!$E:$E,'ПП Юни'!$C$18,приходи!$M:$M,'ПП Юни'!L2)</f>
        <v>0</v>
      </c>
      <c r="M18" s="76">
        <f>SUMIFS(приходи!$L:$L,приходи!$E:$E,'ПП Юни'!$C$18,приходи!$M:$M,'ПП Юни'!M2)</f>
        <v>0</v>
      </c>
      <c r="N18" s="74">
        <f>SUMIFS(приходи!$L:$L,приходи!$E:$E,'ПП Юни'!$C$18,приходи!$M:$M,'ПП Юни'!N2)</f>
        <v>0</v>
      </c>
      <c r="O18" s="74">
        <f>SUMIFS(приходи!$L:$L,приходи!$E:$E,'ПП Юни'!$C$18,приходи!$M:$M,'ПП Юни'!O2)</f>
        <v>0</v>
      </c>
      <c r="P18" s="74">
        <f>SUMIFS(приходи!$L:$L,приходи!$E:$E,'ПП Юни'!$C$18,приходи!$M:$M,'ПП Юни'!P2)</f>
        <v>0</v>
      </c>
      <c r="Q18" s="74">
        <f>SUMIFS(приходи!$L:$L,приходи!$E:$E,'ПП Юни'!$C$18,приходи!$M:$M,'ПП Юни'!Q2)</f>
        <v>0</v>
      </c>
      <c r="R18" s="74">
        <f>SUMIFS(приходи!$L:$L,приходи!$E:$E,'ПП Юни'!$C$18,приходи!$M:$M,'ПП Юни'!R2)</f>
        <v>0</v>
      </c>
      <c r="S18" s="76">
        <f>SUMIFS(приходи!$L:$L,приходи!$E:$E,'ПП Юни'!$C$18,приходи!$M:$M,'ПП Юни'!S2)</f>
        <v>0</v>
      </c>
      <c r="T18" s="76">
        <f>SUMIFS(приходи!$L:$L,приходи!$E:$E,'ПП Юни'!$C$18,приходи!$M:$M,'ПП Юни'!T2)</f>
        <v>0</v>
      </c>
      <c r="U18" s="74">
        <f>SUMIFS(приходи!$L:$L,приходи!$E:$E,'ПП Юни'!$C$18,приходи!$M:$M,'ПП Юни'!U2)</f>
        <v>0</v>
      </c>
      <c r="V18" s="74">
        <f>SUMIFS(приходи!$L:$L,приходи!$E:$E,'ПП Юни'!$C$18,приходи!$M:$M,'ПП Юни'!V2)</f>
        <v>0</v>
      </c>
      <c r="W18" s="74">
        <f>SUMIFS(приходи!$L:$L,приходи!$E:$E,'ПП Юни'!$C$18,приходи!$M:$M,'ПП Юни'!W2)</f>
        <v>0</v>
      </c>
      <c r="X18" s="74">
        <f>SUMIFS(приходи!$L:$L,приходи!$E:$E,'ПП Юни'!$C$18,приходи!$M:$M,'ПП Юни'!X2)</f>
        <v>0</v>
      </c>
      <c r="Y18" s="74">
        <f>SUMIFS(приходи!$L:$L,приходи!$E:$E,'ПП Юни'!$C$18,приходи!$M:$M,'ПП Юни'!Y2)</f>
        <v>0</v>
      </c>
      <c r="Z18" s="76">
        <f>SUMIFS(приходи!$L:$L,приходи!$E:$E,'ПП Юни'!$C$18,приходи!$M:$M,'ПП Юни'!Z2)</f>
        <v>0</v>
      </c>
      <c r="AA18" s="76">
        <f>SUMIFS(приходи!$L:$L,приходи!$E:$E,'ПП Юни'!$C$18,приходи!$M:$M,'ПП Юни'!AA2)</f>
        <v>0</v>
      </c>
      <c r="AB18" s="74">
        <f>SUMIFS(приходи!$L:$L,приходи!$E:$E,'ПП Юни'!$C$18,приходи!$M:$M,'ПП Юни'!AB2)</f>
        <v>0</v>
      </c>
      <c r="AC18" s="74">
        <f>SUMIFS(приходи!$L:$L,приходи!$E:$E,'ПП Юни'!$C$18,приходи!$M:$M,'ПП Юни'!AC2)</f>
        <v>0</v>
      </c>
      <c r="AD18" s="74">
        <f>SUMIFS(приходи!$L:$L,приходи!$E:$E,'ПП Юни'!$C$18,приходи!$M:$M,'ПП Юни'!AD2)</f>
        <v>0</v>
      </c>
      <c r="AE18" s="74">
        <f>SUMIFS(приходи!$L:$L,приходи!$E:$E,'ПП Юни'!$C$18,приходи!$M:$M,'ПП Юни'!AE2)</f>
        <v>0</v>
      </c>
      <c r="AF18" s="74">
        <f>SUMIFS(приходи!$L:$L,приходи!$E:$E,'ПП Юни'!$C$18,приходи!$M:$M,'ПП Юни'!AF2)</f>
        <v>0</v>
      </c>
      <c r="AG18" s="76">
        <f>SUMIFS(приходи!$L:$L,приходи!$E:$E,'ПП Юни'!$C$18,приходи!$M:$M,'ПП Юни'!AG2)</f>
        <v>0</v>
      </c>
      <c r="AH18" s="76">
        <f>SUMIFS(приходи!$L:$L,приходи!$E:$E,'ПП Юни'!$C$18,приходи!$M:$M,'ПП Юни'!AH2)</f>
        <v>0</v>
      </c>
      <c r="AI18" s="61">
        <f t="shared" si="2"/>
        <v>0</v>
      </c>
      <c r="AJ18" s="69">
        <f t="shared" si="3"/>
        <v>0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Юни'!$C$19,приходи!$M:$M,'ПП Юни'!E2)</f>
        <v>0</v>
      </c>
      <c r="F19" s="76">
        <f>SUMIFS(приходи!$L:$L,приходи!$E:$E,'ПП Юни'!$C$19,приходи!$M:$M,'ПП Юни'!F2)</f>
        <v>0</v>
      </c>
      <c r="G19" s="74">
        <f>SUMIFS(приходи!$L:$L,приходи!$E:$E,'ПП Юни'!$C$19,приходи!$M:$M,'ПП Юни'!G2)</f>
        <v>0</v>
      </c>
      <c r="H19" s="74">
        <f>SUMIFS(приходи!$L:$L,приходи!$E:$E,'ПП Юни'!$C$19,приходи!$M:$M,'ПП Юни'!H2)</f>
        <v>1.4279999999999999</v>
      </c>
      <c r="I19" s="74">
        <f>SUMIFS(приходи!$L:$L,приходи!$E:$E,'ПП Юни'!$C$19,приходи!$M:$M,'ПП Юни'!I2)</f>
        <v>124.69199999999999</v>
      </c>
      <c r="J19" s="74">
        <f>SUMIFS(приходи!$L:$L,приходи!$E:$E,'ПП Юни'!$C$19,приходи!$M:$M,'ПП Юни'!J2)</f>
        <v>247.76400000000001</v>
      </c>
      <c r="K19" s="74">
        <f>SUMIFS(приходи!$L:$L,приходи!$E:$E,'ПП Юни'!$C$19,приходи!$M:$M,'ПП Юни'!K2)</f>
        <v>0</v>
      </c>
      <c r="L19" s="76">
        <f>SUMIFS(приходи!$L:$L,приходи!$E:$E,'ПП Юни'!$C$19,приходи!$M:$M,'ПП Юни'!L2)</f>
        <v>0</v>
      </c>
      <c r="M19" s="76">
        <f>SUMIFS(приходи!$L:$L,приходи!$E:$E,'ПП Юни'!$C$19,приходи!$M:$M,'ПП Юни'!M2)</f>
        <v>0</v>
      </c>
      <c r="N19" s="74">
        <f>SUMIFS(приходи!$L:$L,приходи!$E:$E,'ПП Юни'!$C$19,приходи!$M:$M,'ПП Юни'!N2)</f>
        <v>0</v>
      </c>
      <c r="O19" s="74">
        <f>SUMIFS(приходи!$L:$L,приходи!$E:$E,'ПП Юни'!$C$19,приходи!$M:$M,'ПП Юни'!O2)</f>
        <v>0</v>
      </c>
      <c r="P19" s="74">
        <f>SUMIFS(приходи!$L:$L,приходи!$E:$E,'ПП Юни'!$C$19,приходи!$M:$M,'ПП Юни'!P2)</f>
        <v>0</v>
      </c>
      <c r="Q19" s="74">
        <f>SUMIFS(приходи!$L:$L,приходи!$E:$E,'ПП Юни'!$C$19,приходи!$M:$M,'ПП Юни'!Q2)</f>
        <v>0</v>
      </c>
      <c r="R19" s="74">
        <f>SUMIFS(приходи!$L:$L,приходи!$E:$E,'ПП Юни'!$C$19,приходи!$M:$M,'ПП Юни'!R2)</f>
        <v>0</v>
      </c>
      <c r="S19" s="76">
        <f>SUMIFS(приходи!$L:$L,приходи!$E:$E,'ПП Юни'!$C$19,приходи!$M:$M,'ПП Юни'!S2)</f>
        <v>0</v>
      </c>
      <c r="T19" s="76">
        <f>SUMIFS(приходи!$L:$L,приходи!$E:$E,'ПП Юни'!$C$19,приходи!$M:$M,'ПП Юни'!T2)</f>
        <v>0</v>
      </c>
      <c r="U19" s="74">
        <f>SUMIFS(приходи!$L:$L,приходи!$E:$E,'ПП Юни'!$C$19,приходи!$M:$M,'ПП Юни'!U2)</f>
        <v>0</v>
      </c>
      <c r="V19" s="74">
        <f>SUMIFS(приходи!$L:$L,приходи!$E:$E,'ПП Юни'!$C$19,приходи!$M:$M,'ПП Юни'!V2)</f>
        <v>0</v>
      </c>
      <c r="W19" s="74">
        <f>SUMIFS(приходи!$L:$L,приходи!$E:$E,'ПП Юни'!$C$19,приходи!$M:$M,'ПП Юни'!W2)</f>
        <v>0</v>
      </c>
      <c r="X19" s="74">
        <f>SUMIFS(приходи!$L:$L,приходи!$E:$E,'ПП Юни'!$C$19,приходи!$M:$M,'ПП Юни'!X2)</f>
        <v>0</v>
      </c>
      <c r="Y19" s="74">
        <f>SUMIFS(приходи!$L:$L,приходи!$E:$E,'ПП Юни'!$C$19,приходи!$M:$M,'ПП Юни'!Y2)</f>
        <v>0</v>
      </c>
      <c r="Z19" s="76">
        <f>SUMIFS(приходи!$L:$L,приходи!$E:$E,'ПП Юни'!$C$19,приходи!$M:$M,'ПП Юни'!Z2)</f>
        <v>0</v>
      </c>
      <c r="AA19" s="76">
        <f>SUMIFS(приходи!$L:$L,приходи!$E:$E,'ПП Юни'!$C$19,приходи!$M:$M,'ПП Юни'!AA2)</f>
        <v>0</v>
      </c>
      <c r="AB19" s="74">
        <f>SUMIFS(приходи!$L:$L,приходи!$E:$E,'ПП Юни'!$C$19,приходи!$M:$M,'ПП Юни'!AB2)</f>
        <v>0</v>
      </c>
      <c r="AC19" s="74">
        <f>SUMIFS(приходи!$L:$L,приходи!$E:$E,'ПП Юни'!$C$19,приходи!$M:$M,'ПП Юни'!AC2)</f>
        <v>0</v>
      </c>
      <c r="AD19" s="74">
        <f>SUMIFS(приходи!$L:$L,приходи!$E:$E,'ПП Юни'!$C$19,приходи!$M:$M,'ПП Юни'!AD2)</f>
        <v>0</v>
      </c>
      <c r="AE19" s="74">
        <f>SUMIFS(приходи!$L:$L,приходи!$E:$E,'ПП Юни'!$C$19,приходи!$M:$M,'ПП Юни'!AE2)</f>
        <v>0</v>
      </c>
      <c r="AF19" s="74">
        <f>SUMIFS(приходи!$L:$L,приходи!$E:$E,'ПП Юни'!$C$19,приходи!$M:$M,'ПП Юни'!AF2)</f>
        <v>0</v>
      </c>
      <c r="AG19" s="76">
        <f>SUMIFS(приходи!$L:$L,приходи!$E:$E,'ПП Юни'!$C$19,приходи!$M:$M,'ПП Юни'!AG2)</f>
        <v>0</v>
      </c>
      <c r="AH19" s="76">
        <f>SUMIFS(приходи!$L:$L,приходи!$E:$E,'ПП Юни'!$C$19,приходи!$M:$M,'ПП Юни'!AH2)</f>
        <v>0</v>
      </c>
      <c r="AI19" s="61">
        <f t="shared" si="2"/>
        <v>373.88400000000001</v>
      </c>
      <c r="AJ19" s="69">
        <f t="shared" si="3"/>
        <v>-373.88400000000001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Юни'!$C$20,приходи!$M:$M,'ПП Юни'!E2)</f>
        <v>0</v>
      </c>
      <c r="F20" s="76">
        <f>SUMIFS(приходи!$L:$L,приходи!$E:$E,'ПП Юни'!$C$20,приходи!$M:$M,'ПП Юни'!F2)</f>
        <v>0</v>
      </c>
      <c r="G20" s="74">
        <f>SUMIFS(приходи!$L:$L,приходи!$E:$E,'ПП Юни'!$C$20,приходи!$M:$M,'ПП Юни'!G2)</f>
        <v>0</v>
      </c>
      <c r="H20" s="74">
        <f>SUMIFS(приходи!$L:$L,приходи!$E:$E,'ПП Юни'!$C$20,приходи!$M:$M,'ПП Юни'!H2)</f>
        <v>0</v>
      </c>
      <c r="I20" s="74">
        <f>SUMIFS(приходи!$L:$L,приходи!$E:$E,'ПП Юни'!$C$20,приходи!$M:$M,'ПП Юни'!I2)</f>
        <v>0</v>
      </c>
      <c r="J20" s="74">
        <f>SUMIFS(приходи!$L:$L,приходи!$E:$E,'ПП Юни'!$C$20,приходи!$M:$M,'ПП Юни'!J2)</f>
        <v>0</v>
      </c>
      <c r="K20" s="74">
        <f>SUMIFS(приходи!$L:$L,приходи!$E:$E,'ПП Юни'!$C$20,приходи!$M:$M,'ПП Юни'!K2)</f>
        <v>0</v>
      </c>
      <c r="L20" s="76">
        <f>SUMIFS(приходи!$L:$L,приходи!$E:$E,'ПП Юни'!$C$20,приходи!$M:$M,'ПП Юни'!L2)</f>
        <v>0</v>
      </c>
      <c r="M20" s="76">
        <f>SUMIFS(приходи!$L:$L,приходи!$E:$E,'ПП Юни'!$C$20,приходи!$M:$M,'ПП Юни'!M2)</f>
        <v>0</v>
      </c>
      <c r="N20" s="74">
        <f>SUMIFS(приходи!$L:$L,приходи!$E:$E,'ПП Юни'!$C$20,приходи!$M:$M,'ПП Юни'!N2)</f>
        <v>0</v>
      </c>
      <c r="O20" s="74">
        <f>SUMIFS(приходи!$L:$L,приходи!$E:$E,'ПП Юни'!$C$20,приходи!$M:$M,'ПП Юни'!O2)</f>
        <v>0</v>
      </c>
      <c r="P20" s="74">
        <f>SUMIFS(приходи!$L:$L,приходи!$E:$E,'ПП Юни'!$C$20,приходи!$M:$M,'ПП Юни'!P2)</f>
        <v>0</v>
      </c>
      <c r="Q20" s="74">
        <f>SUMIFS(приходи!$L:$L,приходи!$E:$E,'ПП Юни'!$C$20,приходи!$M:$M,'ПП Юни'!Q2)</f>
        <v>0</v>
      </c>
      <c r="R20" s="74">
        <f>SUMIFS(приходи!$L:$L,приходи!$E:$E,'ПП Юни'!$C$20,приходи!$M:$M,'ПП Юни'!R2)</f>
        <v>0</v>
      </c>
      <c r="S20" s="76">
        <f>SUMIFS(приходи!$L:$L,приходи!$E:$E,'ПП Юни'!$C$20,приходи!$M:$M,'ПП Юни'!S2)</f>
        <v>0</v>
      </c>
      <c r="T20" s="76">
        <f>SUMIFS(приходи!$L:$L,приходи!$E:$E,'ПП Юни'!$C$20,приходи!$M:$M,'ПП Юни'!T2)</f>
        <v>0</v>
      </c>
      <c r="U20" s="74">
        <f>SUMIFS(приходи!$L:$L,приходи!$E:$E,'ПП Юни'!$C$20,приходи!$M:$M,'ПП Юни'!U2)</f>
        <v>0</v>
      </c>
      <c r="V20" s="74">
        <f>SUMIFS(приходи!$L:$L,приходи!$E:$E,'ПП Юни'!$C$20,приходи!$M:$M,'ПП Юни'!V2)</f>
        <v>0</v>
      </c>
      <c r="W20" s="74">
        <f>SUMIFS(приходи!$L:$L,приходи!$E:$E,'ПП Юни'!$C$20,приходи!$M:$M,'ПП Юни'!W2)</f>
        <v>0</v>
      </c>
      <c r="X20" s="74">
        <f>SUMIFS(приходи!$L:$L,приходи!$E:$E,'ПП Юни'!$C$20,приходи!$M:$M,'ПП Юни'!X2)</f>
        <v>0</v>
      </c>
      <c r="Y20" s="74">
        <f>SUMIFS(приходи!$L:$L,приходи!$E:$E,'ПП Юни'!$C$20,приходи!$M:$M,'ПП Юни'!Y2)</f>
        <v>0</v>
      </c>
      <c r="Z20" s="76">
        <f>SUMIFS(приходи!$L:$L,приходи!$E:$E,'ПП Юни'!$C$20,приходи!$M:$M,'ПП Юни'!Z2)</f>
        <v>0</v>
      </c>
      <c r="AA20" s="76">
        <f>SUMIFS(приходи!$L:$L,приходи!$E:$E,'ПП Юни'!$C$20,приходи!$M:$M,'ПП Юни'!AA2)</f>
        <v>0</v>
      </c>
      <c r="AB20" s="74">
        <f>SUMIFS(приходи!$L:$L,приходи!$E:$E,'ПП Юни'!$C$20,приходи!$M:$M,'ПП Юни'!AB2)</f>
        <v>0</v>
      </c>
      <c r="AC20" s="74">
        <f>SUMIFS(приходи!$L:$L,приходи!$E:$E,'ПП Юни'!$C$20,приходи!$M:$M,'ПП Юни'!AC2)</f>
        <v>0</v>
      </c>
      <c r="AD20" s="74">
        <f>SUMIFS(приходи!$L:$L,приходи!$E:$E,'ПП Юни'!$C$20,приходи!$M:$M,'ПП Юни'!AD2)</f>
        <v>0</v>
      </c>
      <c r="AE20" s="74">
        <f>SUMIFS(приходи!$L:$L,приходи!$E:$E,'ПП Юни'!$C$20,приходи!$M:$M,'ПП Юни'!AE2)</f>
        <v>0</v>
      </c>
      <c r="AF20" s="74">
        <f>SUMIFS(приходи!$L:$L,приходи!$E:$E,'ПП Юни'!$C$20,приходи!$M:$M,'ПП Юни'!AF2)</f>
        <v>0</v>
      </c>
      <c r="AG20" s="76">
        <f>SUMIFS(приходи!$L:$L,приходи!$E:$E,'ПП Юни'!$C$20,приходи!$M:$M,'ПП Юни'!AG2)</f>
        <v>0</v>
      </c>
      <c r="AH20" s="76">
        <f>SUMIFS(приходи!$L:$L,приходи!$E:$E,'ПП Юни'!$C$20,приходи!$M:$M,'ПП Юни'!AH2)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855</v>
      </c>
      <c r="D21" s="80"/>
      <c r="E21" s="76">
        <f>SUMIFS(приходи!$L:$L,приходи!$E:$E,'ПП Юни'!$C$21,приходи!$M:$M,'ПП Юни'!E2)</f>
        <v>0</v>
      </c>
      <c r="F21" s="76">
        <f>SUMIFS(приходи!$L:$L,приходи!$E:$E,'ПП Юни'!$C$21,приходи!$M:$M,'ПП Юни'!F2)</f>
        <v>0</v>
      </c>
      <c r="G21" s="74">
        <f>SUMIFS(приходи!$L:$L,приходи!$E:$E,'ПП Юни'!$C$21,приходи!$M:$M,'ПП Юни'!G2)</f>
        <v>0</v>
      </c>
      <c r="H21" s="74">
        <f>SUMIFS(приходи!$L:$L,приходи!$E:$E,'ПП Юни'!$C$21,приходи!$M:$M,'ПП Юни'!H2)</f>
        <v>0</v>
      </c>
      <c r="I21" s="74">
        <f>SUMIFS(приходи!$L:$L,приходи!$E:$E,'ПП Юни'!$C$21,приходи!$M:$M,'ПП Юни'!I2)</f>
        <v>0</v>
      </c>
      <c r="J21" s="74">
        <f>SUMIFS(приходи!$L:$L,приходи!$E:$E,'ПП Юни'!$C$21,приходи!$M:$M,'ПП Юни'!J2)</f>
        <v>0</v>
      </c>
      <c r="K21" s="74">
        <f>SUMIFS(приходи!$L:$L,приходи!$E:$E,'ПП Юни'!$C$21,приходи!$M:$M,'ПП Юни'!K2)</f>
        <v>0</v>
      </c>
      <c r="L21" s="76">
        <f>SUMIFS(приходи!$L:$L,приходи!$E:$E,'ПП Юни'!$C$21,приходи!$M:$M,'ПП Юни'!L2)</f>
        <v>0</v>
      </c>
      <c r="M21" s="76">
        <f>SUMIFS(приходи!$L:$L,приходи!$E:$E,'ПП Юни'!$C$21,приходи!$M:$M,'ПП Юни'!M2)</f>
        <v>0</v>
      </c>
      <c r="N21" s="74">
        <f>SUMIFS(приходи!$L:$L,приходи!$E:$E,'ПП Юни'!$C$21,приходи!$M:$M,'ПП Юни'!N2)</f>
        <v>0</v>
      </c>
      <c r="O21" s="74">
        <f>SUMIFS(приходи!$L:$L,приходи!$E:$E,'ПП Юни'!$C$21,приходи!$M:$M,'ПП Юни'!O2)</f>
        <v>0</v>
      </c>
      <c r="P21" s="74">
        <f>SUMIFS(приходи!$L:$L,приходи!$E:$E,'ПП Юни'!$C$21,приходи!$M:$M,'ПП Юни'!P2)</f>
        <v>0</v>
      </c>
      <c r="Q21" s="74">
        <f>SUMIFS(приходи!$L:$L,приходи!$E:$E,'ПП Юни'!$C$21,приходи!$M:$M,'ПП Юни'!Q2)</f>
        <v>0</v>
      </c>
      <c r="R21" s="74">
        <f>SUMIFS(приходи!$L:$L,приходи!$E:$E,'ПП Юни'!$C$21,приходи!$M:$M,'ПП Юни'!R2)</f>
        <v>0</v>
      </c>
      <c r="S21" s="76">
        <f>SUMIFS(приходи!$L:$L,приходи!$E:$E,'ПП Юни'!$C$21,приходи!$M:$M,'ПП Юни'!S2)</f>
        <v>0</v>
      </c>
      <c r="T21" s="76">
        <f>SUMIFS(приходи!$L:$L,приходи!$E:$E,'ПП Юни'!$C$21,приходи!$M:$M,'ПП Юни'!T2)</f>
        <v>0</v>
      </c>
      <c r="U21" s="74">
        <f>SUMIFS(приходи!$L:$L,приходи!$E:$E,'ПП Юни'!$C$21,приходи!$M:$M,'ПП Юни'!U2)</f>
        <v>0</v>
      </c>
      <c r="V21" s="74">
        <f>SUMIFS(приходи!$L:$L,приходи!$E:$E,'ПП Юни'!$C$21,приходи!$M:$M,'ПП Юни'!V2)</f>
        <v>0</v>
      </c>
      <c r="W21" s="74">
        <f>SUMIFS(приходи!$L:$L,приходи!$E:$E,'ПП Юни'!$C$21,приходи!$M:$M,'ПП Юни'!W2)</f>
        <v>0</v>
      </c>
      <c r="X21" s="74">
        <f>SUMIFS(приходи!$L:$L,приходи!$E:$E,'ПП Юни'!$C$21,приходи!$M:$M,'ПП Юни'!X2)</f>
        <v>0</v>
      </c>
      <c r="Y21" s="74">
        <f>SUMIFS(приходи!$L:$L,приходи!$E:$E,'ПП Юни'!$C$21,приходи!$M:$M,'ПП Юни'!Y2)</f>
        <v>0</v>
      </c>
      <c r="Z21" s="76">
        <f>SUMIFS(приходи!$L:$L,приходи!$E:$E,'ПП Юни'!$C$21,приходи!$M:$M,'ПП Юни'!Z2)</f>
        <v>0</v>
      </c>
      <c r="AA21" s="76">
        <f>SUMIFS(приходи!$L:$L,приходи!$E:$E,'ПП Юни'!$C$21,приходи!$M:$M,'ПП Юни'!AA2)</f>
        <v>0</v>
      </c>
      <c r="AB21" s="74">
        <f>SUMIFS(приходи!$L:$L,приходи!$E:$E,'ПП Юни'!$C$21,приходи!$M:$M,'ПП Юни'!AB2)</f>
        <v>0</v>
      </c>
      <c r="AC21" s="74">
        <f>SUMIFS(приходи!$L:$L,приходи!$E:$E,'ПП Юни'!$C$21,приходи!$M:$M,'ПП Юни'!AC2)</f>
        <v>0</v>
      </c>
      <c r="AD21" s="74">
        <f>SUMIFS(приходи!$L:$L,приходи!$E:$E,'ПП Юни'!$C$21,приходи!$M:$M,'ПП Юни'!AD2)</f>
        <v>0</v>
      </c>
      <c r="AE21" s="74">
        <f>SUMIFS(приходи!$L:$L,приходи!$E:$E,'ПП Юни'!$C$21,приходи!$M:$M,'ПП Юни'!AE2)</f>
        <v>0</v>
      </c>
      <c r="AF21" s="74">
        <f>SUMIFS(приходи!$L:$L,приходи!$E:$E,'ПП Юни'!$C$21,приходи!$M:$M,'ПП Юни'!AF2)</f>
        <v>0</v>
      </c>
      <c r="AG21" s="76">
        <f>SUMIFS(приходи!$L:$L,приходи!$E:$E,'ПП Юни'!$C$21,приходи!$M:$M,'ПП Юни'!AG2)</f>
        <v>0</v>
      </c>
      <c r="AH21" s="76">
        <f>SUMIFS(приходи!$L:$L,приходи!$E:$E,'ПП Юни'!$C$21,приходи!$M:$M,'ПП Юни'!AH2)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Юни'!$C$22,приходи!$M:$M,'ПП Юни'!E2)</f>
        <v>0</v>
      </c>
      <c r="F22" s="76">
        <f>SUMIFS(приходи!$L:$L,приходи!$E:$E,'ПП Юни'!$C$22,приходи!$M:$M,'ПП Юни'!F2)</f>
        <v>0</v>
      </c>
      <c r="G22" s="74">
        <f>SUMIFS(приходи!$L:$L,приходи!$E:$E,'ПП Юни'!$C$22,приходи!$M:$M,'ПП Юни'!G2)</f>
        <v>0</v>
      </c>
      <c r="H22" s="74">
        <f>SUMIFS(приходи!$L:$L,приходи!$E:$E,'ПП Юни'!$C$22,приходи!$M:$M,'ПП Юни'!H2)</f>
        <v>0</v>
      </c>
      <c r="I22" s="74">
        <f>SUMIFS(приходи!$L:$L,приходи!$E:$E,'ПП Юни'!$C$22,приходи!$M:$M,'ПП Юни'!I2)</f>
        <v>0</v>
      </c>
      <c r="J22" s="74">
        <f>SUMIFS(приходи!$L:$L,приходи!$E:$E,'ПП Юни'!$C$22,приходи!$M:$M,'ПП Юни'!J2)</f>
        <v>0</v>
      </c>
      <c r="K22" s="74">
        <f>SUMIFS(приходи!$L:$L,приходи!$E:$E,'ПП Юни'!$C$22,приходи!$M:$M,'ПП Юни'!K2)</f>
        <v>0</v>
      </c>
      <c r="L22" s="76">
        <f>SUMIFS(приходи!$L:$L,приходи!$E:$E,'ПП Юни'!$C$22,приходи!$M:$M,'ПП Юни'!L2)</f>
        <v>0</v>
      </c>
      <c r="M22" s="76">
        <f>SUMIFS(приходи!$L:$L,приходи!$E:$E,'ПП Юни'!$C$22,приходи!$M:$M,'ПП Юни'!M2)</f>
        <v>0</v>
      </c>
      <c r="N22" s="74">
        <f>SUMIFS(приходи!$L:$L,приходи!$E:$E,'ПП Юни'!$C$22,приходи!$M:$M,'ПП Юни'!N2)</f>
        <v>0</v>
      </c>
      <c r="O22" s="74">
        <f>SUMIFS(приходи!$L:$L,приходи!$E:$E,'ПП Юни'!$C$22,приходи!$M:$M,'ПП Юни'!O2)</f>
        <v>0</v>
      </c>
      <c r="P22" s="74">
        <f>SUMIFS(приходи!$L:$L,приходи!$E:$E,'ПП Юни'!$C$22,приходи!$M:$M,'ПП Юни'!P2)</f>
        <v>0</v>
      </c>
      <c r="Q22" s="74">
        <f>SUMIFS(приходи!$L:$L,приходи!$E:$E,'ПП Юни'!$C$22,приходи!$M:$M,'ПП Юни'!Q2)</f>
        <v>0</v>
      </c>
      <c r="R22" s="74">
        <f>SUMIFS(приходи!$L:$L,приходи!$E:$E,'ПП Юни'!$C$22,приходи!$M:$M,'ПП Юни'!R2)</f>
        <v>0</v>
      </c>
      <c r="S22" s="76">
        <f>SUMIFS(приходи!$L:$L,приходи!$E:$E,'ПП Юни'!$C$22,приходи!$M:$M,'ПП Юни'!S2)</f>
        <v>0</v>
      </c>
      <c r="T22" s="76">
        <f>SUMIFS(приходи!$L:$L,приходи!$E:$E,'ПП Юни'!$C$22,приходи!$M:$M,'ПП Юни'!T2)</f>
        <v>0</v>
      </c>
      <c r="U22" s="74">
        <f>SUMIFS(приходи!$L:$L,приходи!$E:$E,'ПП Юни'!$C$22,приходи!$M:$M,'ПП Юни'!U2)</f>
        <v>0</v>
      </c>
      <c r="V22" s="74">
        <f>SUMIFS(приходи!$L:$L,приходи!$E:$E,'ПП Юни'!$C$22,приходи!$M:$M,'ПП Юни'!V2)</f>
        <v>0</v>
      </c>
      <c r="W22" s="74">
        <f>SUMIFS(приходи!$L:$L,приходи!$E:$E,'ПП Юни'!$C$22,приходи!$M:$M,'ПП Юни'!W2)</f>
        <v>0</v>
      </c>
      <c r="X22" s="74">
        <f>SUMIFS(приходи!$L:$L,приходи!$E:$E,'ПП Юни'!$C$22,приходи!$M:$M,'ПП Юни'!X2)</f>
        <v>0</v>
      </c>
      <c r="Y22" s="74">
        <f>SUMIFS(приходи!$L:$L,приходи!$E:$E,'ПП Юни'!$C$22,приходи!$M:$M,'ПП Юни'!Y2)</f>
        <v>0</v>
      </c>
      <c r="Z22" s="76">
        <f>SUMIFS(приходи!$L:$L,приходи!$E:$E,'ПП Юни'!$C$22,приходи!$M:$M,'ПП Юни'!Z2)</f>
        <v>0</v>
      </c>
      <c r="AA22" s="76">
        <f>SUMIFS(приходи!$L:$L,приходи!$E:$E,'ПП Юни'!$C$22,приходи!$M:$M,'ПП Юни'!AA2)</f>
        <v>0</v>
      </c>
      <c r="AB22" s="74">
        <f>SUMIFS(приходи!$L:$L,приходи!$E:$E,'ПП Юни'!$C$22,приходи!$M:$M,'ПП Юни'!AB2)</f>
        <v>0</v>
      </c>
      <c r="AC22" s="74">
        <f>SUMIFS(приходи!$L:$L,приходи!$E:$E,'ПП Юни'!$C$22,приходи!$M:$M,'ПП Юни'!AC2)</f>
        <v>0</v>
      </c>
      <c r="AD22" s="74">
        <f>SUMIFS(приходи!$L:$L,приходи!$E:$E,'ПП Юни'!$C$22,приходи!$M:$M,'ПП Юни'!AD2)</f>
        <v>0</v>
      </c>
      <c r="AE22" s="74">
        <f>SUMIFS(приходи!$L:$L,приходи!$E:$E,'ПП Юни'!$C$22,приходи!$M:$M,'ПП Юни'!AE2)</f>
        <v>0</v>
      </c>
      <c r="AF22" s="74">
        <f>SUMIFS(приходи!$L:$L,приходи!$E:$E,'ПП Юни'!$C$22,приходи!$M:$M,'ПП Юни'!AF2)</f>
        <v>0</v>
      </c>
      <c r="AG22" s="76">
        <f>SUMIFS(приходи!$L:$L,приходи!$E:$E,'ПП Юни'!$C$22,приходи!$M:$M,'ПП Юни'!AG2)</f>
        <v>0</v>
      </c>
      <c r="AH22" s="76">
        <f>SUMIFS(приходи!$L:$L,приходи!$E:$E,'ПП Юни'!$C$22,приходи!$M:$M,'ПП Юни'!AH2)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856</v>
      </c>
      <c r="C23" s="3" t="s">
        <v>857</v>
      </c>
      <c r="D23" s="54">
        <f>SUM(D24,D29,D37,D41,D42)</f>
        <v>16916561.065661598</v>
      </c>
      <c r="E23" s="54">
        <f t="shared" ref="E23:AH23" si="11">SUM(E24,E29,E36,E41,E42)</f>
        <v>0</v>
      </c>
      <c r="F23" s="54">
        <f t="shared" si="11"/>
        <v>0</v>
      </c>
      <c r="G23" s="54">
        <f t="shared" si="11"/>
        <v>26360.399999999998</v>
      </c>
      <c r="H23" s="54">
        <f t="shared" si="11"/>
        <v>18122.129999999997</v>
      </c>
      <c r="I23" s="54">
        <f t="shared" si="11"/>
        <v>4688.4831909999994</v>
      </c>
      <c r="J23" s="54">
        <f t="shared" si="11"/>
        <v>227647.235166</v>
      </c>
      <c r="K23" s="54">
        <f t="shared" si="11"/>
        <v>282976.70020799997</v>
      </c>
      <c r="L23" s="54">
        <f t="shared" si="11"/>
        <v>0</v>
      </c>
      <c r="M23" s="54">
        <f t="shared" si="11"/>
        <v>0</v>
      </c>
      <c r="N23" s="54">
        <f t="shared" si="11"/>
        <v>393949.62975666003</v>
      </c>
      <c r="O23" s="54">
        <f t="shared" si="11"/>
        <v>356408.53199999995</v>
      </c>
      <c r="P23" s="54">
        <f t="shared" si="11"/>
        <v>750485.58750000002</v>
      </c>
      <c r="Q23" s="54">
        <f t="shared" si="11"/>
        <v>111077.67678228</v>
      </c>
      <c r="R23" s="54">
        <f t="shared" si="11"/>
        <v>37173.33</v>
      </c>
      <c r="S23" s="54">
        <f t="shared" si="11"/>
        <v>0</v>
      </c>
      <c r="T23" s="54">
        <f t="shared" si="11"/>
        <v>0</v>
      </c>
      <c r="U23" s="54">
        <f t="shared" si="11"/>
        <v>47763.360000000001</v>
      </c>
      <c r="V23" s="54">
        <f t="shared" si="11"/>
        <v>44049.261267000002</v>
      </c>
      <c r="W23" s="54">
        <f t="shared" si="11"/>
        <v>0</v>
      </c>
      <c r="X23" s="54">
        <f t="shared" si="11"/>
        <v>79429.215563249993</v>
      </c>
      <c r="Y23" s="54">
        <f t="shared" si="11"/>
        <v>1098931.392</v>
      </c>
      <c r="Z23" s="54">
        <f t="shared" si="11"/>
        <v>0</v>
      </c>
      <c r="AA23" s="54">
        <f t="shared" si="11"/>
        <v>0</v>
      </c>
      <c r="AB23" s="54">
        <f t="shared" si="11"/>
        <v>2178688.372</v>
      </c>
      <c r="AC23" s="54">
        <f t="shared" si="11"/>
        <v>554997.89899999998</v>
      </c>
      <c r="AD23" s="54">
        <f t="shared" si="11"/>
        <v>53706.81</v>
      </c>
      <c r="AE23" s="54">
        <f t="shared" si="11"/>
        <v>97101.719496599995</v>
      </c>
      <c r="AF23" s="54">
        <f t="shared" si="11"/>
        <v>18741</v>
      </c>
      <c r="AG23" s="54">
        <f t="shared" si="11"/>
        <v>0</v>
      </c>
      <c r="AH23" s="54">
        <f t="shared" si="11"/>
        <v>0</v>
      </c>
      <c r="AI23" s="54">
        <f t="shared" si="2"/>
        <v>6382298.7339307899</v>
      </c>
      <c r="AJ23" s="54">
        <f t="shared" si="3"/>
        <v>10534262.331730809</v>
      </c>
    </row>
    <row r="24" spans="1:36" s="4" customFormat="1" ht="20.100000000000001" customHeight="1" x14ac:dyDescent="0.3">
      <c r="B24" s="7">
        <v>1</v>
      </c>
      <c r="C24" s="8" t="s">
        <v>858</v>
      </c>
      <c r="D24" s="77">
        <f t="shared" ref="D24:AH24" si="12">SUM(D25:D28)</f>
        <v>16176527.202230001</v>
      </c>
      <c r="E24" s="77">
        <f t="shared" si="12"/>
        <v>0</v>
      </c>
      <c r="F24" s="77">
        <f t="shared" si="12"/>
        <v>0</v>
      </c>
      <c r="G24" s="73">
        <f t="shared" si="12"/>
        <v>26360.399999999998</v>
      </c>
      <c r="H24" s="73">
        <f t="shared" si="12"/>
        <v>18122.129999999997</v>
      </c>
      <c r="I24" s="73">
        <f t="shared" si="12"/>
        <v>3069</v>
      </c>
      <c r="J24" s="73">
        <f t="shared" si="12"/>
        <v>215577.56316600001</v>
      </c>
      <c r="K24" s="73">
        <f t="shared" si="12"/>
        <v>0</v>
      </c>
      <c r="L24" s="77">
        <f t="shared" si="12"/>
        <v>0</v>
      </c>
      <c r="M24" s="77">
        <f t="shared" si="12"/>
        <v>0</v>
      </c>
      <c r="N24" s="73">
        <f t="shared" si="12"/>
        <v>393949.62975666003</v>
      </c>
      <c r="O24" s="73">
        <f t="shared" si="12"/>
        <v>0</v>
      </c>
      <c r="P24" s="73">
        <f t="shared" si="12"/>
        <v>750485.58750000002</v>
      </c>
      <c r="Q24" s="73">
        <f t="shared" si="12"/>
        <v>111077.67678228</v>
      </c>
      <c r="R24" s="73">
        <f t="shared" si="12"/>
        <v>37173.33</v>
      </c>
      <c r="S24" s="77">
        <f t="shared" si="12"/>
        <v>0</v>
      </c>
      <c r="T24" s="77">
        <f t="shared" si="12"/>
        <v>0</v>
      </c>
      <c r="U24" s="73">
        <f t="shared" si="12"/>
        <v>47460</v>
      </c>
      <c r="V24" s="73">
        <f t="shared" si="12"/>
        <v>43650</v>
      </c>
      <c r="W24" s="73">
        <f t="shared" si="12"/>
        <v>0</v>
      </c>
      <c r="X24" s="73">
        <f t="shared" si="12"/>
        <v>79056.465563249993</v>
      </c>
      <c r="Y24" s="73">
        <f t="shared" si="12"/>
        <v>1084477.632</v>
      </c>
      <c r="Z24" s="77">
        <f t="shared" si="12"/>
        <v>0</v>
      </c>
      <c r="AA24" s="77">
        <f t="shared" si="12"/>
        <v>0</v>
      </c>
      <c r="AB24" s="73">
        <f t="shared" si="12"/>
        <v>2178688.372</v>
      </c>
      <c r="AC24" s="73">
        <f t="shared" si="12"/>
        <v>554997.89899999998</v>
      </c>
      <c r="AD24" s="73">
        <f t="shared" si="12"/>
        <v>53706.81</v>
      </c>
      <c r="AE24" s="73">
        <f t="shared" si="12"/>
        <v>96541.451496599999</v>
      </c>
      <c r="AF24" s="73">
        <f t="shared" si="12"/>
        <v>18720</v>
      </c>
      <c r="AG24" s="77">
        <f t="shared" si="12"/>
        <v>0</v>
      </c>
      <c r="AH24" s="77">
        <f t="shared" si="12"/>
        <v>0</v>
      </c>
      <c r="AI24" s="61">
        <f t="shared" si="2"/>
        <v>5713113.9472647905</v>
      </c>
      <c r="AJ24" s="58">
        <f t="shared" si="3"/>
        <v>10463413.25496521</v>
      </c>
    </row>
    <row r="25" spans="1:36" s="36" customFormat="1" ht="20.100000000000001" customHeight="1" outlineLevel="1" x14ac:dyDescent="0.3">
      <c r="A25" s="33"/>
      <c r="B25" s="34"/>
      <c r="C25" s="35" t="s">
        <v>859</v>
      </c>
      <c r="D25" s="79">
        <v>11262384.6984</v>
      </c>
      <c r="E25" s="78"/>
      <c r="F25" s="78"/>
      <c r="G25" s="75"/>
      <c r="H25" s="75"/>
      <c r="I25" s="75"/>
      <c r="J25" s="75"/>
      <c r="K25" s="75"/>
      <c r="L25" s="78"/>
      <c r="M25" s="78"/>
      <c r="N25" s="75"/>
      <c r="O25" s="75"/>
      <c r="P25" s="75"/>
      <c r="Q25" s="75"/>
      <c r="R25" s="75"/>
      <c r="S25" s="78"/>
      <c r="T25" s="78"/>
      <c r="U25" s="75"/>
      <c r="V25" s="75"/>
      <c r="W25" s="75"/>
      <c r="X25" s="75"/>
      <c r="Y25" s="75"/>
      <c r="Z25" s="78"/>
      <c r="AA25" s="78"/>
      <c r="AB25" s="75"/>
      <c r="AC25" s="75"/>
      <c r="AD25" s="75"/>
      <c r="AE25" s="75"/>
      <c r="AF25" s="75"/>
      <c r="AG25" s="78"/>
      <c r="AH25" s="78"/>
      <c r="AI25" s="66">
        <f t="shared" si="2"/>
        <v>0</v>
      </c>
      <c r="AJ25" s="67">
        <f t="shared" si="3"/>
        <v>11262384.6984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>
        <v>3940817.70383</v>
      </c>
      <c r="E26" s="76">
        <f>SUMIFS(разходи!$L:$L,разходи!$E:$E,'ПП Юни'!$C$26,разходи!$M:$M,'ПП Юни'!E2)</f>
        <v>0</v>
      </c>
      <c r="F26" s="76">
        <f>SUMIFS(разходи!$L:$L,разходи!$E:$E,'ПП Юни'!$C$26,разходи!$M:$M,'ПП Юни'!F2)</f>
        <v>0</v>
      </c>
      <c r="G26" s="74">
        <f>SUMIFS(разходи!$L:$L,разходи!$E:$E,'ПП Юни'!$C$26,разходи!$M:$M,'ПП Юни'!G2)</f>
        <v>0</v>
      </c>
      <c r="H26" s="74">
        <f>SUMIFS(разходи!$L:$L,разходи!$E:$E,'ПП Юни'!$C$26,разходи!$M:$M,'ПП Юни'!H2)</f>
        <v>18122.129999999997</v>
      </c>
      <c r="I26" s="74">
        <f>SUMIFS(разходи!$L:$L,разходи!$E:$E,'ПП Юни'!$C$26,разходи!$M:$M,'ПП Юни'!I2)</f>
        <v>0</v>
      </c>
      <c r="J26" s="74">
        <f>SUMIFS(разходи!$L:$L,разходи!$E:$E,'ПП Юни'!$C$26,разходи!$M:$M,'ПП Юни'!J2)</f>
        <v>0</v>
      </c>
      <c r="K26" s="74">
        <f>SUMIFS(разходи!$L:$L,разходи!$E:$E,'ПП Юни'!$C$26,разходи!$M:$M,'ПП Юни'!K2)</f>
        <v>0</v>
      </c>
      <c r="L26" s="76">
        <f>SUMIFS(разходи!$L:$L,разходи!$E:$E,'ПП Юни'!$C$26,разходи!$M:$M,'ПП Юни'!L2)</f>
        <v>0</v>
      </c>
      <c r="M26" s="76">
        <f>SUMIFS(разходи!$L:$L,разходи!$E:$E,'ПП Юни'!$C$26,разходи!$M:$M,'ПП Юни'!M2)</f>
        <v>0</v>
      </c>
      <c r="N26" s="74">
        <f>SUMIFS(разходи!$L:$L,разходи!$E:$E,'ПП Юни'!$C$26,разходи!$M:$M,'ПП Юни'!N2)</f>
        <v>0</v>
      </c>
      <c r="O26" s="74">
        <f>SUMIFS(разходи!$L:$L,разходи!$E:$E,'ПП Юни'!$C$26,разходи!$M:$M,'ПП Юни'!O2)</f>
        <v>0</v>
      </c>
      <c r="P26" s="74">
        <f>SUMIFS(разходи!$L:$L,разходи!$E:$E,'ПП Юни'!$C$26,разходи!$M:$M,'ПП Юни'!P2)</f>
        <v>750485.58750000002</v>
      </c>
      <c r="Q26" s="74">
        <f>SUMIFS(разходи!$L:$L,разходи!$E:$E,'ПП Юни'!$C$26,разходи!$M:$M,'ПП Юни'!Q2)</f>
        <v>0</v>
      </c>
      <c r="R26" s="74">
        <f>SUMIFS(разходи!$L:$L,разходи!$E:$E,'ПП Юни'!$C$26,разходи!$M:$M,'ПП Юни'!R2)</f>
        <v>18122.129999999997</v>
      </c>
      <c r="S26" s="76">
        <f>SUMIFS(разходи!$L:$L,разходи!$E:$E,'ПП Юни'!$C$26,разходи!$M:$M,'ПП Юни'!S2)</f>
        <v>0</v>
      </c>
      <c r="T26" s="76">
        <f>SUMIFS(разходи!$L:$L,разходи!$E:$E,'ПП Юни'!$C$26,разходи!$M:$M,'ПП Юни'!T2)</f>
        <v>0</v>
      </c>
      <c r="U26" s="74">
        <f>SUMIFS(разходи!$L:$L,разходи!$E:$E,'ПП Юни'!$C$26,разходи!$M:$M,'ПП Юни'!U2)</f>
        <v>0</v>
      </c>
      <c r="V26" s="74">
        <f>SUMIFS(разходи!$L:$L,разходи!$E:$E,'ПП Юни'!$C$26,разходи!$M:$M,'ПП Юни'!V2)</f>
        <v>0</v>
      </c>
      <c r="W26" s="74">
        <f>SUMIFS(разходи!$L:$L,разходи!$E:$E,'ПП Юни'!$C$26,разходи!$M:$M,'ПП Юни'!W2)</f>
        <v>0</v>
      </c>
      <c r="X26" s="74">
        <f>SUMIFS(разходи!$L:$L,разходи!$E:$E,'ПП Юни'!$C$26,разходи!$M:$M,'ПП Юни'!X2)</f>
        <v>0</v>
      </c>
      <c r="Y26" s="74">
        <f>SUMIFS(разходи!$L:$L,разходи!$E:$E,'ПП Юни'!$C$26,разходи!$M:$M,'ПП Юни'!Y2)</f>
        <v>1084477.632</v>
      </c>
      <c r="Z26" s="76">
        <f>SUMIFS(разходи!$L:$L,разходи!$E:$E,'ПП Юни'!$C$26,разходи!$M:$M,'ПП Юни'!Z2)</f>
        <v>0</v>
      </c>
      <c r="AA26" s="76">
        <f>SUMIFS(разходи!$L:$L,разходи!$E:$E,'ПП Юни'!$C$26,разходи!$M:$M,'ПП Юни'!AA2)</f>
        <v>0</v>
      </c>
      <c r="AB26" s="74">
        <f>SUMIFS(разходи!$L:$L,разходи!$E:$E,'ПП Юни'!$C$26,разходи!$M:$M,'ПП Юни'!AB2)</f>
        <v>2105847.4</v>
      </c>
      <c r="AC26" s="74">
        <f>SUMIFS(разходи!$L:$L,разходи!$E:$E,'ПП Юни'!$C$26,разходи!$M:$M,'ПП Юни'!AC2)</f>
        <v>529433.46899999992</v>
      </c>
      <c r="AD26" s="74">
        <f>SUMIFS(разходи!$L:$L,разходи!$E:$E,'ПП Юни'!$C$26,разходи!$M:$M,'ПП Юни'!AD2)</f>
        <v>0</v>
      </c>
      <c r="AE26" s="74">
        <f>SUMIFS(разходи!$L:$L,разходи!$E:$E,'ПП Юни'!$C$26,разходи!$M:$M,'ПП Юни'!AE2)</f>
        <v>0</v>
      </c>
      <c r="AF26" s="74">
        <f>SUMIFS(разходи!$L:$L,разходи!$E:$E,'ПП Юни'!$C$26,разходи!$M:$M,'ПП Юни'!AF2)</f>
        <v>0</v>
      </c>
      <c r="AG26" s="76">
        <f>SUMIFS(разходи!$L:$L,разходи!$E:$E,'ПП Юни'!$C$26,разходи!$M:$M,'ПП Юни'!AG2)</f>
        <v>0</v>
      </c>
      <c r="AH26" s="76">
        <f>SUMIFS(разходи!$L:$L,разходи!$E:$E,'ПП Юни'!$C$26,разходи!$M:$M,'ПП Юни'!AH2)</f>
        <v>0</v>
      </c>
      <c r="AI26" s="61">
        <f t="shared" si="2"/>
        <v>4506488.3484999994</v>
      </c>
      <c r="AJ26" s="69">
        <f t="shared" si="3"/>
        <v>-565670.64466999937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>
        <v>936000</v>
      </c>
      <c r="E27" s="76">
        <f>SUMIFS(разходи!$L:$L,разходи!$E:$E,'ПП Юни'!$C$27,разходи!$M:$M,'ПП Юни'!E2)</f>
        <v>0</v>
      </c>
      <c r="F27" s="76">
        <f>SUMIFS(разходи!$L:$L,разходи!$E:$E,'ПП Юни'!$C$27,разходи!$M:$M,'ПП Юни'!F2)</f>
        <v>0</v>
      </c>
      <c r="G27" s="74">
        <f>SUMIFS(разходи!$L:$L,разходи!$E:$E,'ПП Юни'!$C$27,разходи!$M:$M,'ПП Юни'!G2)</f>
        <v>26360.399999999998</v>
      </c>
      <c r="H27" s="74">
        <f>SUMIFS(разходи!$L:$L,разходи!$E:$E,'ПП Юни'!$C$27,разходи!$M:$M,'ПП Юни'!H2)</f>
        <v>0</v>
      </c>
      <c r="I27" s="74">
        <f>SUMIFS(разходи!$L:$L,разходи!$E:$E,'ПП Юни'!$C$27,разходи!$M:$M,'ПП Юни'!I2)</f>
        <v>3069</v>
      </c>
      <c r="J27" s="74">
        <f>SUMIFS(разходи!$L:$L,разходи!$E:$E,'ПП Юни'!$C$27,разходи!$M:$M,'ПП Юни'!J2)</f>
        <v>215577.56316600001</v>
      </c>
      <c r="K27" s="74">
        <f>SUMIFS(разходи!$L:$L,разходи!$E:$E,'ПП Юни'!$C$27,разходи!$M:$M,'ПП Юни'!K2)</f>
        <v>0</v>
      </c>
      <c r="L27" s="76">
        <f>SUMIFS(разходи!$L:$L,разходи!$E:$E,'ПП Юни'!$C$27,разходи!$M:$M,'ПП Юни'!L2)</f>
        <v>0</v>
      </c>
      <c r="M27" s="76">
        <f>SUMIFS(разходи!$L:$L,разходи!$E:$E,'ПП Юни'!$C$27,разходи!$M:$M,'ПП Юни'!M2)</f>
        <v>0</v>
      </c>
      <c r="N27" s="74">
        <f>SUMIFS(разходи!$L:$L,разходи!$E:$E,'ПП Юни'!$C$27,разходи!$M:$M,'ПП Юни'!N2)</f>
        <v>393949.62975666003</v>
      </c>
      <c r="O27" s="74">
        <f>SUMIFS(разходи!$L:$L,разходи!$E:$E,'ПП Юни'!$C$27,разходи!$M:$M,'ПП Юни'!O2)</f>
        <v>0</v>
      </c>
      <c r="P27" s="74">
        <f>SUMIFS(разходи!$L:$L,разходи!$E:$E,'ПП Юни'!$C$27,разходи!$M:$M,'ПП Юни'!P2)</f>
        <v>0</v>
      </c>
      <c r="Q27" s="74">
        <f>SUMIFS(разходи!$L:$L,разходи!$E:$E,'ПП Юни'!$C$27,разходи!$M:$M,'ПП Юни'!Q2)</f>
        <v>111077.67678228</v>
      </c>
      <c r="R27" s="74">
        <f>SUMIFS(разходи!$L:$L,разходи!$E:$E,'ПП Юни'!$C$27,разходи!$M:$M,'ПП Юни'!R2)</f>
        <v>19051.2</v>
      </c>
      <c r="S27" s="76">
        <f>SUMIFS(разходи!$L:$L,разходи!$E:$E,'ПП Юни'!$C$27,разходи!$M:$M,'ПП Юни'!S2)</f>
        <v>0</v>
      </c>
      <c r="T27" s="76">
        <f>SUMIFS(разходи!$L:$L,разходи!$E:$E,'ПП Юни'!$C$27,разходи!$M:$M,'ПП Юни'!T2)</f>
        <v>0</v>
      </c>
      <c r="U27" s="74">
        <f>SUMIFS(разходи!$L:$L,разходи!$E:$E,'ПП Юни'!$C$27,разходи!$M:$M,'ПП Юни'!U2)</f>
        <v>47460</v>
      </c>
      <c r="V27" s="74">
        <f>SUMIFS(разходи!$L:$L,разходи!$E:$E,'ПП Юни'!$C$27,разходи!$M:$M,'ПП Юни'!V2)</f>
        <v>43650</v>
      </c>
      <c r="W27" s="74">
        <f>SUMIFS(разходи!$L:$L,разходи!$E:$E,'ПП Юни'!$C$27,разходи!$M:$M,'ПП Юни'!W2)</f>
        <v>0</v>
      </c>
      <c r="X27" s="74">
        <f>SUMIFS(разходи!$L:$L,разходи!$E:$E,'ПП Юни'!$C$27,разходи!$M:$M,'ПП Юни'!X2)</f>
        <v>79056.465563249993</v>
      </c>
      <c r="Y27" s="74">
        <f>SUMIFS(разходи!$L:$L,разходи!$E:$E,'ПП Юни'!$C$27,разходи!$M:$M,'ПП Юни'!Y2)</f>
        <v>0</v>
      </c>
      <c r="Z27" s="76">
        <f>SUMIFS(разходи!$L:$L,разходи!$E:$E,'ПП Юни'!$C$27,разходи!$M:$M,'ПП Юни'!Z2)</f>
        <v>0</v>
      </c>
      <c r="AA27" s="76">
        <f>SUMIFS(разходи!$L:$L,разходи!$E:$E,'ПП Юни'!$C$27,разходи!$M:$M,'ПП Юни'!AA2)</f>
        <v>0</v>
      </c>
      <c r="AB27" s="74">
        <f>SUMIFS(разходи!$L:$L,разходи!$E:$E,'ПП Юни'!$C$27,разходи!$M:$M,'ПП Юни'!AB2)</f>
        <v>33990</v>
      </c>
      <c r="AC27" s="74">
        <f>SUMIFS(разходи!$L:$L,разходи!$E:$E,'ПП Юни'!$C$27,разходи!$M:$M,'ПП Юни'!AC2)</f>
        <v>25564.43</v>
      </c>
      <c r="AD27" s="74">
        <f>SUMIFS(разходи!$L:$L,разходи!$E:$E,'ПП Юни'!$C$27,разходи!$M:$M,'ПП Юни'!AD2)</f>
        <v>53706.81</v>
      </c>
      <c r="AE27" s="74">
        <f>SUMIFS(разходи!$L:$L,разходи!$E:$E,'ПП Юни'!$C$27,разходи!$M:$M,'ПП Юни'!AE2)</f>
        <v>96541.451496599999</v>
      </c>
      <c r="AF27" s="74">
        <f>SUMIFS(разходи!$L:$L,разходи!$E:$E,'ПП Юни'!$C$27,разходи!$M:$M,'ПП Юни'!AF2)</f>
        <v>18720</v>
      </c>
      <c r="AG27" s="76">
        <f>SUMIFS(разходи!$L:$L,разходи!$E:$E,'ПП Юни'!$C$27,разходи!$M:$M,'ПП Юни'!AG2)</f>
        <v>0</v>
      </c>
      <c r="AH27" s="76">
        <f>SUMIFS(разходи!$L:$L,разходи!$E:$E,'ПП Юни'!$C$27,разходи!$M:$M,'ПП Юни'!AH2)</f>
        <v>0</v>
      </c>
      <c r="AI27" s="61">
        <f t="shared" si="2"/>
        <v>1167774.6267647899</v>
      </c>
      <c r="AJ27" s="69">
        <f t="shared" si="3"/>
        <v>-231774.62676478992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>
        <v>37324.800000000003</v>
      </c>
      <c r="E28" s="76">
        <f>SUMIFS(разходи!$L:$L,разходи!$E:$E,'ПП Юни'!$C$28,разходи!$M:$M,'ПП Юни'!E2)</f>
        <v>0</v>
      </c>
      <c r="F28" s="76">
        <f>SUMIFS(разходи!$L:$L,разходи!$E:$E,'ПП Юни'!$C$28,разходи!$M:$M,'ПП Юни'!F2)</f>
        <v>0</v>
      </c>
      <c r="G28" s="74">
        <f>SUMIFS(разходи!$L:$L,разходи!$E:$E,'ПП Юни'!$C$28,разходи!$M:$M,'ПП Юни'!G2)</f>
        <v>0</v>
      </c>
      <c r="H28" s="74">
        <f>SUMIFS(разходи!$L:$L,разходи!$E:$E,'ПП Юни'!$C$28,разходи!$M:$M,'ПП Юни'!H2)</f>
        <v>0</v>
      </c>
      <c r="I28" s="74">
        <f>SUMIFS(разходи!$L:$L,разходи!$E:$E,'ПП Юни'!$C$28,разходи!$M:$M,'ПП Юни'!I2)</f>
        <v>0</v>
      </c>
      <c r="J28" s="74">
        <f>SUMIFS(разходи!$L:$L,разходи!$E:$E,'ПП Юни'!$C$28,разходи!$M:$M,'ПП Юни'!J2)</f>
        <v>0</v>
      </c>
      <c r="K28" s="74">
        <f>SUMIFS(разходи!$L:$L,разходи!$E:$E,'ПП Юни'!$C$28,разходи!$M:$M,'ПП Юни'!K2)</f>
        <v>0</v>
      </c>
      <c r="L28" s="76">
        <f>SUMIFS(разходи!$L:$L,разходи!$E:$E,'ПП Юни'!$C$28,разходи!$M:$M,'ПП Юни'!L2)</f>
        <v>0</v>
      </c>
      <c r="M28" s="76">
        <f>SUMIFS(разходи!$L:$L,разходи!$E:$E,'ПП Юни'!$C$28,разходи!$M:$M,'ПП Юни'!M2)</f>
        <v>0</v>
      </c>
      <c r="N28" s="74">
        <f>SUMIFS(разходи!$L:$L,разходи!$E:$E,'ПП Юни'!$C$28,разходи!$M:$M,'ПП Юни'!N2)</f>
        <v>0</v>
      </c>
      <c r="O28" s="74">
        <f>SUMIFS(разходи!$L:$L,разходи!$E:$E,'ПП Юни'!$C$28,разходи!$M:$M,'ПП Юни'!O2)</f>
        <v>0</v>
      </c>
      <c r="P28" s="74">
        <f>SUMIFS(разходи!$L:$L,разходи!$E:$E,'ПП Юни'!$C$28,разходи!$M:$M,'ПП Юни'!P2)</f>
        <v>0</v>
      </c>
      <c r="Q28" s="74">
        <f>SUMIFS(разходи!$L:$L,разходи!$E:$E,'ПП Юни'!$C$28,разходи!$M:$M,'ПП Юни'!Q2)</f>
        <v>0</v>
      </c>
      <c r="R28" s="74">
        <f>SUMIFS(разходи!$L:$L,разходи!$E:$E,'ПП Юни'!$C$28,разходи!$M:$M,'ПП Юни'!R2)</f>
        <v>0</v>
      </c>
      <c r="S28" s="76">
        <f>SUMIFS(разходи!$L:$L,разходи!$E:$E,'ПП Юни'!$C$28,разходи!$M:$M,'ПП Юни'!S2)</f>
        <v>0</v>
      </c>
      <c r="T28" s="76">
        <f>SUMIFS(разходи!$L:$L,разходи!$E:$E,'ПП Юни'!$C$28,разходи!$M:$M,'ПП Юни'!T2)</f>
        <v>0</v>
      </c>
      <c r="U28" s="74">
        <f>SUMIFS(разходи!$L:$L,разходи!$E:$E,'ПП Юни'!$C$28,разходи!$M:$M,'ПП Юни'!U2)</f>
        <v>0</v>
      </c>
      <c r="V28" s="74">
        <f>SUMIFS(разходи!$L:$L,разходи!$E:$E,'ПП Юни'!$C$28,разходи!$M:$M,'ПП Юни'!V2)</f>
        <v>0</v>
      </c>
      <c r="W28" s="74">
        <f>SUMIFS(разходи!$L:$L,разходи!$E:$E,'ПП Юни'!$C$28,разходи!$M:$M,'ПП Юни'!W2)</f>
        <v>0</v>
      </c>
      <c r="X28" s="74">
        <f>SUMIFS(разходи!$L:$L,разходи!$E:$E,'ПП Юни'!$C$28,разходи!$M:$M,'ПП Юни'!X2)</f>
        <v>0</v>
      </c>
      <c r="Y28" s="74">
        <f>SUMIFS(разходи!$L:$L,разходи!$E:$E,'ПП Юни'!$C$28,разходи!$M:$M,'ПП Юни'!Y2)</f>
        <v>0</v>
      </c>
      <c r="Z28" s="76">
        <f>SUMIFS(разходи!$L:$L,разходи!$E:$E,'ПП Юни'!$C$28,разходи!$M:$M,'ПП Юни'!Z2)</f>
        <v>0</v>
      </c>
      <c r="AA28" s="76">
        <f>SUMIFS(разходи!$L:$L,разходи!$E:$E,'ПП Юни'!$C$28,разходи!$M:$M,'ПП Юни'!AA2)</f>
        <v>0</v>
      </c>
      <c r="AB28" s="74">
        <f>SUMIFS(разходи!$L:$L,разходи!$E:$E,'ПП Юни'!$C$28,разходи!$M:$M,'ПП Юни'!AB2)</f>
        <v>38850.972000000002</v>
      </c>
      <c r="AC28" s="74">
        <f>SUMIFS(разходи!$L:$L,разходи!$E:$E,'ПП Юни'!$C$28,разходи!$M:$M,'ПП Юни'!AC2)</f>
        <v>0</v>
      </c>
      <c r="AD28" s="74">
        <f>SUMIFS(разходи!$L:$L,разходи!$E:$E,'ПП Юни'!$C$28,разходи!$M:$M,'ПП Юни'!AD2)</f>
        <v>0</v>
      </c>
      <c r="AE28" s="74">
        <f>SUMIFS(разходи!$L:$L,разходи!$E:$E,'ПП Юни'!$C$28,разходи!$M:$M,'ПП Юни'!AE2)</f>
        <v>0</v>
      </c>
      <c r="AF28" s="74">
        <f>SUMIFS(разходи!$L:$L,разходи!$E:$E,'ПП Юни'!$C$28,разходи!$M:$M,'ПП Юни'!AF2)</f>
        <v>0</v>
      </c>
      <c r="AG28" s="76">
        <f>SUMIFS(разходи!$L:$L,разходи!$E:$E,'ПП Юни'!$C$28,разходи!$M:$M,'ПП Юни'!AG2)</f>
        <v>0</v>
      </c>
      <c r="AH28" s="76">
        <f>SUMIFS(разходи!$L:$L,разходи!$E:$E,'ПП Юни'!$C$28,разходи!$M:$M,'ПП Юни'!AH2)</f>
        <v>0</v>
      </c>
      <c r="AI28" s="61">
        <f t="shared" si="2"/>
        <v>38850.972000000002</v>
      </c>
      <c r="AJ28" s="69">
        <f t="shared" si="3"/>
        <v>-1526.1719999999987</v>
      </c>
    </row>
    <row r="29" spans="1:36" s="4" customFormat="1" ht="20.100000000000001" customHeight="1" x14ac:dyDescent="0.3">
      <c r="A29" s="9"/>
      <c r="B29" s="7">
        <v>2</v>
      </c>
      <c r="C29" s="8" t="s">
        <v>860</v>
      </c>
      <c r="D29" s="74">
        <f t="shared" ref="D29" si="13">SUM(D30:D35)</f>
        <v>283592.18423160003</v>
      </c>
      <c r="E29" s="76">
        <f t="shared" ref="E29:AH29" si="14">SUM(E30:E35)</f>
        <v>0</v>
      </c>
      <c r="F29" s="76">
        <f t="shared" si="14"/>
        <v>0</v>
      </c>
      <c r="G29" s="74">
        <f t="shared" si="14"/>
        <v>0</v>
      </c>
      <c r="H29" s="74">
        <f t="shared" si="14"/>
        <v>0</v>
      </c>
      <c r="I29" s="74">
        <f t="shared" si="14"/>
        <v>0</v>
      </c>
      <c r="J29" s="74">
        <f t="shared" si="14"/>
        <v>0</v>
      </c>
      <c r="K29" s="74">
        <f t="shared" si="14"/>
        <v>44683.205807999999</v>
      </c>
      <c r="L29" s="76">
        <f t="shared" si="14"/>
        <v>0</v>
      </c>
      <c r="M29" s="76">
        <f t="shared" si="14"/>
        <v>0</v>
      </c>
      <c r="N29" s="74">
        <f t="shared" si="14"/>
        <v>0</v>
      </c>
      <c r="O29" s="74">
        <f t="shared" si="14"/>
        <v>272823.33599999995</v>
      </c>
      <c r="P29" s="74">
        <f t="shared" si="14"/>
        <v>0</v>
      </c>
      <c r="Q29" s="74">
        <f t="shared" si="14"/>
        <v>0</v>
      </c>
      <c r="R29" s="74">
        <f t="shared" si="14"/>
        <v>0</v>
      </c>
      <c r="S29" s="76">
        <f t="shared" si="14"/>
        <v>0</v>
      </c>
      <c r="T29" s="76">
        <f t="shared" si="14"/>
        <v>0</v>
      </c>
      <c r="U29" s="74">
        <f t="shared" si="14"/>
        <v>0</v>
      </c>
      <c r="V29" s="74">
        <f t="shared" si="14"/>
        <v>0</v>
      </c>
      <c r="W29" s="74">
        <f t="shared" si="14"/>
        <v>0</v>
      </c>
      <c r="X29" s="74">
        <f t="shared" si="14"/>
        <v>0</v>
      </c>
      <c r="Y29" s="74">
        <f t="shared" si="14"/>
        <v>0</v>
      </c>
      <c r="Z29" s="76">
        <f t="shared" si="14"/>
        <v>0</v>
      </c>
      <c r="AA29" s="76">
        <f t="shared" si="14"/>
        <v>0</v>
      </c>
      <c r="AB29" s="74">
        <f t="shared" si="14"/>
        <v>0</v>
      </c>
      <c r="AC29" s="74">
        <f t="shared" si="14"/>
        <v>0</v>
      </c>
      <c r="AD29" s="74">
        <f t="shared" si="14"/>
        <v>0</v>
      </c>
      <c r="AE29" s="74">
        <f t="shared" si="14"/>
        <v>0</v>
      </c>
      <c r="AF29" s="74">
        <f t="shared" si="14"/>
        <v>0</v>
      </c>
      <c r="AG29" s="76">
        <f t="shared" si="14"/>
        <v>0</v>
      </c>
      <c r="AH29" s="76">
        <f t="shared" si="14"/>
        <v>0</v>
      </c>
      <c r="AI29" s="61">
        <f t="shared" si="2"/>
        <v>317506.54180799995</v>
      </c>
      <c r="AJ29" s="62">
        <f t="shared" si="3"/>
        <v>-33914.357576399925</v>
      </c>
    </row>
    <row r="30" spans="1:36" s="21" customFormat="1" ht="20.100000000000001" customHeight="1" outlineLevel="1" x14ac:dyDescent="0.3">
      <c r="A30" s="27"/>
      <c r="B30" s="22"/>
      <c r="C30" s="8" t="s">
        <v>458</v>
      </c>
      <c r="D30" s="80">
        <v>210185.43166800003</v>
      </c>
      <c r="E30" s="76">
        <f>SUMIFS(разходи!$L:$L,разходи!$E:$E,'ПП Юни'!$C$30,разходи!$M:$M,'ПП Юни'!E2)</f>
        <v>0</v>
      </c>
      <c r="F30" s="76">
        <f>SUMIFS(разходи!$L:$L,разходи!$E:$E,'ПП Юни'!$C$30,разходи!$M:$M,'ПП Юни'!F2)</f>
        <v>0</v>
      </c>
      <c r="G30" s="74">
        <f>SUMIFS(разходи!$L:$L,разходи!$E:$E,'ПП Юни'!$C$30,разходи!$M:$M,'ПП Юни'!G2)</f>
        <v>0</v>
      </c>
      <c r="H30" s="74">
        <f>SUMIFS(разходи!$L:$L,разходи!$E:$E,'ПП Юни'!$C$30,разходи!$M:$M,'ПП Юни'!H2)</f>
        <v>0</v>
      </c>
      <c r="I30" s="74">
        <f>SUMIFS(разходи!$L:$L,разходи!$E:$E,'ПП Юни'!$C$30,разходи!$M:$M,'ПП Юни'!I2)</f>
        <v>0</v>
      </c>
      <c r="J30" s="74">
        <f>SUMIFS(разходи!$L:$L,разходи!$E:$E,'ПП Юни'!$C$30,разходи!$M:$M,'ПП Юни'!J2)</f>
        <v>0</v>
      </c>
      <c r="K30" s="74">
        <f>SUMIFS(разходи!$L:$L,разходи!$E:$E,'ПП Юни'!$C$30,разходи!$M:$M,'ПП Юни'!K2)</f>
        <v>0</v>
      </c>
      <c r="L30" s="76">
        <f>SUMIFS(разходи!$L:$L,разходи!$E:$E,'ПП Юни'!$C$30,разходи!$M:$M,'ПП Юни'!L2)</f>
        <v>0</v>
      </c>
      <c r="M30" s="76">
        <f>SUMIFS(разходи!$L:$L,разходи!$E:$E,'ПП Юни'!$C$30,разходи!$M:$M,'ПП Юни'!M2)</f>
        <v>0</v>
      </c>
      <c r="N30" s="74">
        <f>SUMIFS(разходи!$L:$L,разходи!$E:$E,'ПП Юни'!$C$30,разходи!$M:$M,'ПП Юни'!N2)</f>
        <v>0</v>
      </c>
      <c r="O30" s="74">
        <f>SUMIFS(разходи!$L:$L,разходи!$E:$E,'ПП Юни'!$C$30,разходи!$M:$M,'ПП Юни'!O2)</f>
        <v>210185.42399999997</v>
      </c>
      <c r="P30" s="74">
        <f>SUMIFS(разходи!$L:$L,разходи!$E:$E,'ПП Юни'!$C$30,разходи!$M:$M,'ПП Юни'!P2)</f>
        <v>0</v>
      </c>
      <c r="Q30" s="74">
        <f>SUMIFS(разходи!$L:$L,разходи!$E:$E,'ПП Юни'!$C$30,разходи!$M:$M,'ПП Юни'!Q2)</f>
        <v>0</v>
      </c>
      <c r="R30" s="74">
        <f>SUMIFS(разходи!$L:$L,разходи!$E:$E,'ПП Юни'!$C$30,разходи!$M:$M,'ПП Юни'!R2)</f>
        <v>0</v>
      </c>
      <c r="S30" s="76">
        <f>SUMIFS(разходи!$L:$L,разходи!$E:$E,'ПП Юни'!$C$30,разходи!$M:$M,'ПП Юни'!S2)</f>
        <v>0</v>
      </c>
      <c r="T30" s="76">
        <f>SUMIFS(разходи!$L:$L,разходи!$E:$E,'ПП Юни'!$C$30,разходи!$M:$M,'ПП Юни'!T2)</f>
        <v>0</v>
      </c>
      <c r="U30" s="74">
        <f>SUMIFS(разходи!$L:$L,разходи!$E:$E,'ПП Юни'!$C$30,разходи!$M:$M,'ПП Юни'!U2)</f>
        <v>0</v>
      </c>
      <c r="V30" s="74">
        <f>SUMIFS(разходи!$L:$L,разходи!$E:$E,'ПП Юни'!$C$30,разходи!$M:$M,'ПП Юни'!V2)</f>
        <v>0</v>
      </c>
      <c r="W30" s="74">
        <f>SUMIFS(разходи!$L:$L,разходи!$E:$E,'ПП Юни'!$C$30,разходи!$M:$M,'ПП Юни'!W2)</f>
        <v>0</v>
      </c>
      <c r="X30" s="74">
        <f>SUMIFS(разходи!$L:$L,разходи!$E:$E,'ПП Юни'!$C$30,разходи!$M:$M,'ПП Юни'!X2)</f>
        <v>0</v>
      </c>
      <c r="Y30" s="74">
        <f>SUMIFS(разходи!$L:$L,разходи!$E:$E,'ПП Юни'!$C$30,разходи!$M:$M,'ПП Юни'!Y2)</f>
        <v>0</v>
      </c>
      <c r="Z30" s="76">
        <f>SUMIFS(разходи!$L:$L,разходи!$E:$E,'ПП Юни'!$C$30,разходи!$M:$M,'ПП Юни'!Z2)</f>
        <v>0</v>
      </c>
      <c r="AA30" s="76">
        <f>SUMIFS(разходи!$L:$L,разходи!$E:$E,'ПП Юни'!$C$30,разходи!$M:$M,'ПП Юни'!AA2)</f>
        <v>0</v>
      </c>
      <c r="AB30" s="74">
        <f>SUMIFS(разходи!$L:$L,разходи!$E:$E,'ПП Юни'!$C$30,разходи!$M:$M,'ПП Юни'!AB2)</f>
        <v>0</v>
      </c>
      <c r="AC30" s="74">
        <f>SUMIFS(разходи!$L:$L,разходи!$E:$E,'ПП Юни'!$C$30,разходи!$M:$M,'ПП Юни'!AC2)</f>
        <v>0</v>
      </c>
      <c r="AD30" s="74">
        <f>SUMIFS(разходи!$L:$L,разходи!$E:$E,'ПП Юни'!$C$30,разходи!$M:$M,'ПП Юни'!AD2)</f>
        <v>0</v>
      </c>
      <c r="AE30" s="74">
        <f>SUMIFS(разходи!$L:$L,разходи!$E:$E,'ПП Юни'!$C$30,разходи!$M:$M,'ПП Юни'!AE2)</f>
        <v>0</v>
      </c>
      <c r="AF30" s="74">
        <f>SUMIFS(разходи!$L:$L,разходи!$E:$E,'ПП Юни'!$C$30,разходи!$M:$M,'ПП Юни'!AF2)</f>
        <v>0</v>
      </c>
      <c r="AG30" s="76">
        <f>SUMIFS(разходи!$L:$L,разходи!$E:$E,'ПП Юни'!$C$30,разходи!$M:$M,'ПП Юни'!AG2)</f>
        <v>0</v>
      </c>
      <c r="AH30" s="76">
        <f>SUMIFS(разходи!$L:$L,разходи!$E:$E,'ПП Юни'!$C$30,разходи!$M:$M,'ПП Юни'!AH2)</f>
        <v>0</v>
      </c>
      <c r="AI30" s="61">
        <f t="shared" si="2"/>
        <v>210185.42399999997</v>
      </c>
      <c r="AJ30" s="69">
        <f t="shared" si="3"/>
        <v>7.6680000638589263E-3</v>
      </c>
    </row>
    <row r="31" spans="1:36" s="21" customFormat="1" ht="20.100000000000001" customHeight="1" outlineLevel="1" x14ac:dyDescent="0.3">
      <c r="A31" s="27"/>
      <c r="B31" s="22"/>
      <c r="C31" s="8" t="s">
        <v>459</v>
      </c>
      <c r="D31" s="80"/>
      <c r="E31" s="76">
        <f>SUMIFS(разходи!$L:$L,разходи!$E:$E,'ПП Юни'!$C$31,разходи!$M:$M,'ПП Юни'!E2)</f>
        <v>0</v>
      </c>
      <c r="F31" s="76">
        <f>SUMIFS(разходи!$L:$L,разходи!$E:$E,'ПП Юни'!$C$31,разходи!$M:$M,'ПП Юни'!F2)</f>
        <v>0</v>
      </c>
      <c r="G31" s="74">
        <f>SUMIFS(разходи!$L:$L,разходи!$E:$E,'ПП Юни'!$C$31,разходи!$M:$M,'ПП Юни'!G2)</f>
        <v>0</v>
      </c>
      <c r="H31" s="74">
        <f>SUMIFS(разходи!$L:$L,разходи!$E:$E,'ПП Юни'!$C$31,разходи!$M:$M,'ПП Юни'!H2)</f>
        <v>0</v>
      </c>
      <c r="I31" s="74">
        <f>SUMIFS(разходи!$L:$L,разходи!$E:$E,'ПП Юни'!$C$31,разходи!$M:$M,'ПП Юни'!I2)</f>
        <v>0</v>
      </c>
      <c r="J31" s="74">
        <f>SUMIFS(разходи!$L:$L,разходи!$E:$E,'ПП Юни'!$C$31,разходи!$M:$M,'ПП Юни'!J2)</f>
        <v>0</v>
      </c>
      <c r="K31" s="74">
        <f>SUMIFS(разходи!$L:$L,разходи!$E:$E,'ПП Юни'!$C$31,разходи!$M:$M,'ПП Юни'!K2)</f>
        <v>0</v>
      </c>
      <c r="L31" s="76">
        <f>SUMIFS(разходи!$L:$L,разходи!$E:$E,'ПП Юни'!$C$31,разходи!$M:$M,'ПП Юни'!L2)</f>
        <v>0</v>
      </c>
      <c r="M31" s="76">
        <f>SUMIFS(разходи!$L:$L,разходи!$E:$E,'ПП Юни'!$C$31,разходи!$M:$M,'ПП Юни'!M2)</f>
        <v>0</v>
      </c>
      <c r="N31" s="74">
        <f>SUMIFS(разходи!$L:$L,разходи!$E:$E,'ПП Юни'!$C$31,разходи!$M:$M,'ПП Юни'!N2)</f>
        <v>0</v>
      </c>
      <c r="O31" s="74">
        <f>SUMIFS(разходи!$L:$L,разходи!$E:$E,'ПП Юни'!$C$31,разходи!$M:$M,'ПП Юни'!O2)</f>
        <v>0</v>
      </c>
      <c r="P31" s="74">
        <f>SUMIFS(разходи!$L:$L,разходи!$E:$E,'ПП Юни'!$C$31,разходи!$M:$M,'ПП Юни'!P2)</f>
        <v>0</v>
      </c>
      <c r="Q31" s="74">
        <f>SUMIFS(разходи!$L:$L,разходи!$E:$E,'ПП Юни'!$C$31,разходи!$M:$M,'ПП Юни'!Q2)</f>
        <v>0</v>
      </c>
      <c r="R31" s="74">
        <f>SUMIFS(разходи!$L:$L,разходи!$E:$E,'ПП Юни'!$C$31,разходи!$M:$M,'ПП Юни'!R2)</f>
        <v>0</v>
      </c>
      <c r="S31" s="76">
        <f>SUMIFS(разходи!$L:$L,разходи!$E:$E,'ПП Юни'!$C$31,разходи!$M:$M,'ПП Юни'!S2)</f>
        <v>0</v>
      </c>
      <c r="T31" s="76">
        <f>SUMIFS(разходи!$L:$L,разходи!$E:$E,'ПП Юни'!$C$31,разходи!$M:$M,'ПП Юни'!T2)</f>
        <v>0</v>
      </c>
      <c r="U31" s="74">
        <f>SUMIFS(разходи!$L:$L,разходи!$E:$E,'ПП Юни'!$C$31,разходи!$M:$M,'ПП Юни'!U2)</f>
        <v>0</v>
      </c>
      <c r="V31" s="74">
        <f>SUMIFS(разходи!$L:$L,разходи!$E:$E,'ПП Юни'!$C$31,разходи!$M:$M,'ПП Юни'!V2)</f>
        <v>0</v>
      </c>
      <c r="W31" s="74">
        <f>SUMIFS(разходи!$L:$L,разходи!$E:$E,'ПП Юни'!$C$31,разходи!$M:$M,'ПП Юни'!W2)</f>
        <v>0</v>
      </c>
      <c r="X31" s="74">
        <f>SUMIFS(разходи!$L:$L,разходи!$E:$E,'ПП Юни'!$C$31,разходи!$M:$M,'ПП Юни'!X2)</f>
        <v>0</v>
      </c>
      <c r="Y31" s="74">
        <f>SUMIFS(разходи!$L:$L,разходи!$E:$E,'ПП Юни'!$C$31,разходи!$M:$M,'ПП Юни'!Y2)</f>
        <v>0</v>
      </c>
      <c r="Z31" s="76">
        <f>SUMIFS(разходи!$L:$L,разходи!$E:$E,'ПП Юни'!$C$31,разходи!$M:$M,'ПП Юни'!Z2)</f>
        <v>0</v>
      </c>
      <c r="AA31" s="76">
        <f>SUMIFS(разходи!$L:$L,разходи!$E:$E,'ПП Юни'!$C$31,разходи!$M:$M,'ПП Юни'!AA2)</f>
        <v>0</v>
      </c>
      <c r="AB31" s="74">
        <f>SUMIFS(разходи!$L:$L,разходи!$E:$E,'ПП Юни'!$C$31,разходи!$M:$M,'ПП Юни'!AB2)</f>
        <v>0</v>
      </c>
      <c r="AC31" s="74">
        <f>SUMIFS(разходи!$L:$L,разходи!$E:$E,'ПП Юни'!$C$31,разходи!$M:$M,'ПП Юни'!AC2)</f>
        <v>0</v>
      </c>
      <c r="AD31" s="74">
        <f>SUMIFS(разходи!$L:$L,разходи!$E:$E,'ПП Юни'!$C$31,разходи!$M:$M,'ПП Юни'!AD2)</f>
        <v>0</v>
      </c>
      <c r="AE31" s="74">
        <f>SUMIFS(разходи!$L:$L,разходи!$E:$E,'ПП Юни'!$C$31,разходи!$M:$M,'ПП Юни'!AE2)</f>
        <v>0</v>
      </c>
      <c r="AF31" s="74">
        <f>SUMIFS(разходи!$L:$L,разходи!$E:$E,'ПП Юни'!$C$31,разходи!$M:$M,'ПП Юни'!AF2)</f>
        <v>0</v>
      </c>
      <c r="AG31" s="76">
        <f>SUMIFS(разходи!$L:$L,разходи!$E:$E,'ПП Юни'!$C$31,разходи!$M:$M,'ПП Юни'!AG2)</f>
        <v>0</v>
      </c>
      <c r="AH31" s="76">
        <f>SUMIFS(разходи!$L:$L,разходи!$E:$E,'ПП Юни'!$C$31,разходи!$M:$M,'ПП Юни'!AH2)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460</v>
      </c>
      <c r="D32" s="80">
        <v>14592.724563600003</v>
      </c>
      <c r="E32" s="76">
        <f>SUMIFS(разходи!$L:$L,разходи!$E:$E,'ПП Юни'!$C$32,разходи!$M:$M,'ПП Юни'!E2)</f>
        <v>0</v>
      </c>
      <c r="F32" s="76">
        <f>SUMIFS(разходи!$L:$L,разходи!$E:$E,'ПП Юни'!$C$32,разходи!$M:$M,'ПП Юни'!F2)</f>
        <v>0</v>
      </c>
      <c r="G32" s="74">
        <f>SUMIFS(разходи!$L:$L,разходи!$E:$E,'ПП Юни'!$C$32,разходи!$M:$M,'ПП Юни'!G2)</f>
        <v>0</v>
      </c>
      <c r="H32" s="74">
        <f>SUMIFS(разходи!$L:$L,разходи!$E:$E,'ПП Юни'!$C$32,разходи!$M:$M,'ПП Юни'!H2)</f>
        <v>0</v>
      </c>
      <c r="I32" s="74">
        <f>SUMIFS(разходи!$L:$L,разходи!$E:$E,'ПП Юни'!$C$32,разходи!$M:$M,'ПП Юни'!I2)</f>
        <v>0</v>
      </c>
      <c r="J32" s="74">
        <f>SUMIFS(разходи!$L:$L,разходи!$E:$E,'ПП Юни'!$C$32,разходи!$M:$M,'ПП Юни'!J2)</f>
        <v>0</v>
      </c>
      <c r="K32" s="74">
        <f>SUMIFS(разходи!$L:$L,разходи!$E:$E,'ПП Юни'!$C$32,разходи!$M:$M,'ПП Юни'!K2)</f>
        <v>0</v>
      </c>
      <c r="L32" s="76">
        <f>SUMIFS(разходи!$L:$L,разходи!$E:$E,'ПП Юни'!$C$32,разходи!$M:$M,'ПП Юни'!L2)</f>
        <v>0</v>
      </c>
      <c r="M32" s="76">
        <f>SUMIFS(разходи!$L:$L,разходи!$E:$E,'ПП Юни'!$C$32,разходи!$M:$M,'ПП Юни'!M2)</f>
        <v>0</v>
      </c>
      <c r="N32" s="74">
        <f>SUMIFS(разходи!$L:$L,разходи!$E:$E,'ПП Юни'!$C$32,разходи!$M:$M,'ПП Юни'!N2)</f>
        <v>0</v>
      </c>
      <c r="O32" s="74">
        <f>SUMIFS(разходи!$L:$L,разходи!$E:$E,'ПП Юни'!$C$32,разходи!$M:$M,'ПП Юни'!O2)</f>
        <v>14592.732</v>
      </c>
      <c r="P32" s="74">
        <f>SUMIFS(разходи!$L:$L,разходи!$E:$E,'ПП Юни'!$C$32,разходи!$M:$M,'ПП Юни'!P2)</f>
        <v>0</v>
      </c>
      <c r="Q32" s="74">
        <f>SUMIFS(разходи!$L:$L,разходи!$E:$E,'ПП Юни'!$C$32,разходи!$M:$M,'ПП Юни'!Q2)</f>
        <v>0</v>
      </c>
      <c r="R32" s="74">
        <f>SUMIFS(разходи!$L:$L,разходи!$E:$E,'ПП Юни'!$C$32,разходи!$M:$M,'ПП Юни'!R2)</f>
        <v>0</v>
      </c>
      <c r="S32" s="76">
        <f>SUMIFS(разходи!$L:$L,разходи!$E:$E,'ПП Юни'!$C$32,разходи!$M:$M,'ПП Юни'!S2)</f>
        <v>0</v>
      </c>
      <c r="T32" s="76">
        <f>SUMIFS(разходи!$L:$L,разходи!$E:$E,'ПП Юни'!$C$32,разходи!$M:$M,'ПП Юни'!T2)</f>
        <v>0</v>
      </c>
      <c r="U32" s="74">
        <f>SUMIFS(разходи!$L:$L,разходи!$E:$E,'ПП Юни'!$C$32,разходи!$M:$M,'ПП Юни'!U2)</f>
        <v>0</v>
      </c>
      <c r="V32" s="74">
        <f>SUMIFS(разходи!$L:$L,разходи!$E:$E,'ПП Юни'!$C$32,разходи!$M:$M,'ПП Юни'!V2)</f>
        <v>0</v>
      </c>
      <c r="W32" s="74">
        <f>SUMIFS(разходи!$L:$L,разходи!$E:$E,'ПП Юни'!$C$32,разходи!$M:$M,'ПП Юни'!W2)</f>
        <v>0</v>
      </c>
      <c r="X32" s="74">
        <f>SUMIFS(разходи!$L:$L,разходи!$E:$E,'ПП Юни'!$C$32,разходи!$M:$M,'ПП Юни'!X2)</f>
        <v>0</v>
      </c>
      <c r="Y32" s="74">
        <f>SUMIFS(разходи!$L:$L,разходи!$E:$E,'ПП Юни'!$C$32,разходи!$M:$M,'ПП Юни'!Y2)</f>
        <v>0</v>
      </c>
      <c r="Z32" s="76">
        <f>SUMIFS(разходи!$L:$L,разходи!$E:$E,'ПП Юни'!$C$32,разходи!$M:$M,'ПП Юни'!Z2)</f>
        <v>0</v>
      </c>
      <c r="AA32" s="76">
        <f>SUMIFS(разходи!$L:$L,разходи!$E:$E,'ПП Юни'!$C$32,разходи!$M:$M,'ПП Юни'!AA2)</f>
        <v>0</v>
      </c>
      <c r="AB32" s="74">
        <f>SUMIFS(разходи!$L:$L,разходи!$E:$E,'ПП Юни'!$C$32,разходи!$M:$M,'ПП Юни'!AB2)</f>
        <v>0</v>
      </c>
      <c r="AC32" s="74">
        <f>SUMIFS(разходи!$L:$L,разходи!$E:$E,'ПП Юни'!$C$32,разходи!$M:$M,'ПП Юни'!AC2)</f>
        <v>0</v>
      </c>
      <c r="AD32" s="74">
        <f>SUMIFS(разходи!$L:$L,разходи!$E:$E,'ПП Юни'!$C$32,разходи!$M:$M,'ПП Юни'!AD2)</f>
        <v>0</v>
      </c>
      <c r="AE32" s="74">
        <f>SUMIFS(разходи!$L:$L,разходи!$E:$E,'ПП Юни'!$C$32,разходи!$M:$M,'ПП Юни'!AE2)</f>
        <v>0</v>
      </c>
      <c r="AF32" s="74">
        <f>SUMIFS(разходи!$L:$L,разходи!$E:$E,'ПП Юни'!$C$32,разходи!$M:$M,'ПП Юни'!AF2)</f>
        <v>0</v>
      </c>
      <c r="AG32" s="76">
        <f>SUMIFS(разходи!$L:$L,разходи!$E:$E,'ПП Юни'!$C$32,разходи!$M:$M,'ПП Юни'!AG2)</f>
        <v>0</v>
      </c>
      <c r="AH32" s="76">
        <f>SUMIFS(разходи!$L:$L,разходи!$E:$E,'ПП Юни'!$C$32,разходи!$M:$M,'ПП Юни'!AH2)</f>
        <v>0</v>
      </c>
      <c r="AI32" s="61">
        <f t="shared" si="2"/>
        <v>14592.732</v>
      </c>
      <c r="AJ32" s="69">
        <f t="shared" si="3"/>
        <v>-7.4363999974593753E-3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>
        <v>58814.027999999991</v>
      </c>
      <c r="E33" s="76">
        <f>SUMIFS(разходи!$L:$L,разходи!$E:$E,'ПП Юни'!$C$33,разходи!$M:$M,'ПП Юни'!E2)</f>
        <v>0</v>
      </c>
      <c r="F33" s="76">
        <f>SUMIFS(разходи!$L:$L,разходи!$E:$E,'ПП Юни'!$C$33,разходи!$M:$M,'ПП Юни'!F2)</f>
        <v>0</v>
      </c>
      <c r="G33" s="74">
        <f>SUMIFS(разходи!$L:$L,разходи!$E:$E,'ПП Юни'!$C$33,разходи!$M:$M,'ПП Юни'!G2)</f>
        <v>0</v>
      </c>
      <c r="H33" s="74">
        <f>SUMIFS(разходи!$L:$L,разходи!$E:$E,'ПП Юни'!$C$33,разходи!$M:$M,'ПП Юни'!H2)</f>
        <v>0</v>
      </c>
      <c r="I33" s="74">
        <f>SUMIFS(разходи!$L:$L,разходи!$E:$E,'ПП Юни'!$C$33,разходи!$M:$M,'ПП Юни'!I2)</f>
        <v>0</v>
      </c>
      <c r="J33" s="74">
        <f>SUMIFS(разходи!$L:$L,разходи!$E:$E,'ПП Юни'!$C$33,разходи!$M:$M,'ПП Юни'!J2)</f>
        <v>0</v>
      </c>
      <c r="K33" s="74">
        <f>SUMIFS(разходи!$L:$L,разходи!$E:$E,'ПП Юни'!$C$33,разходи!$M:$M,'ПП Юни'!K2)</f>
        <v>40628.405807999996</v>
      </c>
      <c r="L33" s="76">
        <f>SUMIFS(разходи!$L:$L,разходи!$E:$E,'ПП Юни'!$C$33,разходи!$M:$M,'ПП Юни'!L2)</f>
        <v>0</v>
      </c>
      <c r="M33" s="76">
        <f>SUMIFS(разходи!$L:$L,разходи!$E:$E,'ПП Юни'!$C$33,разходи!$M:$M,'ПП Юни'!M2)</f>
        <v>0</v>
      </c>
      <c r="N33" s="74">
        <f>SUMIFS(разходи!$L:$L,разходи!$E:$E,'ПП Юни'!$C$33,разходи!$M:$M,'ПП Юни'!N2)</f>
        <v>0</v>
      </c>
      <c r="O33" s="74">
        <f>SUMIFS(разходи!$L:$L,разходи!$E:$E,'ПП Юни'!$C$33,разходи!$M:$M,'ПП Юни'!O2)</f>
        <v>45655.703999999998</v>
      </c>
      <c r="P33" s="74">
        <f>SUMIFS(разходи!$L:$L,разходи!$E:$E,'ПП Юни'!$C$33,разходи!$M:$M,'ПП Юни'!P2)</f>
        <v>0</v>
      </c>
      <c r="Q33" s="74">
        <f>SUMIFS(разходи!$L:$L,разходи!$E:$E,'ПП Юни'!$C$33,разходи!$M:$M,'ПП Юни'!Q2)</f>
        <v>0</v>
      </c>
      <c r="R33" s="74">
        <f>SUMIFS(разходи!$L:$L,разходи!$E:$E,'ПП Юни'!$C$33,разходи!$M:$M,'ПП Юни'!R2)</f>
        <v>0</v>
      </c>
      <c r="S33" s="76">
        <f>SUMIFS(разходи!$L:$L,разходи!$E:$E,'ПП Юни'!$C$33,разходи!$M:$M,'ПП Юни'!S2)</f>
        <v>0</v>
      </c>
      <c r="T33" s="76">
        <f>SUMIFS(разходи!$L:$L,разходи!$E:$E,'ПП Юни'!$C$33,разходи!$M:$M,'ПП Юни'!T2)</f>
        <v>0</v>
      </c>
      <c r="U33" s="74">
        <f>SUMIFS(разходи!$L:$L,разходи!$E:$E,'ПП Юни'!$C$33,разходи!$M:$M,'ПП Юни'!U2)</f>
        <v>0</v>
      </c>
      <c r="V33" s="74">
        <f>SUMIFS(разходи!$L:$L,разходи!$E:$E,'ПП Юни'!$C$33,разходи!$M:$M,'ПП Юни'!V2)</f>
        <v>0</v>
      </c>
      <c r="W33" s="74">
        <f>SUMIFS(разходи!$L:$L,разходи!$E:$E,'ПП Юни'!$C$33,разходи!$M:$M,'ПП Юни'!W2)</f>
        <v>0</v>
      </c>
      <c r="X33" s="74">
        <f>SUMIFS(разходи!$L:$L,разходи!$E:$E,'ПП Юни'!$C$33,разходи!$M:$M,'ПП Юни'!X2)</f>
        <v>0</v>
      </c>
      <c r="Y33" s="74">
        <f>SUMIFS(разходи!$L:$L,разходи!$E:$E,'ПП Юни'!$C$33,разходи!$M:$M,'ПП Юни'!Y2)</f>
        <v>0</v>
      </c>
      <c r="Z33" s="76">
        <f>SUMIFS(разходи!$L:$L,разходи!$E:$E,'ПП Юни'!$C$33,разходи!$M:$M,'ПП Юни'!Z2)</f>
        <v>0</v>
      </c>
      <c r="AA33" s="76">
        <f>SUMIFS(разходи!$L:$L,разходи!$E:$E,'ПП Юни'!$C$33,разходи!$M:$M,'ПП Юни'!AA2)</f>
        <v>0</v>
      </c>
      <c r="AB33" s="74">
        <f>SUMIFS(разходи!$L:$L,разходи!$E:$E,'ПП Юни'!$C$33,разходи!$M:$M,'ПП Юни'!AB2)</f>
        <v>0</v>
      </c>
      <c r="AC33" s="74">
        <f>SUMIFS(разходи!$L:$L,разходи!$E:$E,'ПП Юни'!$C$33,разходи!$M:$M,'ПП Юни'!AC2)</f>
        <v>0</v>
      </c>
      <c r="AD33" s="74">
        <f>SUMIFS(разходи!$L:$L,разходи!$E:$E,'ПП Юни'!$C$33,разходи!$M:$M,'ПП Юни'!AD2)</f>
        <v>0</v>
      </c>
      <c r="AE33" s="74">
        <f>SUMIFS(разходи!$L:$L,разходи!$E:$E,'ПП Юни'!$C$33,разходи!$M:$M,'ПП Юни'!AE2)</f>
        <v>0</v>
      </c>
      <c r="AF33" s="74">
        <f>SUMIFS(разходи!$L:$L,разходи!$E:$E,'ПП Юни'!$C$33,разходи!$M:$M,'ПП Юни'!AF2)</f>
        <v>0</v>
      </c>
      <c r="AG33" s="76">
        <f>SUMIFS(разходи!$L:$L,разходи!$E:$E,'ПП Юни'!$C$33,разходи!$M:$M,'ПП Юни'!AG2)</f>
        <v>0</v>
      </c>
      <c r="AH33" s="76">
        <f>SUMIFS(разходи!$L:$L,разходи!$E:$E,'ПП Юни'!$C$33,разходи!$M:$M,'ПП Юни'!AH2)</f>
        <v>0</v>
      </c>
      <c r="AI33" s="61">
        <f t="shared" si="2"/>
        <v>86284.109807999994</v>
      </c>
      <c r="AJ33" s="69">
        <f t="shared" si="3"/>
        <v>-27470.081808000003</v>
      </c>
    </row>
    <row r="34" spans="1:36" s="21" customFormat="1" ht="20.100000000000001" customHeight="1" outlineLevel="1" x14ac:dyDescent="0.3">
      <c r="A34" s="27"/>
      <c r="B34" s="22"/>
      <c r="C34" s="8" t="s">
        <v>461</v>
      </c>
      <c r="D34" s="80"/>
      <c r="E34" s="76">
        <f>SUMIFS(разходи!$L:$L,разходи!$E:$E,'ПП Юни'!$C$34,разходи!$M:$M,'ПП Юни'!E2)</f>
        <v>0</v>
      </c>
      <c r="F34" s="76">
        <f>SUMIFS(разходи!$L:$L,разходи!$E:$E,'ПП Юни'!$C$34,разходи!$M:$M,'ПП Юни'!F2)</f>
        <v>0</v>
      </c>
      <c r="G34" s="74">
        <f>SUMIFS(разходи!$L:$L,разходи!$E:$E,'ПП Юни'!$C$34,разходи!$M:$M,'ПП Юни'!G2)</f>
        <v>0</v>
      </c>
      <c r="H34" s="74">
        <f>SUMIFS(разходи!$L:$L,разходи!$E:$E,'ПП Юни'!$C$34,разходи!$M:$M,'ПП Юни'!H2)</f>
        <v>0</v>
      </c>
      <c r="I34" s="74">
        <f>SUMIFS(разходи!$L:$L,разходи!$E:$E,'ПП Юни'!$C$34,разходи!$M:$M,'ПП Юни'!I2)</f>
        <v>0</v>
      </c>
      <c r="J34" s="74">
        <f>SUMIFS(разходи!$L:$L,разходи!$E:$E,'ПП Юни'!$C$34,разходи!$M:$M,'ПП Юни'!J2)</f>
        <v>0</v>
      </c>
      <c r="K34" s="74">
        <f>SUMIFS(разходи!$L:$L,разходи!$E:$E,'ПП Юни'!$C$34,разходи!$M:$M,'ПП Юни'!K2)</f>
        <v>4054.8</v>
      </c>
      <c r="L34" s="76">
        <f>SUMIFS(разходи!$L:$L,разходи!$E:$E,'ПП Юни'!$C$34,разходи!$M:$M,'ПП Юни'!L2)</f>
        <v>0</v>
      </c>
      <c r="M34" s="76">
        <f>SUMIFS(разходи!$L:$L,разходи!$E:$E,'ПП Юни'!$C$34,разходи!$M:$M,'ПП Юни'!M2)</f>
        <v>0</v>
      </c>
      <c r="N34" s="74">
        <f>SUMIFS(разходи!$L:$L,разходи!$E:$E,'ПП Юни'!$C$34,разходи!$M:$M,'ПП Юни'!N2)</f>
        <v>0</v>
      </c>
      <c r="O34" s="74">
        <f>SUMIFS(разходи!$L:$L,разходи!$E:$E,'ПП Юни'!$C$34,разходи!$M:$M,'ПП Юни'!O2)</f>
        <v>2072.4959999999996</v>
      </c>
      <c r="P34" s="74">
        <f>SUMIFS(разходи!$L:$L,разходи!$E:$E,'ПП Юни'!$C$34,разходи!$M:$M,'ПП Юни'!P2)</f>
        <v>0</v>
      </c>
      <c r="Q34" s="74">
        <f>SUMIFS(разходи!$L:$L,разходи!$E:$E,'ПП Юни'!$C$34,разходи!$M:$M,'ПП Юни'!Q2)</f>
        <v>0</v>
      </c>
      <c r="R34" s="74">
        <f>SUMIFS(разходи!$L:$L,разходи!$E:$E,'ПП Юни'!$C$34,разходи!$M:$M,'ПП Юни'!R2)</f>
        <v>0</v>
      </c>
      <c r="S34" s="76">
        <f>SUMIFS(разходи!$L:$L,разходи!$E:$E,'ПП Юни'!$C$34,разходи!$M:$M,'ПП Юни'!S2)</f>
        <v>0</v>
      </c>
      <c r="T34" s="76">
        <f>SUMIFS(разходи!$L:$L,разходи!$E:$E,'ПП Юни'!$C$34,разходи!$M:$M,'ПП Юни'!T2)</f>
        <v>0</v>
      </c>
      <c r="U34" s="74">
        <f>SUMIFS(разходи!$L:$L,разходи!$E:$E,'ПП Юни'!$C$34,разходи!$M:$M,'ПП Юни'!U2)</f>
        <v>0</v>
      </c>
      <c r="V34" s="74">
        <f>SUMIFS(разходи!$L:$L,разходи!$E:$E,'ПП Юни'!$C$34,разходи!$M:$M,'ПП Юни'!V2)</f>
        <v>0</v>
      </c>
      <c r="W34" s="74">
        <f>SUMIFS(разходи!$L:$L,разходи!$E:$E,'ПП Юни'!$C$34,разходи!$M:$M,'ПП Юни'!W2)</f>
        <v>0</v>
      </c>
      <c r="X34" s="74">
        <f>SUMIFS(разходи!$L:$L,разходи!$E:$E,'ПП Юни'!$C$34,разходи!$M:$M,'ПП Юни'!X2)</f>
        <v>0</v>
      </c>
      <c r="Y34" s="74">
        <f>SUMIFS(разходи!$L:$L,разходи!$E:$E,'ПП Юни'!$C$34,разходи!$M:$M,'ПП Юни'!Y2)</f>
        <v>0</v>
      </c>
      <c r="Z34" s="76">
        <f>SUMIFS(разходи!$L:$L,разходи!$E:$E,'ПП Юни'!$C$34,разходи!$M:$M,'ПП Юни'!Z2)</f>
        <v>0</v>
      </c>
      <c r="AA34" s="76">
        <f>SUMIFS(разходи!$L:$L,разходи!$E:$E,'ПП Юни'!$C$34,разходи!$M:$M,'ПП Юни'!AA2)</f>
        <v>0</v>
      </c>
      <c r="AB34" s="74">
        <f>SUMIFS(разходи!$L:$L,разходи!$E:$E,'ПП Юни'!$C$34,разходи!$M:$M,'ПП Юни'!AB2)</f>
        <v>0</v>
      </c>
      <c r="AC34" s="74">
        <f>SUMIFS(разходи!$L:$L,разходи!$E:$E,'ПП Юни'!$C$34,разходи!$M:$M,'ПП Юни'!AC2)</f>
        <v>0</v>
      </c>
      <c r="AD34" s="74">
        <f>SUMIFS(разходи!$L:$L,разходи!$E:$E,'ПП Юни'!$C$34,разходи!$M:$M,'ПП Юни'!AD2)</f>
        <v>0</v>
      </c>
      <c r="AE34" s="74">
        <f>SUMIFS(разходи!$L:$L,разходи!$E:$E,'ПП Юни'!$C$34,разходи!$M:$M,'ПП Юни'!AE2)</f>
        <v>0</v>
      </c>
      <c r="AF34" s="74">
        <f>SUMIFS(разходи!$L:$L,разходи!$E:$E,'ПП Юни'!$C$34,разходи!$M:$M,'ПП Юни'!AF2)</f>
        <v>0</v>
      </c>
      <c r="AG34" s="76">
        <f>SUMIFS(разходи!$L:$L,разходи!$E:$E,'ПП Юни'!$C$34,разходи!$M:$M,'ПП Юни'!AG2)</f>
        <v>0</v>
      </c>
      <c r="AH34" s="76">
        <f>SUMIFS(разходи!$L:$L,разходи!$E:$E,'ПП Юни'!$C$34,разходи!$M:$M,'ПП Юни'!AH2)</f>
        <v>0</v>
      </c>
      <c r="AI34" s="61">
        <f t="shared" si="2"/>
        <v>6127.2960000000003</v>
      </c>
      <c r="AJ34" s="69">
        <f t="shared" si="3"/>
        <v>-6127.2960000000003</v>
      </c>
    </row>
    <row r="35" spans="1:36" s="21" customFormat="1" ht="20.100000000000001" customHeight="1" outlineLevel="1" x14ac:dyDescent="0.3">
      <c r="A35" s="27"/>
      <c r="B35" s="22"/>
      <c r="C35" s="8" t="s">
        <v>466</v>
      </c>
      <c r="D35" s="80"/>
      <c r="E35" s="76">
        <f>SUMIFS(разходи!$L:$L,разходи!$E:$E,'ПП Юни'!$C$35,разходи!$M:$M,'ПП Юни'!E2)</f>
        <v>0</v>
      </c>
      <c r="F35" s="76">
        <f>SUMIFS(разходи!$L:$L,разходи!$E:$E,'ПП Юни'!$C$35,разходи!$M:$M,'ПП Юни'!F2)</f>
        <v>0</v>
      </c>
      <c r="G35" s="74">
        <f>SUMIFS(разходи!$L:$L,разходи!$E:$E,'ПП Юни'!$C$35,разходи!$M:$M,'ПП Юни'!G2)</f>
        <v>0</v>
      </c>
      <c r="H35" s="74">
        <f>SUMIFS(разходи!$L:$L,разходи!$E:$E,'ПП Юни'!$C$35,разходи!$M:$M,'ПП Юни'!H2)</f>
        <v>0</v>
      </c>
      <c r="I35" s="74">
        <f>SUMIFS(разходи!$L:$L,разходи!$E:$E,'ПП Юни'!$C$35,разходи!$M:$M,'ПП Юни'!I2)</f>
        <v>0</v>
      </c>
      <c r="J35" s="74">
        <f>SUMIFS(разходи!$L:$L,разходи!$E:$E,'ПП Юни'!$C$35,разходи!$M:$M,'ПП Юни'!J2)</f>
        <v>0</v>
      </c>
      <c r="K35" s="74">
        <f>SUMIFS(разходи!$L:$L,разходи!$E:$E,'ПП Юни'!$C$35,разходи!$M:$M,'ПП Юни'!K2)</f>
        <v>0</v>
      </c>
      <c r="L35" s="76">
        <f>SUMIFS(разходи!$L:$L,разходи!$E:$E,'ПП Юни'!$C$35,разходи!$M:$M,'ПП Юни'!L2)</f>
        <v>0</v>
      </c>
      <c r="M35" s="76">
        <f>SUMIFS(разходи!$L:$L,разходи!$E:$E,'ПП Юни'!$C$35,разходи!$M:$M,'ПП Юни'!M2)</f>
        <v>0</v>
      </c>
      <c r="N35" s="74">
        <f>SUMIFS(разходи!$L:$L,разходи!$E:$E,'ПП Юни'!$C$35,разходи!$M:$M,'ПП Юни'!N2)</f>
        <v>0</v>
      </c>
      <c r="O35" s="74">
        <f>SUMIFS(разходи!$L:$L,разходи!$E:$E,'ПП Юни'!$C$35,разходи!$M:$M,'ПП Юни'!O2)</f>
        <v>316.97999999999996</v>
      </c>
      <c r="P35" s="74">
        <f>SUMIFS(разходи!$L:$L,разходи!$E:$E,'ПП Юни'!$C$35,разходи!$M:$M,'ПП Юни'!P2)</f>
        <v>0</v>
      </c>
      <c r="Q35" s="74">
        <f>SUMIFS(разходи!$L:$L,разходи!$E:$E,'ПП Юни'!$C$35,разходи!$M:$M,'ПП Юни'!Q2)</f>
        <v>0</v>
      </c>
      <c r="R35" s="74">
        <f>SUMIFS(разходи!$L:$L,разходи!$E:$E,'ПП Юни'!$C$35,разходи!$M:$M,'ПП Юни'!R2)</f>
        <v>0</v>
      </c>
      <c r="S35" s="76">
        <f>SUMIFS(разходи!$L:$L,разходи!$E:$E,'ПП Юни'!$C$35,разходи!$M:$M,'ПП Юни'!S2)</f>
        <v>0</v>
      </c>
      <c r="T35" s="76">
        <f>SUMIFS(разходи!$L:$L,разходи!$E:$E,'ПП Юни'!$C$35,разходи!$M:$M,'ПП Юни'!T2)</f>
        <v>0</v>
      </c>
      <c r="U35" s="74">
        <f>SUMIFS(разходи!$L:$L,разходи!$E:$E,'ПП Юни'!$C$35,разходи!$M:$M,'ПП Юни'!U2)</f>
        <v>0</v>
      </c>
      <c r="V35" s="74">
        <f>SUMIFS(разходи!$L:$L,разходи!$E:$E,'ПП Юни'!$C$35,разходи!$M:$M,'ПП Юни'!V2)</f>
        <v>0</v>
      </c>
      <c r="W35" s="74">
        <f>SUMIFS(разходи!$L:$L,разходи!$E:$E,'ПП Юни'!$C$35,разходи!$M:$M,'ПП Юни'!W2)</f>
        <v>0</v>
      </c>
      <c r="X35" s="74">
        <f>SUMIFS(разходи!$L:$L,разходи!$E:$E,'ПП Юни'!$C$35,разходи!$M:$M,'ПП Юни'!X2)</f>
        <v>0</v>
      </c>
      <c r="Y35" s="74">
        <f>SUMIFS(разходи!$L:$L,разходи!$E:$E,'ПП Юни'!$C$35,разходи!$M:$M,'ПП Юни'!Y2)</f>
        <v>0</v>
      </c>
      <c r="Z35" s="76">
        <f>SUMIFS(разходи!$L:$L,разходи!$E:$E,'ПП Юни'!$C$35,разходи!$M:$M,'ПП Юни'!Z2)</f>
        <v>0</v>
      </c>
      <c r="AA35" s="76">
        <f>SUMIFS(разходи!$L:$L,разходи!$E:$E,'ПП Юни'!$C$35,разходи!$M:$M,'ПП Юни'!AA2)</f>
        <v>0</v>
      </c>
      <c r="AB35" s="74">
        <f>SUMIFS(разходи!$L:$L,разходи!$E:$E,'ПП Юни'!$C$35,разходи!$M:$M,'ПП Юни'!AB2)</f>
        <v>0</v>
      </c>
      <c r="AC35" s="74">
        <f>SUMIFS(разходи!$L:$L,разходи!$E:$E,'ПП Юни'!$C$35,разходи!$M:$M,'ПП Юни'!AC2)</f>
        <v>0</v>
      </c>
      <c r="AD35" s="74">
        <f>SUMIFS(разходи!$L:$L,разходи!$E:$E,'ПП Юни'!$C$35,разходи!$M:$M,'ПП Юни'!AD2)</f>
        <v>0</v>
      </c>
      <c r="AE35" s="74">
        <f>SUMIFS(разходи!$L:$L,разходи!$E:$E,'ПП Юни'!$C$35,разходи!$M:$M,'ПП Юни'!AE2)</f>
        <v>0</v>
      </c>
      <c r="AF35" s="74">
        <f>SUMIFS(разходи!$L:$L,разходи!$E:$E,'ПП Юни'!$C$35,разходи!$M:$M,'ПП Юни'!AF2)</f>
        <v>0</v>
      </c>
      <c r="AG35" s="76">
        <f>SUMIFS(разходи!$L:$L,разходи!$E:$E,'ПП Юни'!$C$35,разходи!$M:$M,'ПП Юни'!AG2)</f>
        <v>0</v>
      </c>
      <c r="AH35" s="76">
        <f>SUMIFS(разходи!$L:$L,разходи!$E:$E,'ПП Юни'!$C$35,разходи!$M:$M,'ПП Юни'!AH2)</f>
        <v>0</v>
      </c>
      <c r="AI35" s="61">
        <f t="shared" ref="AI35:AI66" si="15">SUM(E35:AH35)</f>
        <v>316.97999999999996</v>
      </c>
      <c r="AJ35" s="69">
        <f t="shared" ref="AJ35:AJ66" si="16">+D35-AI35</f>
        <v>-316.97999999999996</v>
      </c>
    </row>
    <row r="36" spans="1:36" s="4" customFormat="1" ht="20.100000000000001" customHeight="1" x14ac:dyDescent="0.3">
      <c r="A36" s="9"/>
      <c r="B36" s="7">
        <v>3</v>
      </c>
      <c r="C36" s="10" t="s">
        <v>861</v>
      </c>
      <c r="D36" s="74"/>
      <c r="E36" s="76">
        <f t="shared" ref="E36:AH36" si="17">SUM(E37:E40)</f>
        <v>0</v>
      </c>
      <c r="F36" s="76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4">
        <f t="shared" si="17"/>
        <v>0</v>
      </c>
      <c r="K36" s="74">
        <f t="shared" si="17"/>
        <v>61103.354399999997</v>
      </c>
      <c r="L36" s="76">
        <f t="shared" si="17"/>
        <v>0</v>
      </c>
      <c r="M36" s="76">
        <f t="shared" si="17"/>
        <v>0</v>
      </c>
      <c r="N36" s="74">
        <f t="shared" si="17"/>
        <v>0</v>
      </c>
      <c r="O36" s="74">
        <f t="shared" si="17"/>
        <v>83585.195999999996</v>
      </c>
      <c r="P36" s="74">
        <f t="shared" si="17"/>
        <v>0</v>
      </c>
      <c r="Q36" s="74">
        <f t="shared" si="17"/>
        <v>0</v>
      </c>
      <c r="R36" s="74">
        <f t="shared" si="17"/>
        <v>0</v>
      </c>
      <c r="S36" s="76">
        <f t="shared" si="17"/>
        <v>0</v>
      </c>
      <c r="T36" s="76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4">
        <f t="shared" si="17"/>
        <v>0</v>
      </c>
      <c r="Z36" s="76">
        <f t="shared" si="17"/>
        <v>0</v>
      </c>
      <c r="AA36" s="76">
        <f t="shared" si="17"/>
        <v>0</v>
      </c>
      <c r="AB36" s="74">
        <f t="shared" si="17"/>
        <v>0</v>
      </c>
      <c r="AC36" s="74">
        <f t="shared" si="17"/>
        <v>0</v>
      </c>
      <c r="AD36" s="74">
        <f t="shared" si="17"/>
        <v>0</v>
      </c>
      <c r="AE36" s="74">
        <f t="shared" si="17"/>
        <v>0</v>
      </c>
      <c r="AF36" s="74">
        <f t="shared" si="17"/>
        <v>0</v>
      </c>
      <c r="AG36" s="76">
        <f t="shared" si="17"/>
        <v>0</v>
      </c>
      <c r="AH36" s="76">
        <f t="shared" si="17"/>
        <v>0</v>
      </c>
      <c r="AI36" s="61">
        <f t="shared" si="15"/>
        <v>144688.55040000001</v>
      </c>
      <c r="AJ36" s="62">
        <f t="shared" si="16"/>
        <v>-144688.55040000001</v>
      </c>
    </row>
    <row r="37" spans="1:36" s="21" customFormat="1" ht="20.100000000000001" customHeight="1" outlineLevel="1" x14ac:dyDescent="0.3">
      <c r="A37" s="27"/>
      <c r="B37" s="22"/>
      <c r="C37" s="8" t="s">
        <v>462</v>
      </c>
      <c r="D37" s="80">
        <v>45001.824000000008</v>
      </c>
      <c r="E37" s="76">
        <f>SUMIFS(разходи!$L:$L,разходи!$E:$E,'ПП Юни'!$C$37,разходи!$M:$M,'ПП Юни'!E2)</f>
        <v>0</v>
      </c>
      <c r="F37" s="76">
        <f>SUMIFS(разходи!$L:$L,разходи!$E:$E,'ПП Юни'!$C$37,разходи!$M:$M,'ПП Юни'!F2)</f>
        <v>0</v>
      </c>
      <c r="G37" s="74">
        <f>SUMIFS(разходи!$L:$L,разходи!$E:$E,'ПП Юни'!$C$37,разходи!$M:$M,'ПП Юни'!G2)</f>
        <v>0</v>
      </c>
      <c r="H37" s="74">
        <f>SUMIFS(разходи!$L:$L,разходи!$E:$E,'ПП Юни'!$C$37,разходи!$M:$M,'ПП Юни'!H2)</f>
        <v>0</v>
      </c>
      <c r="I37" s="74">
        <f>SUMIFS(разходи!$L:$L,разходи!$E:$E,'ПП Юни'!$C$37,разходи!$M:$M,'ПП Юни'!I2)</f>
        <v>0</v>
      </c>
      <c r="J37" s="74">
        <f>SUMIFS(разходи!$L:$L,разходи!$E:$E,'ПП Юни'!$C$37,разходи!$M:$M,'ПП Юни'!J2)</f>
        <v>0</v>
      </c>
      <c r="K37" s="74">
        <f>SUMIFS(разходи!$L:$L,разходи!$E:$E,'ПП Юни'!$C$37,разходи!$M:$M,'ПП Юни'!K2)</f>
        <v>61103.354399999997</v>
      </c>
      <c r="L37" s="76">
        <f>SUMIFS(разходи!$L:$L,разходи!$E:$E,'ПП Юни'!$C$37,разходи!$M:$M,'ПП Юни'!L2)</f>
        <v>0</v>
      </c>
      <c r="M37" s="76">
        <f>SUMIFS(разходи!$L:$L,разходи!$E:$E,'ПП Юни'!$C$37,разходи!$M:$M,'ПП Юни'!M2)</f>
        <v>0</v>
      </c>
      <c r="N37" s="74">
        <f>SUMIFS(разходи!$L:$L,разходи!$E:$E,'ПП Юни'!$C$37,разходи!$M:$M,'ПП Юни'!N2)</f>
        <v>0</v>
      </c>
      <c r="O37" s="74">
        <f>SUMIFS(разходи!$L:$L,разходи!$E:$E,'ПП Юни'!$C$37,разходи!$M:$M,'ПП Юни'!O2)</f>
        <v>36358.343999999997</v>
      </c>
      <c r="P37" s="74">
        <f>SUMIFS(разходи!$L:$L,разходи!$E:$E,'ПП Юни'!$C$37,разходи!$M:$M,'ПП Юни'!P2)</f>
        <v>0</v>
      </c>
      <c r="Q37" s="74">
        <f>SUMIFS(разходи!$L:$L,разходи!$E:$E,'ПП Юни'!$C$37,разходи!$M:$M,'ПП Юни'!Q2)</f>
        <v>0</v>
      </c>
      <c r="R37" s="74">
        <f>SUMIFS(разходи!$L:$L,разходи!$E:$E,'ПП Юни'!$C$37,разходи!$M:$M,'ПП Юни'!R2)</f>
        <v>0</v>
      </c>
      <c r="S37" s="76">
        <f>SUMIFS(разходи!$L:$L,разходи!$E:$E,'ПП Юни'!$C$37,разходи!$M:$M,'ПП Юни'!S2)</f>
        <v>0</v>
      </c>
      <c r="T37" s="76">
        <f>SUMIFS(разходи!$L:$L,разходи!$E:$E,'ПП Юни'!$C$37,разходи!$M:$M,'ПП Юни'!T2)</f>
        <v>0</v>
      </c>
      <c r="U37" s="74">
        <f>SUMIFS(разходи!$L:$L,разходи!$E:$E,'ПП Юни'!$C$37,разходи!$M:$M,'ПП Юни'!U2)</f>
        <v>0</v>
      </c>
      <c r="V37" s="74">
        <f>SUMIFS(разходи!$L:$L,разходи!$E:$E,'ПП Юни'!$C$37,разходи!$M:$M,'ПП Юни'!V2)</f>
        <v>0</v>
      </c>
      <c r="W37" s="74">
        <f>SUMIFS(разходи!$L:$L,разходи!$E:$E,'ПП Юни'!$C$37,разходи!$M:$M,'ПП Юни'!W2)</f>
        <v>0</v>
      </c>
      <c r="X37" s="74">
        <f>SUMIFS(разходи!$L:$L,разходи!$E:$E,'ПП Юни'!$C$37,разходи!$M:$M,'ПП Юни'!X2)</f>
        <v>0</v>
      </c>
      <c r="Y37" s="74">
        <f>SUMIFS(разходи!$L:$L,разходи!$E:$E,'ПП Юни'!$C$37,разходи!$M:$M,'ПП Юни'!Y2)</f>
        <v>0</v>
      </c>
      <c r="Z37" s="76">
        <f>SUMIFS(разходи!$L:$L,разходи!$E:$E,'ПП Юни'!$C$37,разходи!$M:$M,'ПП Юни'!Z2)</f>
        <v>0</v>
      </c>
      <c r="AA37" s="76">
        <f>SUMIFS(разходи!$L:$L,разходи!$E:$E,'ПП Юни'!$C$37,разходи!$M:$M,'ПП Юни'!AA2)</f>
        <v>0</v>
      </c>
      <c r="AB37" s="74">
        <f>SUMIFS(разходи!$L:$L,разходи!$E:$E,'ПП Юни'!$C$37,разходи!$M:$M,'ПП Юни'!AB2)</f>
        <v>0</v>
      </c>
      <c r="AC37" s="74">
        <f>SUMIFS(разходи!$L:$L,разходи!$E:$E,'ПП Юни'!$C$37,разходи!$M:$M,'ПП Юни'!AC2)</f>
        <v>0</v>
      </c>
      <c r="AD37" s="74">
        <f>SUMIFS(разходи!$L:$L,разходи!$E:$E,'ПП Юни'!$C$37,разходи!$M:$M,'ПП Юни'!AD2)</f>
        <v>0</v>
      </c>
      <c r="AE37" s="74">
        <f>SUMIFS(разходи!$L:$L,разходи!$E:$E,'ПП Юни'!$C$37,разходи!$M:$M,'ПП Юни'!AE2)</f>
        <v>0</v>
      </c>
      <c r="AF37" s="74">
        <f>SUMIFS(разходи!$L:$L,разходи!$E:$E,'ПП Юни'!$C$37,разходи!$M:$M,'ПП Юни'!AF2)</f>
        <v>0</v>
      </c>
      <c r="AG37" s="76">
        <f>SUMIFS(разходи!$L:$L,разходи!$E:$E,'ПП Юни'!$C$37,разходи!$M:$M,'ПП Юни'!AG2)</f>
        <v>0</v>
      </c>
      <c r="AH37" s="76">
        <f>SUMIFS(разходи!$L:$L,разходи!$E:$E,'ПП Юни'!$C$37,разходи!$M:$M,'ПП Юни'!AH2)</f>
        <v>0</v>
      </c>
      <c r="AI37" s="61">
        <f t="shared" si="15"/>
        <v>97461.698399999994</v>
      </c>
      <c r="AJ37" s="69">
        <f t="shared" si="16"/>
        <v>-52459.874399999986</v>
      </c>
    </row>
    <row r="38" spans="1:36" s="21" customFormat="1" ht="20.100000000000001" customHeight="1" outlineLevel="1" x14ac:dyDescent="0.3">
      <c r="A38" s="27"/>
      <c r="B38" s="22"/>
      <c r="C38" s="8" t="s">
        <v>463</v>
      </c>
      <c r="D38" s="80"/>
      <c r="E38" s="76">
        <f>SUMIFS(разходи!$L:$L,разходи!$E:$E,'ПП Юни'!$C$38,разходи!$M:$M,'ПП Юни'!E2)</f>
        <v>0</v>
      </c>
      <c r="F38" s="76">
        <f>SUMIFS(разходи!$L:$L,разходи!$E:$E,'ПП Юни'!$C$38,разходи!$M:$M,'ПП Юни'!F2)</f>
        <v>0</v>
      </c>
      <c r="G38" s="74">
        <f>SUMIFS(разходи!$L:$L,разходи!$E:$E,'ПП Юни'!$C$38,разходи!$M:$M,'ПП Юни'!G2)</f>
        <v>0</v>
      </c>
      <c r="H38" s="74">
        <f>SUMIFS(разходи!$L:$L,разходи!$E:$E,'ПП Юни'!$C$38,разходи!$M:$M,'ПП Юни'!H2)</f>
        <v>0</v>
      </c>
      <c r="I38" s="74">
        <f>SUMIFS(разходи!$L:$L,разходи!$E:$E,'ПП Юни'!$C$38,разходи!$M:$M,'ПП Юни'!I2)</f>
        <v>0</v>
      </c>
      <c r="J38" s="74">
        <f>SUMIFS(разходи!$L:$L,разходи!$E:$E,'ПП Юни'!$C$38,разходи!$M:$M,'ПП Юни'!J2)</f>
        <v>0</v>
      </c>
      <c r="K38" s="74">
        <f>SUMIFS(разходи!$L:$L,разходи!$E:$E,'ПП Юни'!$C$38,разходи!$M:$M,'ПП Юни'!K2)</f>
        <v>0</v>
      </c>
      <c r="L38" s="76">
        <f>SUMIFS(разходи!$L:$L,разходи!$E:$E,'ПП Юни'!$C$38,разходи!$M:$M,'ПП Юни'!L2)</f>
        <v>0</v>
      </c>
      <c r="M38" s="76">
        <f>SUMIFS(разходи!$L:$L,разходи!$E:$E,'ПП Юни'!$C$38,разходи!$M:$M,'ПП Юни'!M2)</f>
        <v>0</v>
      </c>
      <c r="N38" s="74">
        <f>SUMIFS(разходи!$L:$L,разходи!$E:$E,'ПП Юни'!$C$38,разходи!$M:$M,'ПП Юни'!N2)</f>
        <v>0</v>
      </c>
      <c r="O38" s="74">
        <f>SUMIFS(разходи!$L:$L,разходи!$E:$E,'ПП Юни'!$C$38,разходи!$M:$M,'ПП Юни'!O2)</f>
        <v>51400.139999999992</v>
      </c>
      <c r="P38" s="74">
        <f>SUMIFS(разходи!$L:$L,разходи!$E:$E,'ПП Юни'!$C$38,разходи!$M:$M,'ПП Юни'!P2)</f>
        <v>0</v>
      </c>
      <c r="Q38" s="74">
        <f>SUMIFS(разходи!$L:$L,разходи!$E:$E,'ПП Юни'!$C$38,разходи!$M:$M,'ПП Юни'!Q2)</f>
        <v>0</v>
      </c>
      <c r="R38" s="74">
        <f>SUMIFS(разходи!$L:$L,разходи!$E:$E,'ПП Юни'!$C$38,разходи!$M:$M,'ПП Юни'!R2)</f>
        <v>0</v>
      </c>
      <c r="S38" s="76">
        <f>SUMIFS(разходи!$L:$L,разходи!$E:$E,'ПП Юни'!$C$38,разходи!$M:$M,'ПП Юни'!S2)</f>
        <v>0</v>
      </c>
      <c r="T38" s="76">
        <f>SUMIFS(разходи!$L:$L,разходи!$E:$E,'ПП Юни'!$C$38,разходи!$M:$M,'ПП Юни'!T2)</f>
        <v>0</v>
      </c>
      <c r="U38" s="74">
        <f>SUMIFS(разходи!$L:$L,разходи!$E:$E,'ПП Юни'!$C$38,разходи!$M:$M,'ПП Юни'!U2)</f>
        <v>0</v>
      </c>
      <c r="V38" s="74">
        <f>SUMIFS(разходи!$L:$L,разходи!$E:$E,'ПП Юни'!$C$38,разходи!$M:$M,'ПП Юни'!V2)</f>
        <v>0</v>
      </c>
      <c r="W38" s="74">
        <f>SUMIFS(разходи!$L:$L,разходи!$E:$E,'ПП Юни'!$C$38,разходи!$M:$M,'ПП Юни'!W2)</f>
        <v>0</v>
      </c>
      <c r="X38" s="74">
        <f>SUMIFS(разходи!$L:$L,разходи!$E:$E,'ПП Юни'!$C$38,разходи!$M:$M,'ПП Юни'!X2)</f>
        <v>0</v>
      </c>
      <c r="Y38" s="74">
        <f>SUMIFS(разходи!$L:$L,разходи!$E:$E,'ПП Юни'!$C$38,разходи!$M:$M,'ПП Юни'!Y2)</f>
        <v>0</v>
      </c>
      <c r="Z38" s="76">
        <f>SUMIFS(разходи!$L:$L,разходи!$E:$E,'ПП Юни'!$C$38,разходи!$M:$M,'ПП Юни'!Z2)</f>
        <v>0</v>
      </c>
      <c r="AA38" s="76">
        <f>SUMIFS(разходи!$L:$L,разходи!$E:$E,'ПП Юни'!$C$38,разходи!$M:$M,'ПП Юни'!AA2)</f>
        <v>0</v>
      </c>
      <c r="AB38" s="74">
        <f>SUMIFS(разходи!$L:$L,разходи!$E:$E,'ПП Юни'!$C$38,разходи!$M:$M,'ПП Юни'!AB2)</f>
        <v>0</v>
      </c>
      <c r="AC38" s="74">
        <f>SUMIFS(разходи!$L:$L,разходи!$E:$E,'ПП Юни'!$C$38,разходи!$M:$M,'ПП Юни'!AC2)</f>
        <v>0</v>
      </c>
      <c r="AD38" s="74">
        <f>SUMIFS(разходи!$L:$L,разходи!$E:$E,'ПП Юни'!$C$38,разходи!$M:$M,'ПП Юни'!AD2)</f>
        <v>0</v>
      </c>
      <c r="AE38" s="74">
        <f>SUMIFS(разходи!$L:$L,разходи!$E:$E,'ПП Юни'!$C$38,разходи!$M:$M,'ПП Юни'!AE2)</f>
        <v>0</v>
      </c>
      <c r="AF38" s="74">
        <f>SUMIFS(разходи!$L:$L,разходи!$E:$E,'ПП Юни'!$C$38,разходи!$M:$M,'ПП Юни'!AF2)</f>
        <v>0</v>
      </c>
      <c r="AG38" s="76">
        <f>SUMIFS(разходи!$L:$L,разходи!$E:$E,'ПП Юни'!$C$38,разходи!$M:$M,'ПП Юни'!AG2)</f>
        <v>0</v>
      </c>
      <c r="AH38" s="76">
        <f>SUMIFS(разходи!$L:$L,разходи!$E:$E,'ПП Юни'!$C$38,разходи!$M:$M,'ПП Юни'!AH2)</f>
        <v>0</v>
      </c>
      <c r="AI38" s="61">
        <f t="shared" si="15"/>
        <v>51400.139999999992</v>
      </c>
      <c r="AJ38" s="69">
        <f t="shared" si="16"/>
        <v>-51400.139999999992</v>
      </c>
    </row>
    <row r="39" spans="1:36" s="21" customFormat="1" ht="20.100000000000001" customHeight="1" outlineLevel="1" x14ac:dyDescent="0.3">
      <c r="A39" s="27"/>
      <c r="B39" s="22"/>
      <c r="C39" s="8" t="s">
        <v>464</v>
      </c>
      <c r="D39" s="80"/>
      <c r="E39" s="76">
        <f>SUMIFS(разходи!$L:$L,разходи!$E:$E,'ПП Юни'!$C$39,разходи!$M:$M,'ПП Юни'!E2)</f>
        <v>0</v>
      </c>
      <c r="F39" s="76">
        <f>SUMIFS(разходи!$L:$L,разходи!$E:$E,'ПП Юни'!$C$39,разходи!$M:$M,'ПП Юни'!F2)</f>
        <v>0</v>
      </c>
      <c r="G39" s="74">
        <f>SUMIFS(разходи!$L:$L,разходи!$E:$E,'ПП Юни'!$C$39,разходи!$M:$M,'ПП Юни'!G2)</f>
        <v>0</v>
      </c>
      <c r="H39" s="74">
        <f>SUMIFS(разходи!$L:$L,разходи!$E:$E,'ПП Юни'!$C$39,разходи!$M:$M,'ПП Юни'!H2)</f>
        <v>0</v>
      </c>
      <c r="I39" s="74">
        <f>SUMIFS(разходи!$L:$L,разходи!$E:$E,'ПП Юни'!$C$39,разходи!$M:$M,'ПП Юни'!I2)</f>
        <v>0</v>
      </c>
      <c r="J39" s="74">
        <f>SUMIFS(разходи!$L:$L,разходи!$E:$E,'ПП Юни'!$C$39,разходи!$M:$M,'ПП Юни'!J2)</f>
        <v>0</v>
      </c>
      <c r="K39" s="74">
        <f>SUMIFS(разходи!$L:$L,разходи!$E:$E,'ПП Юни'!$C$39,разходи!$M:$M,'ПП Юни'!K2)</f>
        <v>0</v>
      </c>
      <c r="L39" s="76">
        <f>SUMIFS(разходи!$L:$L,разходи!$E:$E,'ПП Юни'!$C$39,разходи!$M:$M,'ПП Юни'!L2)</f>
        <v>0</v>
      </c>
      <c r="M39" s="76">
        <f>SUMIFS(разходи!$L:$L,разходи!$E:$E,'ПП Юни'!$C$39,разходи!$M:$M,'ПП Юни'!M2)</f>
        <v>0</v>
      </c>
      <c r="N39" s="74">
        <f>SUMIFS(разходи!$L:$L,разходи!$E:$E,'ПП Юни'!$C$39,разходи!$M:$M,'ПП Юни'!N2)</f>
        <v>0</v>
      </c>
      <c r="O39" s="74">
        <f>SUMIFS(разходи!$L:$L,разходи!$E:$E,'ПП Юни'!$C$39,разходи!$M:$M,'ПП Юни'!O2)</f>
        <v>1977.768</v>
      </c>
      <c r="P39" s="74">
        <f>SUMIFS(разходи!$L:$L,разходи!$E:$E,'ПП Юни'!$C$39,разходи!$M:$M,'ПП Юни'!P2)</f>
        <v>0</v>
      </c>
      <c r="Q39" s="74">
        <f>SUMIFS(разходи!$L:$L,разходи!$E:$E,'ПП Юни'!$C$39,разходи!$M:$M,'ПП Юни'!Q2)</f>
        <v>0</v>
      </c>
      <c r="R39" s="74">
        <f>SUMIFS(разходи!$L:$L,разходи!$E:$E,'ПП Юни'!$C$39,разходи!$M:$M,'ПП Юни'!R2)</f>
        <v>0</v>
      </c>
      <c r="S39" s="76">
        <f>SUMIFS(разходи!$L:$L,разходи!$E:$E,'ПП Юни'!$C$39,разходи!$M:$M,'ПП Юни'!S2)</f>
        <v>0</v>
      </c>
      <c r="T39" s="76">
        <f>SUMIFS(разходи!$L:$L,разходи!$E:$E,'ПП Юни'!$C$39,разходи!$M:$M,'ПП Юни'!T2)</f>
        <v>0</v>
      </c>
      <c r="U39" s="74">
        <f>SUMIFS(разходи!$L:$L,разходи!$E:$E,'ПП Юни'!$C$39,разходи!$M:$M,'ПП Юни'!U2)</f>
        <v>0</v>
      </c>
      <c r="V39" s="74">
        <f>SUMIFS(разходи!$L:$L,разходи!$E:$E,'ПП Юни'!$C$39,разходи!$M:$M,'ПП Юни'!V2)</f>
        <v>0</v>
      </c>
      <c r="W39" s="74">
        <f>SUMIFS(разходи!$L:$L,разходи!$E:$E,'ПП Юни'!$C$39,разходи!$M:$M,'ПП Юни'!W2)</f>
        <v>0</v>
      </c>
      <c r="X39" s="74">
        <f>SUMIFS(разходи!$L:$L,разходи!$E:$E,'ПП Юни'!$C$39,разходи!$M:$M,'ПП Юни'!X2)</f>
        <v>0</v>
      </c>
      <c r="Y39" s="74">
        <f>SUMIFS(разходи!$L:$L,разходи!$E:$E,'ПП Юни'!$C$39,разходи!$M:$M,'ПП Юни'!Y2)</f>
        <v>0</v>
      </c>
      <c r="Z39" s="76">
        <f>SUMIFS(разходи!$L:$L,разходи!$E:$E,'ПП Юни'!$C$39,разходи!$M:$M,'ПП Юни'!Z2)</f>
        <v>0</v>
      </c>
      <c r="AA39" s="76">
        <f>SUMIFS(разходи!$L:$L,разходи!$E:$E,'ПП Юни'!$C$39,разходи!$M:$M,'ПП Юни'!AA2)</f>
        <v>0</v>
      </c>
      <c r="AB39" s="74">
        <f>SUMIFS(разходи!$L:$L,разходи!$E:$E,'ПП Юни'!$C$39,разходи!$M:$M,'ПП Юни'!AB2)</f>
        <v>0</v>
      </c>
      <c r="AC39" s="74">
        <f>SUMIFS(разходи!$L:$L,разходи!$E:$E,'ПП Юни'!$C$39,разходи!$M:$M,'ПП Юни'!AC2)</f>
        <v>0</v>
      </c>
      <c r="AD39" s="74">
        <f>SUMIFS(разходи!$L:$L,разходи!$E:$E,'ПП Юни'!$C$39,разходи!$M:$M,'ПП Юни'!AD2)</f>
        <v>0</v>
      </c>
      <c r="AE39" s="74">
        <f>SUMIFS(разходи!$L:$L,разходи!$E:$E,'ПП Юни'!$C$39,разходи!$M:$M,'ПП Юни'!AE2)</f>
        <v>0</v>
      </c>
      <c r="AF39" s="74">
        <f>SUMIFS(разходи!$L:$L,разходи!$E:$E,'ПП Юни'!$C$39,разходи!$M:$M,'ПП Юни'!AF2)</f>
        <v>0</v>
      </c>
      <c r="AG39" s="76">
        <f>SUMIFS(разходи!$L:$L,разходи!$E:$E,'ПП Юни'!$C$39,разходи!$M:$M,'ПП Юни'!AG2)</f>
        <v>0</v>
      </c>
      <c r="AH39" s="76">
        <f>SUMIFS(разходи!$L:$L,разходи!$E:$E,'ПП Юни'!$C$39,разходи!$M:$M,'ПП Юни'!AH2)</f>
        <v>0</v>
      </c>
      <c r="AI39" s="61">
        <f t="shared" si="15"/>
        <v>1977.768</v>
      </c>
      <c r="AJ39" s="69">
        <f t="shared" si="16"/>
        <v>-1977.768</v>
      </c>
    </row>
    <row r="40" spans="1:36" s="21" customFormat="1" ht="20.100000000000001" customHeight="1" outlineLevel="1" x14ac:dyDescent="0.3">
      <c r="A40" s="27"/>
      <c r="B40" s="22"/>
      <c r="C40" s="8" t="s">
        <v>465</v>
      </c>
      <c r="D40" s="80"/>
      <c r="E40" s="76">
        <f>SUMIFS(разходи!$L:$L,разходи!$E:$E,'ПП Юни'!$C$40,разходи!$M:$M,'ПП Юни'!E2)</f>
        <v>0</v>
      </c>
      <c r="F40" s="76">
        <f>SUMIFS(разходи!$L:$L,разходи!$E:$E,'ПП Юни'!$C$40,разходи!$M:$M,'ПП Юни'!F2)</f>
        <v>0</v>
      </c>
      <c r="G40" s="74">
        <f>SUMIFS(разходи!$L:$L,разходи!$E:$E,'ПП Юни'!$C$40,разходи!$M:$M,'ПП Юни'!G2)</f>
        <v>0</v>
      </c>
      <c r="H40" s="74">
        <f>SUMIFS(разходи!$L:$L,разходи!$E:$E,'ПП Юни'!$C$40,разходи!$M:$M,'ПП Юни'!H2)</f>
        <v>0</v>
      </c>
      <c r="I40" s="74">
        <f>SUMIFS(разходи!$L:$L,разходи!$E:$E,'ПП Юни'!$C$40,разходи!$M:$M,'ПП Юни'!I2)</f>
        <v>0</v>
      </c>
      <c r="J40" s="74">
        <f>SUMIFS(разходи!$L:$L,разходи!$E:$E,'ПП Юни'!$C$40,разходи!$M:$M,'ПП Юни'!J2)</f>
        <v>0</v>
      </c>
      <c r="K40" s="74">
        <f>SUMIFS(разходи!$L:$L,разходи!$E:$E,'ПП Юни'!$C$40,разходи!$M:$M,'ПП Юни'!K2)</f>
        <v>0</v>
      </c>
      <c r="L40" s="76">
        <f>SUMIFS(разходи!$L:$L,разходи!$E:$E,'ПП Юни'!$C$40,разходи!$M:$M,'ПП Юни'!L2)</f>
        <v>0</v>
      </c>
      <c r="M40" s="76">
        <f>SUMIFS(разходи!$L:$L,разходи!$E:$E,'ПП Юни'!$C$40,разходи!$M:$M,'ПП Юни'!M2)</f>
        <v>0</v>
      </c>
      <c r="N40" s="74">
        <f>SUMIFS(разходи!$L:$L,разходи!$E:$E,'ПП Юни'!$C$40,разходи!$M:$M,'ПП Юни'!N2)</f>
        <v>0</v>
      </c>
      <c r="O40" s="74">
        <f>SUMIFS(разходи!$L:$L,разходи!$E:$E,'ПП Юни'!$C$40,разходи!$M:$M,'ПП Юни'!O2)</f>
        <v>-6151.0559999999996</v>
      </c>
      <c r="P40" s="74">
        <f>SUMIFS(разходи!$L:$L,разходи!$E:$E,'ПП Юни'!$C$40,разходи!$M:$M,'ПП Юни'!P2)</f>
        <v>0</v>
      </c>
      <c r="Q40" s="74">
        <f>SUMIFS(разходи!$L:$L,разходи!$E:$E,'ПП Юни'!$C$40,разходи!$M:$M,'ПП Юни'!Q2)</f>
        <v>0</v>
      </c>
      <c r="R40" s="74">
        <f>SUMIFS(разходи!$L:$L,разходи!$E:$E,'ПП Юни'!$C$40,разходи!$M:$M,'ПП Юни'!R2)</f>
        <v>0</v>
      </c>
      <c r="S40" s="76">
        <f>SUMIFS(разходи!$L:$L,разходи!$E:$E,'ПП Юни'!$C$40,разходи!$M:$M,'ПП Юни'!S2)</f>
        <v>0</v>
      </c>
      <c r="T40" s="76">
        <f>SUMIFS(разходи!$L:$L,разходи!$E:$E,'ПП Юни'!$C$40,разходи!$M:$M,'ПП Юни'!T2)</f>
        <v>0</v>
      </c>
      <c r="U40" s="74">
        <f>SUMIFS(разходи!$L:$L,разходи!$E:$E,'ПП Юни'!$C$40,разходи!$M:$M,'ПП Юни'!U2)</f>
        <v>0</v>
      </c>
      <c r="V40" s="74">
        <f>SUMIFS(разходи!$L:$L,разходи!$E:$E,'ПП Юни'!$C$40,разходи!$M:$M,'ПП Юни'!V2)</f>
        <v>0</v>
      </c>
      <c r="W40" s="74">
        <f>SUMIFS(разходи!$L:$L,разходи!$E:$E,'ПП Юни'!$C$40,разходи!$M:$M,'ПП Юни'!W2)</f>
        <v>0</v>
      </c>
      <c r="X40" s="74">
        <f>SUMIFS(разходи!$L:$L,разходи!$E:$E,'ПП Юни'!$C$40,разходи!$M:$M,'ПП Юни'!X2)</f>
        <v>0</v>
      </c>
      <c r="Y40" s="74">
        <f>SUMIFS(разходи!$L:$L,разходи!$E:$E,'ПП Юни'!$C$40,разходи!$M:$M,'ПП Юни'!Y2)</f>
        <v>0</v>
      </c>
      <c r="Z40" s="76">
        <f>SUMIFS(разходи!$L:$L,разходи!$E:$E,'ПП Юни'!$C$40,разходи!$M:$M,'ПП Юни'!Z2)</f>
        <v>0</v>
      </c>
      <c r="AA40" s="76">
        <f>SUMIFS(разходи!$L:$L,разходи!$E:$E,'ПП Юни'!$C$40,разходи!$M:$M,'ПП Юни'!AA2)</f>
        <v>0</v>
      </c>
      <c r="AB40" s="74">
        <f>SUMIFS(разходи!$L:$L,разходи!$E:$E,'ПП Юни'!$C$40,разходи!$M:$M,'ПП Юни'!AB2)</f>
        <v>0</v>
      </c>
      <c r="AC40" s="74">
        <f>SUMIFS(разходи!$L:$L,разходи!$E:$E,'ПП Юни'!$C$40,разходи!$M:$M,'ПП Юни'!AC2)</f>
        <v>0</v>
      </c>
      <c r="AD40" s="74">
        <f>SUMIFS(разходи!$L:$L,разходи!$E:$E,'ПП Юни'!$C$40,разходи!$M:$M,'ПП Юни'!AD2)</f>
        <v>0</v>
      </c>
      <c r="AE40" s="74">
        <f>SUMIFS(разходи!$L:$L,разходи!$E:$E,'ПП Юни'!$C$40,разходи!$M:$M,'ПП Юни'!AE2)</f>
        <v>0</v>
      </c>
      <c r="AF40" s="74">
        <f>SUMIFS(разходи!$L:$L,разходи!$E:$E,'ПП Юни'!$C$40,разходи!$M:$M,'ПП Юни'!AF2)</f>
        <v>0</v>
      </c>
      <c r="AG40" s="76">
        <f>SUMIFS(разходи!$L:$L,разходи!$E:$E,'ПП Юни'!$C$40,разходи!$M:$M,'ПП Юни'!AG2)</f>
        <v>0</v>
      </c>
      <c r="AH40" s="76">
        <f>SUMIFS(разходи!$L:$L,разходи!$E:$E,'ПП Юни'!$C$40,разходи!$M:$M,'ПП Юни'!AH2)</f>
        <v>0</v>
      </c>
      <c r="AI40" s="61">
        <f t="shared" si="15"/>
        <v>-6151.0559999999996</v>
      </c>
      <c r="AJ40" s="69">
        <f t="shared" si="16"/>
        <v>6151.0559999999996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>
        <v>345338.51520000002</v>
      </c>
      <c r="E41" s="76">
        <f>SUMIFS(разходи!$L:$L,разходи!$E:$E,'ПП Юни'!$C$41,разходи!$M:$M,'ПП Юни'!E2)</f>
        <v>0</v>
      </c>
      <c r="F41" s="76">
        <f>SUMIFS(разходи!$L:$L,разходи!$E:$E,'ПП Юни'!$C$41,разходи!$M:$M,'ПП Юни'!F2)</f>
        <v>0</v>
      </c>
      <c r="G41" s="74">
        <f>SUMIFS(разходи!$L:$L,разходи!$E:$E,'ПП Юни'!$C$41,разходи!$M:$M,'ПП Юни'!G2)</f>
        <v>0</v>
      </c>
      <c r="H41" s="74">
        <f>SUMIFS(разходи!$L:$L,разходи!$E:$E,'ПП Юни'!$C$41,разходи!$M:$M,'ПП Юни'!H2)</f>
        <v>0</v>
      </c>
      <c r="I41" s="74">
        <f>SUMIFS(разходи!$L:$L,разходи!$E:$E,'ПП Юни'!$C$41,разходи!$M:$M,'ПП Юни'!I2)</f>
        <v>0</v>
      </c>
      <c r="J41" s="74">
        <f>SUMIFS(разходи!$L:$L,разходи!$E:$E,'ПП Юни'!$C$41,разходи!$M:$M,'ПП Юни'!J2)</f>
        <v>0</v>
      </c>
      <c r="K41" s="74">
        <f>SUMIFS(разходи!$L:$L,разходи!$E:$E,'ПП Юни'!$C$41,разходи!$M:$M,'ПП Юни'!K2)</f>
        <v>177190.13999999998</v>
      </c>
      <c r="L41" s="76">
        <f>SUMIFS(разходи!$L:$L,разходи!$E:$E,'ПП Юни'!$C$41,разходи!$M:$M,'ПП Юни'!L2)</f>
        <v>0</v>
      </c>
      <c r="M41" s="76">
        <f>SUMIFS(разходи!$L:$L,разходи!$E:$E,'ПП Юни'!$C$41,разходи!$M:$M,'ПП Юни'!M2)</f>
        <v>0</v>
      </c>
      <c r="N41" s="74">
        <f>SUMIFS(разходи!$L:$L,разходи!$E:$E,'ПП Юни'!$C$41,разходи!$M:$M,'ПП Юни'!N2)</f>
        <v>0</v>
      </c>
      <c r="O41" s="74">
        <f>SUMIFS(разходи!$L:$L,разходи!$E:$E,'ПП Юни'!$C$41,разходи!$M:$M,'ПП Юни'!O2)</f>
        <v>0</v>
      </c>
      <c r="P41" s="74">
        <f>SUMIFS(разходи!$L:$L,разходи!$E:$E,'ПП Юни'!$C$41,разходи!$M:$M,'ПП Юни'!P2)</f>
        <v>0</v>
      </c>
      <c r="Q41" s="74">
        <f>SUMIFS(разходи!$L:$L,разходи!$E:$E,'ПП Юни'!$C$41,разходи!$M:$M,'ПП Юни'!Q2)</f>
        <v>0</v>
      </c>
      <c r="R41" s="74">
        <f>SUMIFS(разходи!$L:$L,разходи!$E:$E,'ПП Юни'!$C$41,разходи!$M:$M,'ПП Юни'!R2)</f>
        <v>0</v>
      </c>
      <c r="S41" s="76">
        <f>SUMIFS(разходи!$L:$L,разходи!$E:$E,'ПП Юни'!$C$41,разходи!$M:$M,'ПП Юни'!S2)</f>
        <v>0</v>
      </c>
      <c r="T41" s="76">
        <f>SUMIFS(разходи!$L:$L,разходи!$E:$E,'ПП Юни'!$C$41,разходи!$M:$M,'ПП Юни'!T2)</f>
        <v>0</v>
      </c>
      <c r="U41" s="74">
        <f>SUMIFS(разходи!$L:$L,разходи!$E:$E,'ПП Юни'!$C$41,разходи!$M:$M,'ПП Юни'!U2)</f>
        <v>0</v>
      </c>
      <c r="V41" s="74">
        <f>SUMIFS(разходи!$L:$L,разходи!$E:$E,'ПП Юни'!$C$41,разходи!$M:$M,'ПП Юни'!V2)</f>
        <v>0</v>
      </c>
      <c r="W41" s="74">
        <f>SUMIFS(разходи!$L:$L,разходи!$E:$E,'ПП Юни'!$C$41,разходи!$M:$M,'ПП Юни'!W2)</f>
        <v>0</v>
      </c>
      <c r="X41" s="74">
        <f>SUMIFS(разходи!$L:$L,разходи!$E:$E,'ПП Юни'!$C$41,разходи!$M:$M,'ПП Юни'!X2)</f>
        <v>0</v>
      </c>
      <c r="Y41" s="74">
        <f>SUMIFS(разходи!$L:$L,разходи!$E:$E,'ПП Юни'!$C$41,разходи!$M:$M,'ПП Юни'!Y2)</f>
        <v>0</v>
      </c>
      <c r="Z41" s="76">
        <f>SUMIFS(разходи!$L:$L,разходи!$E:$E,'ПП Юни'!$C$41,разходи!$M:$M,'ПП Юни'!Z2)</f>
        <v>0</v>
      </c>
      <c r="AA41" s="76">
        <f>SUMIFS(разходи!$L:$L,разходи!$E:$E,'ПП Юни'!$C$41,разходи!$M:$M,'ПП Юни'!AA2)</f>
        <v>0</v>
      </c>
      <c r="AB41" s="74">
        <f>SUMIFS(разходи!$L:$L,разходи!$E:$E,'ПП Юни'!$C$41,разходи!$M:$M,'ПП Юни'!AB2)</f>
        <v>0</v>
      </c>
      <c r="AC41" s="74">
        <f>SUMIFS(разходи!$L:$L,разходи!$E:$E,'ПП Юни'!$C$41,разходи!$M:$M,'ПП Юни'!AC2)</f>
        <v>0</v>
      </c>
      <c r="AD41" s="74">
        <f>SUMIFS(разходи!$L:$L,разходи!$E:$E,'ПП Юни'!$C$41,разходи!$M:$M,'ПП Юни'!AD2)</f>
        <v>0</v>
      </c>
      <c r="AE41" s="74">
        <f>SUMIFS(разходи!$L:$L,разходи!$E:$E,'ПП Юни'!$C$41,разходи!$M:$M,'ПП Юни'!AE2)</f>
        <v>0</v>
      </c>
      <c r="AF41" s="74">
        <f>SUMIFS(разходи!$L:$L,разходи!$E:$E,'ПП Юни'!$C$41,разходи!$M:$M,'ПП Юни'!AF2)</f>
        <v>0</v>
      </c>
      <c r="AG41" s="76">
        <f>SUMIFS(разходи!$L:$L,разходи!$E:$E,'ПП Юни'!$C$41,разходи!$M:$M,'ПП Юни'!AG2)</f>
        <v>0</v>
      </c>
      <c r="AH41" s="76">
        <f>SUMIFS(разходи!$L:$L,разходи!$E:$E,'ПП Юни'!$C$41,разходи!$M:$M,'ПП Юни'!AH2)</f>
        <v>0</v>
      </c>
      <c r="AI41" s="61">
        <f t="shared" si="15"/>
        <v>177190.13999999998</v>
      </c>
      <c r="AJ41" s="69">
        <f t="shared" si="16"/>
        <v>168148.37520000004</v>
      </c>
    </row>
    <row r="42" spans="1:36" s="4" customFormat="1" ht="20.100000000000001" customHeight="1" x14ac:dyDescent="0.3">
      <c r="A42" s="9"/>
      <c r="B42" s="7">
        <v>5</v>
      </c>
      <c r="C42" s="8" t="s">
        <v>862</v>
      </c>
      <c r="D42" s="74">
        <f>SUM(D43:D65)</f>
        <v>66101.34</v>
      </c>
      <c r="E42" s="76">
        <f t="shared" ref="E42:AH42" si="18">+E43+E48+E53+E56+E62</f>
        <v>0</v>
      </c>
      <c r="F42" s="76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1619.4831909999998</v>
      </c>
      <c r="J42" s="74">
        <f t="shared" si="18"/>
        <v>12069.672</v>
      </c>
      <c r="K42" s="74">
        <f t="shared" si="18"/>
        <v>0</v>
      </c>
      <c r="L42" s="76">
        <f t="shared" si="18"/>
        <v>0</v>
      </c>
      <c r="M42" s="76">
        <f t="shared" si="18"/>
        <v>0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4">
        <f t="shared" si="18"/>
        <v>0</v>
      </c>
      <c r="R42" s="74">
        <f t="shared" si="18"/>
        <v>0</v>
      </c>
      <c r="S42" s="76">
        <f t="shared" si="18"/>
        <v>0</v>
      </c>
      <c r="T42" s="76">
        <f t="shared" si="18"/>
        <v>0</v>
      </c>
      <c r="U42" s="74">
        <f t="shared" si="18"/>
        <v>303.36</v>
      </c>
      <c r="V42" s="74">
        <f t="shared" si="18"/>
        <v>399.26126699999998</v>
      </c>
      <c r="W42" s="74">
        <f t="shared" si="18"/>
        <v>0</v>
      </c>
      <c r="X42" s="74">
        <f t="shared" si="18"/>
        <v>372.75</v>
      </c>
      <c r="Y42" s="74">
        <f t="shared" si="18"/>
        <v>14453.759999999998</v>
      </c>
      <c r="Z42" s="76">
        <f t="shared" si="18"/>
        <v>0</v>
      </c>
      <c r="AA42" s="76">
        <f t="shared" si="18"/>
        <v>0</v>
      </c>
      <c r="AB42" s="74">
        <f t="shared" si="18"/>
        <v>0</v>
      </c>
      <c r="AC42" s="74">
        <f t="shared" si="18"/>
        <v>0</v>
      </c>
      <c r="AD42" s="74">
        <f t="shared" si="18"/>
        <v>0</v>
      </c>
      <c r="AE42" s="74">
        <f t="shared" si="18"/>
        <v>560.26800000000003</v>
      </c>
      <c r="AF42" s="74">
        <f t="shared" si="18"/>
        <v>21</v>
      </c>
      <c r="AG42" s="76">
        <f t="shared" si="18"/>
        <v>0</v>
      </c>
      <c r="AH42" s="76">
        <f t="shared" si="18"/>
        <v>0</v>
      </c>
      <c r="AI42" s="61">
        <f t="shared" si="15"/>
        <v>29799.554457999999</v>
      </c>
      <c r="AJ42" s="62">
        <f t="shared" si="16"/>
        <v>36301.785541999998</v>
      </c>
    </row>
    <row r="43" spans="1:36" s="21" customFormat="1" ht="20.100000000000001" customHeight="1" outlineLevel="1" x14ac:dyDescent="0.3">
      <c r="A43" s="27"/>
      <c r="B43" s="22"/>
      <c r="C43" s="8" t="s">
        <v>863</v>
      </c>
      <c r="D43" s="80"/>
      <c r="E43" s="76">
        <f t="shared" ref="E43:AH43" si="19">SUM(E44:E47)</f>
        <v>0</v>
      </c>
      <c r="F43" s="76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403.97399999999999</v>
      </c>
      <c r="J43" s="74">
        <f t="shared" si="19"/>
        <v>0</v>
      </c>
      <c r="K43" s="74">
        <f t="shared" si="19"/>
        <v>0</v>
      </c>
      <c r="L43" s="76">
        <f t="shared" si="19"/>
        <v>0</v>
      </c>
      <c r="M43" s="76">
        <f t="shared" si="19"/>
        <v>0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4">
        <f t="shared" si="19"/>
        <v>0</v>
      </c>
      <c r="R43" s="74">
        <f t="shared" si="19"/>
        <v>0</v>
      </c>
      <c r="S43" s="76">
        <f t="shared" si="19"/>
        <v>0</v>
      </c>
      <c r="T43" s="76">
        <f t="shared" si="19"/>
        <v>0</v>
      </c>
      <c r="U43" s="74">
        <f t="shared" si="19"/>
        <v>303.36</v>
      </c>
      <c r="V43" s="74">
        <f t="shared" si="19"/>
        <v>399.26126699999998</v>
      </c>
      <c r="W43" s="74">
        <f t="shared" si="19"/>
        <v>0</v>
      </c>
      <c r="X43" s="74">
        <f t="shared" si="19"/>
        <v>0</v>
      </c>
      <c r="Y43" s="74">
        <f t="shared" si="19"/>
        <v>0</v>
      </c>
      <c r="Z43" s="76">
        <f t="shared" si="19"/>
        <v>0</v>
      </c>
      <c r="AA43" s="76">
        <f t="shared" si="19"/>
        <v>0</v>
      </c>
      <c r="AB43" s="74">
        <f t="shared" si="19"/>
        <v>0</v>
      </c>
      <c r="AC43" s="74">
        <f t="shared" si="19"/>
        <v>0</v>
      </c>
      <c r="AD43" s="74">
        <f t="shared" si="19"/>
        <v>0</v>
      </c>
      <c r="AE43" s="74">
        <f t="shared" si="19"/>
        <v>560.26800000000003</v>
      </c>
      <c r="AF43" s="74">
        <f t="shared" si="19"/>
        <v>21</v>
      </c>
      <c r="AG43" s="76">
        <f t="shared" si="19"/>
        <v>0</v>
      </c>
      <c r="AH43" s="76">
        <f t="shared" si="19"/>
        <v>0</v>
      </c>
      <c r="AI43" s="61">
        <f t="shared" si="15"/>
        <v>1687.8632670000002</v>
      </c>
      <c r="AJ43" s="69">
        <f t="shared" si="16"/>
        <v>-1687.8632670000002</v>
      </c>
    </row>
    <row r="44" spans="1:36" s="21" customFormat="1" ht="20.100000000000001" customHeight="1" outlineLevel="2" x14ac:dyDescent="0.3">
      <c r="A44" s="27"/>
      <c r="B44" s="22"/>
      <c r="C44" s="49" t="s">
        <v>422</v>
      </c>
      <c r="D44" s="80">
        <v>16901.34</v>
      </c>
      <c r="E44" s="76">
        <f>SUMIFS(разходи!$L:$L,разходи!$E:$E,'ПП Юни'!$C$44,разходи!$M:$M,'ПП Юни'!E2)</f>
        <v>0</v>
      </c>
      <c r="F44" s="76">
        <f>SUMIFS(разходи!$L:$L,разходи!$E:$E,'ПП Юни'!$C$44,разходи!$M:$M,'ПП Юни'!F2)</f>
        <v>0</v>
      </c>
      <c r="G44" s="74">
        <f>SUMIFS(разходи!$L:$L,разходи!$E:$E,'ПП Юни'!$C$44,разходи!$M:$M,'ПП Юни'!G2)</f>
        <v>0</v>
      </c>
      <c r="H44" s="74">
        <f>SUMIFS(разходи!$L:$L,разходи!$E:$E,'ПП Юни'!$C$44,разходи!$M:$M,'ПП Юни'!H2)</f>
        <v>0</v>
      </c>
      <c r="I44" s="74">
        <f>SUMIFS(разходи!$L:$L,разходи!$E:$E,'ПП Юни'!$C$44,разходи!$M:$M,'ПП Юни'!I2)</f>
        <v>403.97399999999999</v>
      </c>
      <c r="J44" s="74">
        <f>SUMIFS(разходи!$L:$L,разходи!$E:$E,'ПП Юни'!$C$44,разходи!$M:$M,'ПП Юни'!J2)</f>
        <v>0</v>
      </c>
      <c r="K44" s="74">
        <f>SUMIFS(разходи!$L:$L,разходи!$E:$E,'ПП Юни'!$C$44,разходи!$M:$M,'ПП Юни'!K2)</f>
        <v>0</v>
      </c>
      <c r="L44" s="76">
        <f>SUMIFS(разходи!$L:$L,разходи!$E:$E,'ПП Юни'!$C$44,разходи!$M:$M,'ПП Юни'!L2)</f>
        <v>0</v>
      </c>
      <c r="M44" s="76">
        <f>SUMIFS(разходи!$L:$L,разходи!$E:$E,'ПП Юни'!$C$44,разходи!$M:$M,'ПП Юни'!M2)</f>
        <v>0</v>
      </c>
      <c r="N44" s="74">
        <f>SUMIFS(разходи!$L:$L,разходи!$E:$E,'ПП Юни'!$C$44,разходи!$M:$M,'ПП Юни'!N2)</f>
        <v>0</v>
      </c>
      <c r="O44" s="74">
        <f>SUMIFS(разходи!$L:$L,разходи!$E:$E,'ПП Юни'!$C$44,разходи!$M:$M,'ПП Юни'!O2)</f>
        <v>0</v>
      </c>
      <c r="P44" s="74">
        <f>SUMIFS(разходи!$L:$L,разходи!$E:$E,'ПП Юни'!$C$44,разходи!$M:$M,'ПП Юни'!P2)</f>
        <v>0</v>
      </c>
      <c r="Q44" s="74">
        <f>SUMIFS(разходи!$L:$L,разходи!$E:$E,'ПП Юни'!$C$44,разходи!$M:$M,'ПП Юни'!Q2)</f>
        <v>0</v>
      </c>
      <c r="R44" s="74">
        <f>SUMIFS(разходи!$L:$L,разходи!$E:$E,'ПП Юни'!$C$44,разходи!$M:$M,'ПП Юни'!R2)</f>
        <v>0</v>
      </c>
      <c r="S44" s="76">
        <f>SUMIFS(разходи!$L:$L,разходи!$E:$E,'ПП Юни'!$C$44,разходи!$M:$M,'ПП Юни'!S2)</f>
        <v>0</v>
      </c>
      <c r="T44" s="76">
        <f>SUMIFS(разходи!$L:$L,разходи!$E:$E,'ПП Юни'!$C$44,разходи!$M:$M,'ПП Юни'!T2)</f>
        <v>0</v>
      </c>
      <c r="U44" s="74">
        <f>SUMIFS(разходи!$L:$L,разходи!$E:$E,'ПП Юни'!$C$44,разходи!$M:$M,'ПП Юни'!U2)</f>
        <v>303.36</v>
      </c>
      <c r="V44" s="74">
        <f>SUMIFS(разходи!$L:$L,разходи!$E:$E,'ПП Юни'!$C$44,разходи!$M:$M,'ПП Юни'!V2)</f>
        <v>0</v>
      </c>
      <c r="W44" s="74">
        <f>SUMIFS(разходи!$L:$L,разходи!$E:$E,'ПП Юни'!$C$44,разходи!$M:$M,'ПП Юни'!W2)</f>
        <v>0</v>
      </c>
      <c r="X44" s="74">
        <f>SUMIFS(разходи!$L:$L,разходи!$E:$E,'ПП Юни'!$C$44,разходи!$M:$M,'ПП Юни'!X2)</f>
        <v>0</v>
      </c>
      <c r="Y44" s="74">
        <f>SUMIFS(разходи!$L:$L,разходи!$E:$E,'ПП Юни'!$C$44,разходи!$M:$M,'ПП Юни'!Y2)</f>
        <v>0</v>
      </c>
      <c r="Z44" s="76">
        <f>SUMIFS(разходи!$L:$L,разходи!$E:$E,'ПП Юни'!$C$44,разходи!$M:$M,'ПП Юни'!Z2)</f>
        <v>0</v>
      </c>
      <c r="AA44" s="76">
        <f>SUMIFS(разходи!$L:$L,разходи!$E:$E,'ПП Юни'!$C$44,разходи!$M:$M,'ПП Юни'!AA2)</f>
        <v>0</v>
      </c>
      <c r="AB44" s="74">
        <f>SUMIFS(разходи!$L:$L,разходи!$E:$E,'ПП Юни'!$C$44,разходи!$M:$M,'ПП Юни'!AB2)</f>
        <v>0</v>
      </c>
      <c r="AC44" s="74">
        <f>SUMIFS(разходи!$L:$L,разходи!$E:$E,'ПП Юни'!$C$44,разходи!$M:$M,'ПП Юни'!AC2)</f>
        <v>0</v>
      </c>
      <c r="AD44" s="74">
        <f>SUMIFS(разходи!$L:$L,разходи!$E:$E,'ПП Юни'!$C$44,разходи!$M:$M,'ПП Юни'!AD2)</f>
        <v>0</v>
      </c>
      <c r="AE44" s="74">
        <f>SUMIFS(разходи!$L:$L,разходи!$E:$E,'ПП Юни'!$C$44,разходи!$M:$M,'ПП Юни'!AE2)</f>
        <v>560.26800000000003</v>
      </c>
      <c r="AF44" s="74">
        <f>SUMIFS(разходи!$L:$L,разходи!$E:$E,'ПП Юни'!$C$44,разходи!$M:$M,'ПП Юни'!AF2)</f>
        <v>21</v>
      </c>
      <c r="AG44" s="76">
        <f>SUMIFS(разходи!$L:$L,разходи!$E:$E,'ПП Юни'!$C$44,разходи!$M:$M,'ПП Юни'!AG2)</f>
        <v>0</v>
      </c>
      <c r="AH44" s="76">
        <f>SUMIFS(разходи!$L:$L,разходи!$E:$E,'ПП Юни'!$C$44,разходи!$M:$M,'ПП Юни'!AH2)</f>
        <v>0</v>
      </c>
      <c r="AI44" s="61">
        <f t="shared" si="15"/>
        <v>1288.6020000000001</v>
      </c>
      <c r="AJ44" s="69">
        <f t="shared" si="16"/>
        <v>15612.737999999999</v>
      </c>
    </row>
    <row r="45" spans="1:36" s="21" customFormat="1" ht="20.100000000000001" customHeight="1" outlineLevel="2" x14ac:dyDescent="0.3">
      <c r="A45" s="27"/>
      <c r="B45" s="22"/>
      <c r="C45" s="49" t="s">
        <v>622</v>
      </c>
      <c r="D45" s="80"/>
      <c r="E45" s="76">
        <f>SUMIFS(разходи!$L:$L,разходи!$E:$E,'ПП Юни'!$C$45,разходи!$M:$M,'ПП Юни'!E2)</f>
        <v>0</v>
      </c>
      <c r="F45" s="76">
        <f>SUMIFS(разходи!$L:$L,разходи!$E:$E,'ПП Юни'!$C$45,разходи!$M:$M,'ПП Юни'!F2)</f>
        <v>0</v>
      </c>
      <c r="G45" s="74">
        <f>SUMIFS(разходи!$L:$L,разходи!$E:$E,'ПП Юни'!$C$45,разходи!$M:$M,'ПП Юни'!G2)</f>
        <v>0</v>
      </c>
      <c r="H45" s="74">
        <f>SUMIFS(разходи!$L:$L,разходи!$E:$E,'ПП Юни'!$C$45,разходи!$M:$M,'ПП Юни'!H2)</f>
        <v>0</v>
      </c>
      <c r="I45" s="74">
        <f>SUMIFS(разходи!$L:$L,разходи!$E:$E,'ПП Юни'!$C$45,разходи!$M:$M,'ПП Юни'!I2)</f>
        <v>0</v>
      </c>
      <c r="J45" s="74">
        <f>SUMIFS(разходи!$L:$L,разходи!$E:$E,'ПП Юни'!$C$45,разходи!$M:$M,'ПП Юни'!J2)</f>
        <v>0</v>
      </c>
      <c r="K45" s="74">
        <f>SUMIFS(разходи!$L:$L,разходи!$E:$E,'ПП Юни'!$C$45,разходи!$M:$M,'ПП Юни'!K2)</f>
        <v>0</v>
      </c>
      <c r="L45" s="76">
        <f>SUMIFS(разходи!$L:$L,разходи!$E:$E,'ПП Юни'!$C$45,разходи!$M:$M,'ПП Юни'!L2)</f>
        <v>0</v>
      </c>
      <c r="M45" s="76">
        <f>SUMIFS(разходи!$L:$L,разходи!$E:$E,'ПП Юни'!$C$45,разходи!$M:$M,'ПП Юни'!M2)</f>
        <v>0</v>
      </c>
      <c r="N45" s="74">
        <f>SUMIFS(разходи!$L:$L,разходи!$E:$E,'ПП Юни'!$C$45,разходи!$M:$M,'ПП Юни'!N2)</f>
        <v>0</v>
      </c>
      <c r="O45" s="74">
        <f>SUMIFS(разходи!$L:$L,разходи!$E:$E,'ПП Юни'!$C$45,разходи!$M:$M,'ПП Юни'!O2)</f>
        <v>0</v>
      </c>
      <c r="P45" s="74">
        <f>SUMIFS(разходи!$L:$L,разходи!$E:$E,'ПП Юни'!$C$45,разходи!$M:$M,'ПП Юни'!P2)</f>
        <v>0</v>
      </c>
      <c r="Q45" s="74">
        <f>SUMIFS(разходи!$L:$L,разходи!$E:$E,'ПП Юни'!$C$45,разходи!$M:$M,'ПП Юни'!Q2)</f>
        <v>0</v>
      </c>
      <c r="R45" s="74">
        <f>SUMIFS(разходи!$L:$L,разходи!$E:$E,'ПП Юни'!$C$45,разходи!$M:$M,'ПП Юни'!R2)</f>
        <v>0</v>
      </c>
      <c r="S45" s="76">
        <f>SUMIFS(разходи!$L:$L,разходи!$E:$E,'ПП Юни'!$C$45,разходи!$M:$M,'ПП Юни'!S2)</f>
        <v>0</v>
      </c>
      <c r="T45" s="76">
        <f>SUMIFS(разходи!$L:$L,разходи!$E:$E,'ПП Юни'!$C$45,разходи!$M:$M,'ПП Юни'!T2)</f>
        <v>0</v>
      </c>
      <c r="U45" s="74">
        <f>SUMIFS(разходи!$L:$L,разходи!$E:$E,'ПП Юни'!$C$45,разходи!$M:$M,'ПП Юни'!U2)</f>
        <v>0</v>
      </c>
      <c r="V45" s="74">
        <f>SUMIFS(разходи!$L:$L,разходи!$E:$E,'ПП Юни'!$C$45,разходи!$M:$M,'ПП Юни'!V2)</f>
        <v>399.26126699999998</v>
      </c>
      <c r="W45" s="74">
        <f>SUMIFS(разходи!$L:$L,разходи!$E:$E,'ПП Юни'!$C$45,разходи!$M:$M,'ПП Юни'!W2)</f>
        <v>0</v>
      </c>
      <c r="X45" s="74">
        <f>SUMIFS(разходи!$L:$L,разходи!$E:$E,'ПП Юни'!$C$45,разходи!$M:$M,'ПП Юни'!X2)</f>
        <v>0</v>
      </c>
      <c r="Y45" s="74">
        <f>SUMIFS(разходи!$L:$L,разходи!$E:$E,'ПП Юни'!$C$45,разходи!$M:$M,'ПП Юни'!Y2)</f>
        <v>0</v>
      </c>
      <c r="Z45" s="76">
        <f>SUMIFS(разходи!$L:$L,разходи!$E:$E,'ПП Юни'!$C$45,разходи!$M:$M,'ПП Юни'!Z2)</f>
        <v>0</v>
      </c>
      <c r="AA45" s="76">
        <f>SUMIFS(разходи!$L:$L,разходи!$E:$E,'ПП Юни'!$C$45,разходи!$M:$M,'ПП Юни'!AA2)</f>
        <v>0</v>
      </c>
      <c r="AB45" s="74">
        <f>SUMIFS(разходи!$L:$L,разходи!$E:$E,'ПП Юни'!$C$45,разходи!$M:$M,'ПП Юни'!AB2)</f>
        <v>0</v>
      </c>
      <c r="AC45" s="74">
        <f>SUMIFS(разходи!$L:$L,разходи!$E:$E,'ПП Юни'!$C$45,разходи!$M:$M,'ПП Юни'!AC2)</f>
        <v>0</v>
      </c>
      <c r="AD45" s="74">
        <f>SUMIFS(разходи!$L:$L,разходи!$E:$E,'ПП Юни'!$C$45,разходи!$M:$M,'ПП Юни'!AD2)</f>
        <v>0</v>
      </c>
      <c r="AE45" s="74">
        <f>SUMIFS(разходи!$L:$L,разходи!$E:$E,'ПП Юни'!$C$45,разходи!$M:$M,'ПП Юни'!AE2)</f>
        <v>0</v>
      </c>
      <c r="AF45" s="74">
        <f>SUMIFS(разходи!$L:$L,разходи!$E:$E,'ПП Юни'!$C$45,разходи!$M:$M,'ПП Юни'!AF2)</f>
        <v>0</v>
      </c>
      <c r="AG45" s="76">
        <f>SUMIFS(разходи!$L:$L,разходи!$E:$E,'ПП Юни'!$C$45,разходи!$M:$M,'ПП Юни'!AG2)</f>
        <v>0</v>
      </c>
      <c r="AH45" s="76">
        <f>SUMIFS(разходи!$L:$L,разходи!$E:$E,'ПП Юни'!$C$45,разходи!$M:$M,'ПП Юни'!AH2)</f>
        <v>0</v>
      </c>
      <c r="AI45" s="61">
        <f t="shared" si="15"/>
        <v>399.26126699999998</v>
      </c>
      <c r="AJ45" s="69">
        <f t="shared" si="16"/>
        <v>-399.26126699999998</v>
      </c>
    </row>
    <row r="46" spans="1:36" s="21" customFormat="1" ht="20.100000000000001" customHeight="1" outlineLevel="2" x14ac:dyDescent="0.3">
      <c r="A46" s="27"/>
      <c r="B46" s="22"/>
      <c r="C46" s="49" t="s">
        <v>864</v>
      </c>
      <c r="D46" s="80"/>
      <c r="E46" s="76">
        <f>SUMIFS(разходи!$L:$L,разходи!$E:$E,'ПП Юни'!$C$46,разходи!$M:$M,'ПП Юни'!E2)</f>
        <v>0</v>
      </c>
      <c r="F46" s="76">
        <f>SUMIFS(разходи!$L:$L,разходи!$E:$E,'ПП Юни'!$C$46,разходи!$M:$M,'ПП Юни'!F2)</f>
        <v>0</v>
      </c>
      <c r="G46" s="74">
        <f>SUMIFS(разходи!$L:$L,разходи!$E:$E,'ПП Юни'!$C$46,разходи!$M:$M,'ПП Юни'!G2)</f>
        <v>0</v>
      </c>
      <c r="H46" s="74">
        <f>SUMIFS(разходи!$L:$L,разходи!$E:$E,'ПП Юни'!$C$46,разходи!$M:$M,'ПП Юни'!H2)</f>
        <v>0</v>
      </c>
      <c r="I46" s="74">
        <f>SUMIFS(разходи!$L:$L,разходи!$E:$E,'ПП Юни'!$C$46,разходи!$M:$M,'ПП Юни'!I2)</f>
        <v>0</v>
      </c>
      <c r="J46" s="74">
        <f>SUMIFS(разходи!$L:$L,разходи!$E:$E,'ПП Юни'!$C$46,разходи!$M:$M,'ПП Юни'!J2)</f>
        <v>0</v>
      </c>
      <c r="K46" s="74">
        <f>SUMIFS(разходи!$L:$L,разходи!$E:$E,'ПП Юни'!$C$46,разходи!$M:$M,'ПП Юни'!K2)</f>
        <v>0</v>
      </c>
      <c r="L46" s="76">
        <f>SUMIFS(разходи!$L:$L,разходи!$E:$E,'ПП Юни'!$C$46,разходи!$M:$M,'ПП Юни'!L2)</f>
        <v>0</v>
      </c>
      <c r="M46" s="76">
        <f>SUMIFS(разходи!$L:$L,разходи!$E:$E,'ПП Юни'!$C$46,разходи!$M:$M,'ПП Юни'!M2)</f>
        <v>0</v>
      </c>
      <c r="N46" s="74">
        <f>SUMIFS(разходи!$L:$L,разходи!$E:$E,'ПП Юни'!$C$46,разходи!$M:$M,'ПП Юни'!N2)</f>
        <v>0</v>
      </c>
      <c r="O46" s="74">
        <f>SUMIFS(разходи!$L:$L,разходи!$E:$E,'ПП Юни'!$C$46,разходи!$M:$M,'ПП Юни'!O2)</f>
        <v>0</v>
      </c>
      <c r="P46" s="74">
        <f>SUMIFS(разходи!$L:$L,разходи!$E:$E,'ПП Юни'!$C$46,разходи!$M:$M,'ПП Юни'!P2)</f>
        <v>0</v>
      </c>
      <c r="Q46" s="74">
        <f>SUMIFS(разходи!$L:$L,разходи!$E:$E,'ПП Юни'!$C$46,разходи!$M:$M,'ПП Юни'!Q2)</f>
        <v>0</v>
      </c>
      <c r="R46" s="74">
        <f>SUMIFS(разходи!$L:$L,разходи!$E:$E,'ПП Юни'!$C$46,разходи!$M:$M,'ПП Юни'!R2)</f>
        <v>0</v>
      </c>
      <c r="S46" s="76">
        <f>SUMIFS(разходи!$L:$L,разходи!$E:$E,'ПП Юни'!$C$46,разходи!$M:$M,'ПП Юни'!S2)</f>
        <v>0</v>
      </c>
      <c r="T46" s="76">
        <f>SUMIFS(разходи!$L:$L,разходи!$E:$E,'ПП Юни'!$C$46,разходи!$M:$M,'ПП Юни'!T2)</f>
        <v>0</v>
      </c>
      <c r="U46" s="74">
        <f>SUMIFS(разходи!$L:$L,разходи!$E:$E,'ПП Юни'!$C$46,разходи!$M:$M,'ПП Юни'!U2)</f>
        <v>0</v>
      </c>
      <c r="V46" s="74">
        <f>SUMIFS(разходи!$L:$L,разходи!$E:$E,'ПП Юни'!$C$46,разходи!$M:$M,'ПП Юни'!V2)</f>
        <v>0</v>
      </c>
      <c r="W46" s="74">
        <f>SUMIFS(разходи!$L:$L,разходи!$E:$E,'ПП Юни'!$C$46,разходи!$M:$M,'ПП Юни'!W2)</f>
        <v>0</v>
      </c>
      <c r="X46" s="74">
        <f>SUMIFS(разходи!$L:$L,разходи!$E:$E,'ПП Юни'!$C$46,разходи!$M:$M,'ПП Юни'!X2)</f>
        <v>0</v>
      </c>
      <c r="Y46" s="74">
        <f>SUMIFS(разходи!$L:$L,разходи!$E:$E,'ПП Юни'!$C$46,разходи!$M:$M,'ПП Юни'!Y2)</f>
        <v>0</v>
      </c>
      <c r="Z46" s="76">
        <f>SUMIFS(разходи!$L:$L,разходи!$E:$E,'ПП Юни'!$C$46,разходи!$M:$M,'ПП Юни'!Z2)</f>
        <v>0</v>
      </c>
      <c r="AA46" s="76">
        <f>SUMIFS(разходи!$L:$L,разходи!$E:$E,'ПП Юни'!$C$46,разходи!$M:$M,'ПП Юни'!AA2)</f>
        <v>0</v>
      </c>
      <c r="AB46" s="74">
        <f>SUMIFS(разходи!$L:$L,разходи!$E:$E,'ПП Юни'!$C$46,разходи!$M:$M,'ПП Юни'!AB2)</f>
        <v>0</v>
      </c>
      <c r="AC46" s="74">
        <f>SUMIFS(разходи!$L:$L,разходи!$E:$E,'ПП Юни'!$C$46,разходи!$M:$M,'ПП Юни'!AC2)</f>
        <v>0</v>
      </c>
      <c r="AD46" s="74">
        <f>SUMIFS(разходи!$L:$L,разходи!$E:$E,'ПП Юни'!$C$46,разходи!$M:$M,'ПП Юни'!AD2)</f>
        <v>0</v>
      </c>
      <c r="AE46" s="74">
        <f>SUMIFS(разходи!$L:$L,разходи!$E:$E,'ПП Юни'!$C$46,разходи!$M:$M,'ПП Юни'!AE2)</f>
        <v>0</v>
      </c>
      <c r="AF46" s="74">
        <f>SUMIFS(разходи!$L:$L,разходи!$E:$E,'ПП Юни'!$C$46,разходи!$M:$M,'ПП Юни'!AF2)</f>
        <v>0</v>
      </c>
      <c r="AG46" s="76">
        <f>SUMIFS(разходи!$L:$L,разходи!$E:$E,'ПП Юни'!$C$46,разходи!$M:$M,'ПП Юни'!AG2)</f>
        <v>0</v>
      </c>
      <c r="AH46" s="76">
        <f>SUMIFS(разходи!$L:$L,разходи!$E:$E,'ПП Юни'!$C$46,разходи!$M:$M,'ПП Юни'!AH2)</f>
        <v>0</v>
      </c>
      <c r="AI46" s="61">
        <f t="shared" si="15"/>
        <v>0</v>
      </c>
      <c r="AJ46" s="69">
        <f t="shared" si="16"/>
        <v>0</v>
      </c>
    </row>
    <row r="47" spans="1:36" s="21" customFormat="1" ht="20.100000000000001" customHeight="1" outlineLevel="2" x14ac:dyDescent="0.3">
      <c r="A47" s="27"/>
      <c r="B47" s="22"/>
      <c r="C47" s="49" t="s">
        <v>865</v>
      </c>
      <c r="D47" s="84"/>
      <c r="E47" s="76">
        <f>SUMIFS(разходи!$L:$L,разходи!$E:$E,'ПП Юни'!$C$47,разходи!$M:$M,'ПП Юни'!E2)</f>
        <v>0</v>
      </c>
      <c r="F47" s="76">
        <f>SUMIFS(разходи!$L:$L,разходи!$E:$E,'ПП Юни'!$C$47,разходи!$M:$M,'ПП Юни'!F2)</f>
        <v>0</v>
      </c>
      <c r="G47" s="74">
        <f>SUMIFS(разходи!$L:$L,разходи!$E:$E,'ПП Юни'!$C$47,разходи!$M:$M,'ПП Юни'!G2)</f>
        <v>0</v>
      </c>
      <c r="H47" s="74">
        <f>SUMIFS(разходи!$L:$L,разходи!$E:$E,'ПП Юни'!$C$47,разходи!$M:$M,'ПП Юни'!H2)</f>
        <v>0</v>
      </c>
      <c r="I47" s="74">
        <f>SUMIFS(разходи!$L:$L,разходи!$E:$E,'ПП Юни'!$C$47,разходи!$M:$M,'ПП Юни'!I2)</f>
        <v>0</v>
      </c>
      <c r="J47" s="74">
        <f>SUMIFS(разходи!$L:$L,разходи!$E:$E,'ПП Юни'!$C$47,разходи!$M:$M,'ПП Юни'!J2)</f>
        <v>0</v>
      </c>
      <c r="K47" s="74">
        <f>SUMIFS(разходи!$L:$L,разходи!$E:$E,'ПП Юни'!$C$47,разходи!$M:$M,'ПП Юни'!K2)</f>
        <v>0</v>
      </c>
      <c r="L47" s="76">
        <f>SUMIFS(разходи!$L:$L,разходи!$E:$E,'ПП Юни'!$C$47,разходи!$M:$M,'ПП Юни'!L2)</f>
        <v>0</v>
      </c>
      <c r="M47" s="76">
        <f>SUMIFS(разходи!$L:$L,разходи!$E:$E,'ПП Юни'!$C$47,разходи!$M:$M,'ПП Юни'!M2)</f>
        <v>0</v>
      </c>
      <c r="N47" s="74">
        <f>SUMIFS(разходи!$L:$L,разходи!$E:$E,'ПП Юни'!$C$47,разходи!$M:$M,'ПП Юни'!N2)</f>
        <v>0</v>
      </c>
      <c r="O47" s="74">
        <f>SUMIFS(разходи!$L:$L,разходи!$E:$E,'ПП Юни'!$C$47,разходи!$M:$M,'ПП Юни'!O2)</f>
        <v>0</v>
      </c>
      <c r="P47" s="74">
        <f>SUMIFS(разходи!$L:$L,разходи!$E:$E,'ПП Юни'!$C$47,разходи!$M:$M,'ПП Юни'!P2)</f>
        <v>0</v>
      </c>
      <c r="Q47" s="74">
        <f>SUMIFS(разходи!$L:$L,разходи!$E:$E,'ПП Юни'!$C$47,разходи!$M:$M,'ПП Юни'!Q2)</f>
        <v>0</v>
      </c>
      <c r="R47" s="74">
        <f>SUMIFS(разходи!$L:$L,разходи!$E:$E,'ПП Юни'!$C$47,разходи!$M:$M,'ПП Юни'!R2)</f>
        <v>0</v>
      </c>
      <c r="S47" s="76">
        <f>SUMIFS(разходи!$L:$L,разходи!$E:$E,'ПП Юни'!$C$47,разходи!$M:$M,'ПП Юни'!S2)</f>
        <v>0</v>
      </c>
      <c r="T47" s="76">
        <f>SUMIFS(разходи!$L:$L,разходи!$E:$E,'ПП Юни'!$C$47,разходи!$M:$M,'ПП Юни'!T2)</f>
        <v>0</v>
      </c>
      <c r="U47" s="74">
        <f>SUMIFS(разходи!$L:$L,разходи!$E:$E,'ПП Юни'!$C$47,разходи!$M:$M,'ПП Юни'!U2)</f>
        <v>0</v>
      </c>
      <c r="V47" s="74">
        <f>SUMIFS(разходи!$L:$L,разходи!$E:$E,'ПП Юни'!$C$47,разходи!$M:$M,'ПП Юни'!V2)</f>
        <v>0</v>
      </c>
      <c r="W47" s="74">
        <f>SUMIFS(разходи!$L:$L,разходи!$E:$E,'ПП Юни'!$C$47,разходи!$M:$M,'ПП Юни'!W2)</f>
        <v>0</v>
      </c>
      <c r="X47" s="74">
        <f>SUMIFS(разходи!$L:$L,разходи!$E:$E,'ПП Юни'!$C$47,разходи!$M:$M,'ПП Юни'!X2)</f>
        <v>0</v>
      </c>
      <c r="Y47" s="74">
        <f>SUMIFS(разходи!$L:$L,разходи!$E:$E,'ПП Юни'!$C$47,разходи!$M:$M,'ПП Юни'!Y2)</f>
        <v>0</v>
      </c>
      <c r="Z47" s="76">
        <f>SUMIFS(разходи!$L:$L,разходи!$E:$E,'ПП Юни'!$C$47,разходи!$M:$M,'ПП Юни'!Z2)</f>
        <v>0</v>
      </c>
      <c r="AA47" s="76">
        <f>SUMIFS(разходи!$L:$L,разходи!$E:$E,'ПП Юни'!$C$47,разходи!$M:$M,'ПП Юни'!AA2)</f>
        <v>0</v>
      </c>
      <c r="AB47" s="74">
        <f>SUMIFS(разходи!$L:$L,разходи!$E:$E,'ПП Юни'!$C$47,разходи!$M:$M,'ПП Юни'!AB2)</f>
        <v>0</v>
      </c>
      <c r="AC47" s="74">
        <f>SUMIFS(разходи!$L:$L,разходи!$E:$E,'ПП Юни'!$C$47,разходи!$M:$M,'ПП Юни'!AC2)</f>
        <v>0</v>
      </c>
      <c r="AD47" s="74">
        <f>SUMIFS(разходи!$L:$L,разходи!$E:$E,'ПП Юни'!$C$47,разходи!$M:$M,'ПП Юни'!AD2)</f>
        <v>0</v>
      </c>
      <c r="AE47" s="74">
        <f>SUMIFS(разходи!$L:$L,разходи!$E:$E,'ПП Юни'!$C$47,разходи!$M:$M,'ПП Юни'!AE2)</f>
        <v>0</v>
      </c>
      <c r="AF47" s="74">
        <f>SUMIFS(разходи!$L:$L,разходи!$E:$E,'ПП Юни'!$C$47,разходи!$M:$M,'ПП Юни'!AF2)</f>
        <v>0</v>
      </c>
      <c r="AG47" s="76">
        <f>SUMIFS(разходи!$L:$L,разходи!$E:$E,'ПП Юни'!$C$47,разходи!$M:$M,'ПП Юни'!AG2)</f>
        <v>0</v>
      </c>
      <c r="AH47" s="76">
        <f>SUMIFS(разходи!$L:$L,разходи!$E:$E,'ПП Юни'!$C$47,разходи!$M:$M,'ПП Юни'!AH2)</f>
        <v>0</v>
      </c>
      <c r="AI47" s="61">
        <f t="shared" si="15"/>
        <v>0</v>
      </c>
      <c r="AJ47" s="69">
        <f t="shared" si="16"/>
        <v>0</v>
      </c>
    </row>
    <row r="48" spans="1:36" s="21" customFormat="1" ht="20.100000000000001" customHeight="1" outlineLevel="1" x14ac:dyDescent="0.3">
      <c r="A48" s="27"/>
      <c r="B48" s="22"/>
      <c r="C48" s="8" t="s">
        <v>866</v>
      </c>
      <c r="D48" s="80">
        <f>SUM(D49:D52)</f>
        <v>0</v>
      </c>
      <c r="E48" s="76">
        <f t="shared" ref="E48:AH48" si="20">SUM(E49:E52)</f>
        <v>0</v>
      </c>
      <c r="F48" s="76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1215.5091909999999</v>
      </c>
      <c r="J48" s="74">
        <f t="shared" si="20"/>
        <v>12069.672</v>
      </c>
      <c r="K48" s="74">
        <f t="shared" si="20"/>
        <v>0</v>
      </c>
      <c r="L48" s="76">
        <f t="shared" si="20"/>
        <v>0</v>
      </c>
      <c r="M48" s="76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4">
        <f t="shared" si="20"/>
        <v>0</v>
      </c>
      <c r="R48" s="74">
        <f t="shared" si="20"/>
        <v>0</v>
      </c>
      <c r="S48" s="76">
        <f t="shared" si="20"/>
        <v>0</v>
      </c>
      <c r="T48" s="76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4">
        <f t="shared" si="20"/>
        <v>372.75</v>
      </c>
      <c r="Y48" s="74">
        <f t="shared" si="20"/>
        <v>0</v>
      </c>
      <c r="Z48" s="76">
        <f t="shared" si="20"/>
        <v>0</v>
      </c>
      <c r="AA48" s="76">
        <f t="shared" si="20"/>
        <v>0</v>
      </c>
      <c r="AB48" s="74">
        <f t="shared" si="20"/>
        <v>0</v>
      </c>
      <c r="AC48" s="74">
        <f t="shared" si="20"/>
        <v>0</v>
      </c>
      <c r="AD48" s="74">
        <f t="shared" si="20"/>
        <v>0</v>
      </c>
      <c r="AE48" s="74">
        <f t="shared" si="20"/>
        <v>0</v>
      </c>
      <c r="AF48" s="74">
        <f t="shared" si="20"/>
        <v>0</v>
      </c>
      <c r="AG48" s="76">
        <f t="shared" si="20"/>
        <v>0</v>
      </c>
      <c r="AH48" s="76">
        <f t="shared" si="20"/>
        <v>0</v>
      </c>
      <c r="AI48" s="61">
        <f t="shared" si="15"/>
        <v>13657.931191</v>
      </c>
      <c r="AJ48" s="69">
        <f t="shared" si="16"/>
        <v>-13657.931191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/>
      <c r="E49" s="76">
        <f>SUMIFS(разходи!$L:$L,разходи!$E:$E,'ПП Юни'!$C$49,разходи!$M:$M,'ПП Юни'!E2)</f>
        <v>0</v>
      </c>
      <c r="F49" s="76">
        <f>SUMIFS(разходи!$L:$L,разходи!$E:$E,'ПП Юни'!$C$49,разходи!$M:$M,'ПП Юни'!F2)</f>
        <v>0</v>
      </c>
      <c r="G49" s="74">
        <f>SUMIFS(разходи!$L:$L,разходи!$E:$E,'ПП Юни'!$C$49,разходи!$M:$M,'ПП Юни'!G2)</f>
        <v>0</v>
      </c>
      <c r="H49" s="74">
        <f>SUMIFS(разходи!$L:$L,разходи!$E:$E,'ПП Юни'!$C$49,разходи!$M:$M,'ПП Юни'!H2)</f>
        <v>0</v>
      </c>
      <c r="I49" s="74">
        <f>SUMIFS(разходи!$L:$L,разходи!$E:$E,'ПП Юни'!$C$49,разходи!$M:$M,'ПП Юни'!I2)</f>
        <v>1215.5091909999999</v>
      </c>
      <c r="J49" s="74">
        <f>SUMIFS(разходи!$L:$L,разходи!$E:$E,'ПП Юни'!$C$49,разходи!$M:$M,'ПП Юни'!J2)</f>
        <v>12069.672</v>
      </c>
      <c r="K49" s="74">
        <f>SUMIFS(разходи!$L:$L,разходи!$E:$E,'ПП Юни'!$C$49,разходи!$M:$M,'ПП Юни'!K2)</f>
        <v>0</v>
      </c>
      <c r="L49" s="76">
        <f>SUMIFS(разходи!$L:$L,разходи!$E:$E,'ПП Юни'!$C$49,разходи!$M:$M,'ПП Юни'!L2)</f>
        <v>0</v>
      </c>
      <c r="M49" s="76">
        <f>SUMIFS(разходи!$L:$L,разходи!$E:$E,'ПП Юни'!$C$49,разходи!$M:$M,'ПП Юни'!M2)</f>
        <v>0</v>
      </c>
      <c r="N49" s="74">
        <f>SUMIFS(разходи!$L:$L,разходи!$E:$E,'ПП Юни'!$C$49,разходи!$M:$M,'ПП Юни'!N2)</f>
        <v>0</v>
      </c>
      <c r="O49" s="74">
        <f>SUMIFS(разходи!$L:$L,разходи!$E:$E,'ПП Юни'!$C$49,разходи!$M:$M,'ПП Юни'!O2)</f>
        <v>0</v>
      </c>
      <c r="P49" s="74">
        <f>SUMIFS(разходи!$L:$L,разходи!$E:$E,'ПП Юни'!$C$49,разходи!$M:$M,'ПП Юни'!P2)</f>
        <v>0</v>
      </c>
      <c r="Q49" s="74">
        <f>SUMIFS(разходи!$L:$L,разходи!$E:$E,'ПП Юни'!$C$49,разходи!$M:$M,'ПП Юни'!Q2)</f>
        <v>0</v>
      </c>
      <c r="R49" s="74">
        <f>SUMIFS(разходи!$L:$L,разходи!$E:$E,'ПП Юни'!$C$49,разходи!$M:$M,'ПП Юни'!R2)</f>
        <v>0</v>
      </c>
      <c r="S49" s="76">
        <f>SUMIFS(разходи!$L:$L,разходи!$E:$E,'ПП Юни'!$C$49,разходи!$M:$M,'ПП Юни'!S2)</f>
        <v>0</v>
      </c>
      <c r="T49" s="76">
        <f>SUMIFS(разходи!$L:$L,разходи!$E:$E,'ПП Юни'!$C$49,разходи!$M:$M,'ПП Юни'!T2)</f>
        <v>0</v>
      </c>
      <c r="U49" s="74">
        <f>SUMIFS(разходи!$L:$L,разходи!$E:$E,'ПП Юни'!$C$49,разходи!$M:$M,'ПП Юни'!U2)</f>
        <v>0</v>
      </c>
      <c r="V49" s="74">
        <f>SUMIFS(разходи!$L:$L,разходи!$E:$E,'ПП Юни'!$C$49,разходи!$M:$M,'ПП Юни'!V2)</f>
        <v>0</v>
      </c>
      <c r="W49" s="74">
        <f>SUMIFS(разходи!$L:$L,разходи!$E:$E,'ПП Юни'!$C$49,разходи!$M:$M,'ПП Юни'!W2)</f>
        <v>0</v>
      </c>
      <c r="X49" s="74">
        <f>SUMIFS(разходи!$L:$L,разходи!$E:$E,'ПП Юни'!$C$49,разходи!$M:$M,'ПП Юни'!X2)</f>
        <v>0</v>
      </c>
      <c r="Y49" s="74">
        <f>SUMIFS(разходи!$L:$L,разходи!$E:$E,'ПП Юни'!$C$49,разходи!$M:$M,'ПП Юни'!Y2)</f>
        <v>0</v>
      </c>
      <c r="Z49" s="76">
        <f>SUMIFS(разходи!$L:$L,разходи!$E:$E,'ПП Юни'!$C$49,разходи!$M:$M,'ПП Юни'!Z2)</f>
        <v>0</v>
      </c>
      <c r="AA49" s="76">
        <f>SUMIFS(разходи!$L:$L,разходи!$E:$E,'ПП Юни'!$C$49,разходи!$M:$M,'ПП Юни'!AA2)</f>
        <v>0</v>
      </c>
      <c r="AB49" s="74">
        <f>SUMIFS(разходи!$L:$L,разходи!$E:$E,'ПП Юни'!$C$49,разходи!$M:$M,'ПП Юни'!AB2)</f>
        <v>0</v>
      </c>
      <c r="AC49" s="74">
        <f>SUMIFS(разходи!$L:$L,разходи!$E:$E,'ПП Юни'!$C$49,разходи!$M:$M,'ПП Юни'!AC2)</f>
        <v>0</v>
      </c>
      <c r="AD49" s="74">
        <f>SUMIFS(разходи!$L:$L,разходи!$E:$E,'ПП Юни'!$C$49,разходи!$M:$M,'ПП Юни'!AD2)</f>
        <v>0</v>
      </c>
      <c r="AE49" s="74">
        <f>SUMIFS(разходи!$L:$L,разходи!$E:$E,'ПП Юни'!$C$49,разходи!$M:$M,'ПП Юни'!AE2)</f>
        <v>0</v>
      </c>
      <c r="AF49" s="74">
        <f>SUMIFS(разходи!$L:$L,разходи!$E:$E,'ПП Юни'!$C$49,разходи!$M:$M,'ПП Юни'!AF2)</f>
        <v>0</v>
      </c>
      <c r="AG49" s="76">
        <f>SUMIFS(разходи!$L:$L,разходи!$E:$E,'ПП Юни'!$C$49,разходи!$M:$M,'ПП Юни'!AG2)</f>
        <v>0</v>
      </c>
      <c r="AH49" s="76">
        <f>SUMIFS(разходи!$L:$L,разходи!$E:$E,'ПП Юни'!$C$49,разходи!$M:$M,'ПП Юни'!AH2)</f>
        <v>0</v>
      </c>
      <c r="AI49" s="61">
        <f t="shared" si="15"/>
        <v>13285.181191</v>
      </c>
      <c r="AJ49" s="69">
        <f t="shared" si="16"/>
        <v>-13285.181191</v>
      </c>
    </row>
    <row r="50" spans="1:36" s="21" customFormat="1" ht="20.100000000000001" customHeight="1" outlineLevel="2" x14ac:dyDescent="0.3">
      <c r="A50" s="27"/>
      <c r="B50" s="22"/>
      <c r="C50" s="49" t="s">
        <v>609</v>
      </c>
      <c r="D50" s="80"/>
      <c r="E50" s="76">
        <f>SUMIFS(разходи!$L:$L,разходи!$E:$E,'ПП Юни'!$C$50,разходи!$M:$M,'ПП Юни'!E2)</f>
        <v>0</v>
      </c>
      <c r="F50" s="76">
        <f>SUMIFS(разходи!$L:$L,разходи!$E:$E,'ПП Юни'!$C$50,разходи!$M:$M,'ПП Юни'!F2)</f>
        <v>0</v>
      </c>
      <c r="G50" s="74">
        <f>SUMIFS(разходи!$L:$L,разходи!$E:$E,'ПП Юни'!$C$50,разходи!$M:$M,'ПП Юни'!G2)</f>
        <v>0</v>
      </c>
      <c r="H50" s="74">
        <f>SUMIFS(разходи!$L:$L,разходи!$E:$E,'ПП Юни'!$C$50,разходи!$M:$M,'ПП Юни'!H2)</f>
        <v>0</v>
      </c>
      <c r="I50" s="74">
        <f>SUMIFS(разходи!$L:$L,разходи!$E:$E,'ПП Юни'!$C$50,разходи!$M:$M,'ПП Юни'!I2)</f>
        <v>0</v>
      </c>
      <c r="J50" s="74">
        <f>SUMIFS(разходи!$L:$L,разходи!$E:$E,'ПП Юни'!$C$50,разходи!$M:$M,'ПП Юни'!J2)</f>
        <v>0</v>
      </c>
      <c r="K50" s="74">
        <f>SUMIFS(разходи!$L:$L,разходи!$E:$E,'ПП Юни'!$C$50,разходи!$M:$M,'ПП Юни'!K2)</f>
        <v>0</v>
      </c>
      <c r="L50" s="76">
        <f>SUMIFS(разходи!$L:$L,разходи!$E:$E,'ПП Юни'!$C$50,разходи!$M:$M,'ПП Юни'!L2)</f>
        <v>0</v>
      </c>
      <c r="M50" s="76">
        <f>SUMIFS(разходи!$L:$L,разходи!$E:$E,'ПП Юни'!$C$50,разходи!$M:$M,'ПП Юни'!M2)</f>
        <v>0</v>
      </c>
      <c r="N50" s="74">
        <f>SUMIFS(разходи!$L:$L,разходи!$E:$E,'ПП Юни'!$C$50,разходи!$M:$M,'ПП Юни'!N2)</f>
        <v>0</v>
      </c>
      <c r="O50" s="74">
        <f>SUMIFS(разходи!$L:$L,разходи!$E:$E,'ПП Юни'!$C$50,разходи!$M:$M,'ПП Юни'!O2)</f>
        <v>0</v>
      </c>
      <c r="P50" s="74">
        <f>SUMIFS(разходи!$L:$L,разходи!$E:$E,'ПП Юни'!$C$50,разходи!$M:$M,'ПП Юни'!P2)</f>
        <v>0</v>
      </c>
      <c r="Q50" s="74">
        <f>SUMIFS(разходи!$L:$L,разходи!$E:$E,'ПП Юни'!$C$50,разходи!$M:$M,'ПП Юни'!Q2)</f>
        <v>0</v>
      </c>
      <c r="R50" s="74">
        <f>SUMIFS(разходи!$L:$L,разходи!$E:$E,'ПП Юни'!$C$50,разходи!$M:$M,'ПП Юни'!R2)</f>
        <v>0</v>
      </c>
      <c r="S50" s="76">
        <f>SUMIFS(разходи!$L:$L,разходи!$E:$E,'ПП Юни'!$C$50,разходи!$M:$M,'ПП Юни'!S2)</f>
        <v>0</v>
      </c>
      <c r="T50" s="76">
        <f>SUMIFS(разходи!$L:$L,разходи!$E:$E,'ПП Юни'!$C$50,разходи!$M:$M,'ПП Юни'!T2)</f>
        <v>0</v>
      </c>
      <c r="U50" s="74">
        <f>SUMIFS(разходи!$L:$L,разходи!$E:$E,'ПП Юни'!$C$50,разходи!$M:$M,'ПП Юни'!U2)</f>
        <v>0</v>
      </c>
      <c r="V50" s="74">
        <f>SUMIFS(разходи!$L:$L,разходи!$E:$E,'ПП Юни'!$C$50,разходи!$M:$M,'ПП Юни'!V2)</f>
        <v>0</v>
      </c>
      <c r="W50" s="74">
        <f>SUMIFS(разходи!$L:$L,разходи!$E:$E,'ПП Юни'!$C$50,разходи!$M:$M,'ПП Юни'!W2)</f>
        <v>0</v>
      </c>
      <c r="X50" s="74">
        <f>SUMIFS(разходи!$L:$L,разходи!$E:$E,'ПП Юни'!$C$50,разходи!$M:$M,'ПП Юни'!X2)</f>
        <v>0</v>
      </c>
      <c r="Y50" s="74">
        <f>SUMIFS(разходи!$L:$L,разходи!$E:$E,'ПП Юни'!$C$50,разходи!$M:$M,'ПП Юни'!Y2)</f>
        <v>0</v>
      </c>
      <c r="Z50" s="76">
        <f>SUMIFS(разходи!$L:$L,разходи!$E:$E,'ПП Юни'!$C$50,разходи!$M:$M,'ПП Юни'!Z2)</f>
        <v>0</v>
      </c>
      <c r="AA50" s="76">
        <f>SUMIFS(разходи!$L:$L,разходи!$E:$E,'ПП Юни'!$C$50,разходи!$M:$M,'ПП Юни'!AA2)</f>
        <v>0</v>
      </c>
      <c r="AB50" s="74">
        <f>SUMIFS(разходи!$L:$L,разходи!$E:$E,'ПП Юни'!$C$50,разходи!$M:$M,'ПП Юни'!AB2)</f>
        <v>0</v>
      </c>
      <c r="AC50" s="74">
        <f>SUMIFS(разходи!$L:$L,разходи!$E:$E,'ПП Юни'!$C$50,разходи!$M:$M,'ПП Юни'!AC2)</f>
        <v>0</v>
      </c>
      <c r="AD50" s="74">
        <f>SUMIFS(разходи!$L:$L,разходи!$E:$E,'ПП Юни'!$C$50,разходи!$M:$M,'ПП Юни'!AD2)</f>
        <v>0</v>
      </c>
      <c r="AE50" s="74">
        <f>SUMIFS(разходи!$L:$L,разходи!$E:$E,'ПП Юни'!$C$50,разходи!$M:$M,'ПП Юни'!AE2)</f>
        <v>0</v>
      </c>
      <c r="AF50" s="74">
        <f>SUMIFS(разходи!$L:$L,разходи!$E:$E,'ПП Юни'!$C$50,разходи!$M:$M,'ПП Юни'!AF2)</f>
        <v>0</v>
      </c>
      <c r="AG50" s="76">
        <f>SUMIFS(разходи!$L:$L,разходи!$E:$E,'ПП Юни'!$C$50,разходи!$M:$M,'ПП Юни'!AG2)</f>
        <v>0</v>
      </c>
      <c r="AH50" s="76">
        <f>SUMIFS(разходи!$L:$L,разходи!$E:$E,'ПП Юни'!$C$50,разходи!$M:$M,'ПП Юни'!AH2)</f>
        <v>0</v>
      </c>
      <c r="AI50" s="61">
        <f t="shared" si="15"/>
        <v>0</v>
      </c>
      <c r="AJ50" s="69">
        <f t="shared" si="16"/>
        <v>0</v>
      </c>
    </row>
    <row r="51" spans="1:36" s="21" customFormat="1" ht="20.100000000000001" customHeight="1" outlineLevel="2" x14ac:dyDescent="0.3">
      <c r="A51" s="27"/>
      <c r="B51" s="22"/>
      <c r="C51" s="49" t="s">
        <v>450</v>
      </c>
      <c r="D51" s="80"/>
      <c r="E51" s="76">
        <f>SUMIFS(разходи!$L:$L,разходи!$E:$E,'ПП Юни'!$C$51,разходи!$M:$M,'ПП Юни'!E2)</f>
        <v>0</v>
      </c>
      <c r="F51" s="76">
        <f>SUMIFS(разходи!$L:$L,разходи!$E:$E,'ПП Юни'!$C$51,разходи!$M:$M,'ПП Юни'!F2)</f>
        <v>0</v>
      </c>
      <c r="G51" s="74">
        <f>SUMIFS(разходи!$L:$L,разходи!$E:$E,'ПП Юни'!$C$51,разходи!$M:$M,'ПП Юни'!G2)</f>
        <v>0</v>
      </c>
      <c r="H51" s="74">
        <f>SUMIFS(разходи!$L:$L,разходи!$E:$E,'ПП Юни'!$C$51,разходи!$M:$M,'ПП Юни'!H2)</f>
        <v>0</v>
      </c>
      <c r="I51" s="74">
        <f>SUMIFS(разходи!$L:$L,разходи!$E:$E,'ПП Юни'!$C$51,разходи!$M:$M,'ПП Юни'!I2)</f>
        <v>0</v>
      </c>
      <c r="J51" s="74">
        <f>SUMIFS(разходи!$L:$L,разходи!$E:$E,'ПП Юни'!$C$51,разходи!$M:$M,'ПП Юни'!J2)</f>
        <v>0</v>
      </c>
      <c r="K51" s="74">
        <f>SUMIFS(разходи!$L:$L,разходи!$E:$E,'ПП Юни'!$C$51,разходи!$M:$M,'ПП Юни'!K2)</f>
        <v>0</v>
      </c>
      <c r="L51" s="76">
        <f>SUMIFS(разходи!$L:$L,разходи!$E:$E,'ПП Юни'!$C$51,разходи!$M:$M,'ПП Юни'!L2)</f>
        <v>0</v>
      </c>
      <c r="M51" s="76">
        <f>SUMIFS(разходи!$L:$L,разходи!$E:$E,'ПП Юни'!$C$51,разходи!$M:$M,'ПП Юни'!M2)</f>
        <v>0</v>
      </c>
      <c r="N51" s="74">
        <f>SUMIFS(разходи!$L:$L,разходи!$E:$E,'ПП Юни'!$C$51,разходи!$M:$M,'ПП Юни'!N2)</f>
        <v>0</v>
      </c>
      <c r="O51" s="74">
        <f>SUMIFS(разходи!$L:$L,разходи!$E:$E,'ПП Юни'!$C$51,разходи!$M:$M,'ПП Юни'!O2)</f>
        <v>0</v>
      </c>
      <c r="P51" s="74">
        <f>SUMIFS(разходи!$L:$L,разходи!$E:$E,'ПП Юни'!$C$51,разходи!$M:$M,'ПП Юни'!P2)</f>
        <v>0</v>
      </c>
      <c r="Q51" s="74">
        <f>SUMIFS(разходи!$L:$L,разходи!$E:$E,'ПП Юни'!$C$51,разходи!$M:$M,'ПП Юни'!Q2)</f>
        <v>0</v>
      </c>
      <c r="R51" s="74">
        <f>SUMIFS(разходи!$L:$L,разходи!$E:$E,'ПП Юни'!$C$51,разходи!$M:$M,'ПП Юни'!R2)</f>
        <v>0</v>
      </c>
      <c r="S51" s="76">
        <f>SUMIFS(разходи!$L:$L,разходи!$E:$E,'ПП Юни'!$C$51,разходи!$M:$M,'ПП Юни'!S2)</f>
        <v>0</v>
      </c>
      <c r="T51" s="76">
        <f>SUMIFS(разходи!$L:$L,разходи!$E:$E,'ПП Юни'!$C$51,разходи!$M:$M,'ПП Юни'!T2)</f>
        <v>0</v>
      </c>
      <c r="U51" s="74">
        <f>SUMIFS(разходи!$L:$L,разходи!$E:$E,'ПП Юни'!$C$51,разходи!$M:$M,'ПП Юни'!U2)</f>
        <v>0</v>
      </c>
      <c r="V51" s="74">
        <f>SUMIFS(разходи!$L:$L,разходи!$E:$E,'ПП Юни'!$C$51,разходи!$M:$M,'ПП Юни'!V2)</f>
        <v>0</v>
      </c>
      <c r="W51" s="74">
        <f>SUMIFS(разходи!$L:$L,разходи!$E:$E,'ПП Юни'!$C$51,разходи!$M:$M,'ПП Юни'!W2)</f>
        <v>0</v>
      </c>
      <c r="X51" s="74">
        <f>SUMIFS(разходи!$L:$L,разходи!$E:$E,'ПП Юни'!$C$51,разходи!$M:$M,'ПП Юни'!X2)</f>
        <v>372.75</v>
      </c>
      <c r="Y51" s="74">
        <f>SUMIFS(разходи!$L:$L,разходи!$E:$E,'ПП Юни'!$C$51,разходи!$M:$M,'ПП Юни'!Y2)</f>
        <v>0</v>
      </c>
      <c r="Z51" s="76">
        <f>SUMIFS(разходи!$L:$L,разходи!$E:$E,'ПП Юни'!$C$51,разходи!$M:$M,'ПП Юни'!Z2)</f>
        <v>0</v>
      </c>
      <c r="AA51" s="76">
        <f>SUMIFS(разходи!$L:$L,разходи!$E:$E,'ПП Юни'!$C$51,разходи!$M:$M,'ПП Юни'!AA2)</f>
        <v>0</v>
      </c>
      <c r="AB51" s="74">
        <f>SUMIFS(разходи!$L:$L,разходи!$E:$E,'ПП Юни'!$C$51,разходи!$M:$M,'ПП Юни'!AB2)</f>
        <v>0</v>
      </c>
      <c r="AC51" s="74">
        <f>SUMIFS(разходи!$L:$L,разходи!$E:$E,'ПП Юни'!$C$51,разходи!$M:$M,'ПП Юни'!AC2)</f>
        <v>0</v>
      </c>
      <c r="AD51" s="74">
        <f>SUMIFS(разходи!$L:$L,разходи!$E:$E,'ПП Юни'!$C$51,разходи!$M:$M,'ПП Юни'!AD2)</f>
        <v>0</v>
      </c>
      <c r="AE51" s="74">
        <f>SUMIFS(разходи!$L:$L,разходи!$E:$E,'ПП Юни'!$C$51,разходи!$M:$M,'ПП Юни'!AE2)</f>
        <v>0</v>
      </c>
      <c r="AF51" s="74">
        <f>SUMIFS(разходи!$L:$L,разходи!$E:$E,'ПП Юни'!$C$51,разходи!$M:$M,'ПП Юни'!AF2)</f>
        <v>0</v>
      </c>
      <c r="AG51" s="76">
        <f>SUMIFS(разходи!$L:$L,разходи!$E:$E,'ПП Юни'!$C$51,разходи!$M:$M,'ПП Юни'!AG2)</f>
        <v>0</v>
      </c>
      <c r="AH51" s="76">
        <f>SUMIFS(разходи!$L:$L,разходи!$E:$E,'ПП Юни'!$C$51,разходи!$M:$M,'ПП Юни'!AH2)</f>
        <v>0</v>
      </c>
      <c r="AI51" s="61">
        <f t="shared" si="15"/>
        <v>372.75</v>
      </c>
      <c r="AJ51" s="69">
        <f t="shared" si="16"/>
        <v>-372.75</v>
      </c>
    </row>
    <row r="52" spans="1:36" s="21" customFormat="1" ht="20.100000000000001" customHeight="1" outlineLevel="2" x14ac:dyDescent="0.3">
      <c r="A52" s="27"/>
      <c r="B52" s="22"/>
      <c r="C52" s="49" t="s">
        <v>867</v>
      </c>
      <c r="D52" s="80"/>
      <c r="E52" s="76">
        <f>SUMIFS(разходи!$L:$L,разходи!$E:$E,'ПП Юни'!$C$52,разходи!$M:$M,'ПП Юни'!E2)</f>
        <v>0</v>
      </c>
      <c r="F52" s="76">
        <f>SUMIFS(разходи!$L:$L,разходи!$E:$E,'ПП Юни'!$C$52,разходи!$M:$M,'ПП Юни'!F2)</f>
        <v>0</v>
      </c>
      <c r="G52" s="74">
        <f>SUMIFS(разходи!$L:$L,разходи!$E:$E,'ПП Юни'!$C$52,разходи!$M:$M,'ПП Юни'!G2)</f>
        <v>0</v>
      </c>
      <c r="H52" s="74">
        <f>SUMIFS(разходи!$L:$L,разходи!$E:$E,'ПП Юни'!$C$52,разходи!$M:$M,'ПП Юни'!H2)</f>
        <v>0</v>
      </c>
      <c r="I52" s="74">
        <f>SUMIFS(разходи!$L:$L,разходи!$E:$E,'ПП Юни'!$C$52,разходи!$M:$M,'ПП Юни'!I2)</f>
        <v>0</v>
      </c>
      <c r="J52" s="74">
        <f>SUMIFS(разходи!$L:$L,разходи!$E:$E,'ПП Юни'!$C$52,разходи!$M:$M,'ПП Юни'!J2)</f>
        <v>0</v>
      </c>
      <c r="K52" s="74">
        <f>SUMIFS(разходи!$L:$L,разходи!$E:$E,'ПП Юни'!$C$52,разходи!$M:$M,'ПП Юни'!K2)</f>
        <v>0</v>
      </c>
      <c r="L52" s="76">
        <f>SUMIFS(разходи!$L:$L,разходи!$E:$E,'ПП Юни'!$C$52,разходи!$M:$M,'ПП Юни'!L2)</f>
        <v>0</v>
      </c>
      <c r="M52" s="76">
        <f>SUMIFS(разходи!$L:$L,разходи!$E:$E,'ПП Юни'!$C$52,разходи!$M:$M,'ПП Юни'!M2)</f>
        <v>0</v>
      </c>
      <c r="N52" s="74">
        <f>SUMIFS(разходи!$L:$L,разходи!$E:$E,'ПП Юни'!$C$52,разходи!$M:$M,'ПП Юни'!N2)</f>
        <v>0</v>
      </c>
      <c r="O52" s="74">
        <f>SUMIFS(разходи!$L:$L,разходи!$E:$E,'ПП Юни'!$C$52,разходи!$M:$M,'ПП Юни'!O2)</f>
        <v>0</v>
      </c>
      <c r="P52" s="74">
        <f>SUMIFS(разходи!$L:$L,разходи!$E:$E,'ПП Юни'!$C$52,разходи!$M:$M,'ПП Юни'!P2)</f>
        <v>0</v>
      </c>
      <c r="Q52" s="74">
        <f>SUMIFS(разходи!$L:$L,разходи!$E:$E,'ПП Юни'!$C$52,разходи!$M:$M,'ПП Юни'!Q2)</f>
        <v>0</v>
      </c>
      <c r="R52" s="74">
        <f>SUMIFS(разходи!$L:$L,разходи!$E:$E,'ПП Юни'!$C$52,разходи!$M:$M,'ПП Юни'!R2)</f>
        <v>0</v>
      </c>
      <c r="S52" s="76">
        <f>SUMIFS(разходи!$L:$L,разходи!$E:$E,'ПП Юни'!$C$52,разходи!$M:$M,'ПП Юни'!S2)</f>
        <v>0</v>
      </c>
      <c r="T52" s="76">
        <f>SUMIFS(разходи!$L:$L,разходи!$E:$E,'ПП Юни'!$C$52,разходи!$M:$M,'ПП Юни'!T2)</f>
        <v>0</v>
      </c>
      <c r="U52" s="74">
        <f>SUMIFS(разходи!$L:$L,разходи!$E:$E,'ПП Юни'!$C$52,разходи!$M:$M,'ПП Юни'!U2)</f>
        <v>0</v>
      </c>
      <c r="V52" s="74">
        <f>SUMIFS(разходи!$L:$L,разходи!$E:$E,'ПП Юни'!$C$52,разходи!$M:$M,'ПП Юни'!V2)</f>
        <v>0</v>
      </c>
      <c r="W52" s="74">
        <f>SUMIFS(разходи!$L:$L,разходи!$E:$E,'ПП Юни'!$C$52,разходи!$M:$M,'ПП Юни'!W2)</f>
        <v>0</v>
      </c>
      <c r="X52" s="74">
        <f>SUMIFS(разходи!$L:$L,разходи!$E:$E,'ПП Юни'!$C$52,разходи!$M:$M,'ПП Юни'!X2)</f>
        <v>0</v>
      </c>
      <c r="Y52" s="74">
        <f>SUMIFS(разходи!$L:$L,разходи!$E:$E,'ПП Юни'!$C$52,разходи!$M:$M,'ПП Юни'!Y2)</f>
        <v>0</v>
      </c>
      <c r="Z52" s="76">
        <f>SUMIFS(разходи!$L:$L,разходи!$E:$E,'ПП Юни'!$C$52,разходи!$M:$M,'ПП Юни'!Z2)</f>
        <v>0</v>
      </c>
      <c r="AA52" s="76">
        <f>SUMIFS(разходи!$L:$L,разходи!$E:$E,'ПП Юни'!$C$52,разходи!$M:$M,'ПП Юни'!AA2)</f>
        <v>0</v>
      </c>
      <c r="AB52" s="74">
        <f>SUMIFS(разходи!$L:$L,разходи!$E:$E,'ПП Юни'!$C$52,разходи!$M:$M,'ПП Юни'!AB2)</f>
        <v>0</v>
      </c>
      <c r="AC52" s="74">
        <f>SUMIFS(разходи!$L:$L,разходи!$E:$E,'ПП Юни'!$C$52,разходи!$M:$M,'ПП Юни'!AC2)</f>
        <v>0</v>
      </c>
      <c r="AD52" s="74">
        <f>SUMIFS(разходи!$L:$L,разходи!$E:$E,'ПП Юни'!$C$52,разходи!$M:$M,'ПП Юни'!AD2)</f>
        <v>0</v>
      </c>
      <c r="AE52" s="74">
        <f>SUMIFS(разходи!$L:$L,разходи!$E:$E,'ПП Юни'!$C$52,разходи!$M:$M,'ПП Юни'!AE2)</f>
        <v>0</v>
      </c>
      <c r="AF52" s="74">
        <f>SUMIFS(разходи!$L:$L,разходи!$E:$E,'ПП Юни'!$C$52,разходи!$M:$M,'ПП Юни'!AF2)</f>
        <v>0</v>
      </c>
      <c r="AG52" s="76">
        <f>SUMIFS(разходи!$L:$L,разходи!$E:$E,'ПП Юни'!$C$52,разходи!$M:$M,'ПП Юни'!AG2)</f>
        <v>0</v>
      </c>
      <c r="AH52" s="76">
        <f>SUMIFS(разходи!$L:$L,разходи!$E:$E,'ПП Юни'!$C$52,разходи!$M:$M,'ПП Юни'!AH2)</f>
        <v>0</v>
      </c>
      <c r="AI52" s="61">
        <f t="shared" si="15"/>
        <v>0</v>
      </c>
      <c r="AJ52" s="69">
        <f t="shared" si="16"/>
        <v>0</v>
      </c>
    </row>
    <row r="53" spans="1:36" s="21" customFormat="1" ht="20.100000000000001" customHeight="1" outlineLevel="1" x14ac:dyDescent="0.3">
      <c r="A53" s="27"/>
      <c r="B53" s="22"/>
      <c r="C53" s="8" t="s">
        <v>868</v>
      </c>
      <c r="D53" s="80"/>
      <c r="E53" s="76">
        <f>SUMIFS(разходи!$L:$L,разходи!$E:$E,'ПП Юни'!$C$57,разходи!$M:$M,'ПП Юни'!E2)</f>
        <v>0</v>
      </c>
      <c r="F53" s="76">
        <f>SUMIFS(разходи!$L:$L,разходи!$E:$E,'ПП Юни'!$C$57,разходи!$M:$M,'ПП Юни'!F2)</f>
        <v>0</v>
      </c>
      <c r="G53" s="74">
        <f>SUMIFS(разходи!$L:$L,разходи!$E:$E,'ПП Юни'!$C$57,разходи!$M:$M,'ПП Юни'!G2)</f>
        <v>0</v>
      </c>
      <c r="H53" s="74">
        <f>SUMIFS(разходи!$L:$L,разходи!$E:$E,'ПП Юни'!$C$57,разходи!$M:$M,'ПП Юни'!H2)</f>
        <v>0</v>
      </c>
      <c r="I53" s="74">
        <f>SUMIFS(разходи!$L:$L,разходи!$E:$E,'ПП Юни'!$C$57,разходи!$M:$M,'ПП Юни'!I2)</f>
        <v>0</v>
      </c>
      <c r="J53" s="74">
        <f>SUMIFS(разходи!$L:$L,разходи!$E:$E,'ПП Юни'!$C$57,разходи!$M:$M,'ПП Юни'!J2)</f>
        <v>0</v>
      </c>
      <c r="K53" s="74">
        <f>SUMIFS(разходи!$L:$L,разходи!$E:$E,'ПП Юни'!$C$57,разходи!$M:$M,'ПП Юни'!K2)</f>
        <v>0</v>
      </c>
      <c r="L53" s="76">
        <f>SUMIFS(разходи!$L:$L,разходи!$E:$E,'ПП Юни'!$C$57,разходи!$M:$M,'ПП Юни'!L2)</f>
        <v>0</v>
      </c>
      <c r="M53" s="76">
        <f>SUMIFS(разходи!$L:$L,разходи!$E:$E,'ПП Юни'!$C$57,разходи!$M:$M,'ПП Юни'!M2)</f>
        <v>0</v>
      </c>
      <c r="N53" s="74">
        <f>SUMIFS(разходи!$L:$L,разходи!$E:$E,'ПП Юни'!$C$57,разходи!$M:$M,'ПП Юни'!N2)</f>
        <v>0</v>
      </c>
      <c r="O53" s="74">
        <f>SUMIFS(разходи!$L:$L,разходи!$E:$E,'ПП Юни'!$C$57,разходи!$M:$M,'ПП Юни'!O2)</f>
        <v>0</v>
      </c>
      <c r="P53" s="74">
        <f>SUMIFS(разходи!$L:$L,разходи!$E:$E,'ПП Юни'!$C$57,разходи!$M:$M,'ПП Юни'!P2)</f>
        <v>0</v>
      </c>
      <c r="Q53" s="74">
        <f>SUMIFS(разходи!$L:$L,разходи!$E:$E,'ПП Юни'!$C$57,разходи!$M:$M,'ПП Юни'!Q2)</f>
        <v>0</v>
      </c>
      <c r="R53" s="74">
        <f>SUMIFS(разходи!$L:$L,разходи!$E:$E,'ПП Юни'!$C$57,разходи!$M:$M,'ПП Юни'!R2)</f>
        <v>0</v>
      </c>
      <c r="S53" s="76">
        <f>SUMIFS(разходи!$L:$L,разходи!$E:$E,'ПП Юни'!$C$57,разходи!$M:$M,'ПП Юни'!S2)</f>
        <v>0</v>
      </c>
      <c r="T53" s="76">
        <f>SUMIFS(разходи!$L:$L,разходи!$E:$E,'ПП Юни'!$C$57,разходи!$M:$M,'ПП Юни'!T2)</f>
        <v>0</v>
      </c>
      <c r="U53" s="74">
        <f>SUMIFS(разходи!$L:$L,разходи!$E:$E,'ПП Юни'!$C$57,разходи!$M:$M,'ПП Юни'!U2)</f>
        <v>0</v>
      </c>
      <c r="V53" s="74">
        <f>SUMIFS(разходи!$L:$L,разходи!$E:$E,'ПП Юни'!$C$57,разходи!$M:$M,'ПП Юни'!V2)</f>
        <v>0</v>
      </c>
      <c r="W53" s="74">
        <f>SUMIFS(разходи!$L:$L,разходи!$E:$E,'ПП Юни'!$C$57,разходи!$M:$M,'ПП Юни'!W2)</f>
        <v>0</v>
      </c>
      <c r="X53" s="74">
        <f>SUMIFS(разходи!$L:$L,разходи!$E:$E,'ПП Юни'!$C$57,разходи!$M:$M,'ПП Юни'!X2)</f>
        <v>0</v>
      </c>
      <c r="Y53" s="74">
        <f>SUMIFS(разходи!$L:$L,разходи!$E:$E,'ПП Юни'!$C$57,разходи!$M:$M,'ПП Юни'!Y2)</f>
        <v>0</v>
      </c>
      <c r="Z53" s="76">
        <f>SUMIFS(разходи!$L:$L,разходи!$E:$E,'ПП Юни'!$C$57,разходи!$M:$M,'ПП Юни'!Z2)</f>
        <v>0</v>
      </c>
      <c r="AA53" s="76">
        <f>SUMIFS(разходи!$L:$L,разходи!$E:$E,'ПП Юни'!$C$57,разходи!$M:$M,'ПП Юни'!AA2)</f>
        <v>0</v>
      </c>
      <c r="AB53" s="74">
        <f>SUMIFS(разходи!$L:$L,разходи!$E:$E,'ПП Юни'!$C$57,разходи!$M:$M,'ПП Юни'!AB2)</f>
        <v>0</v>
      </c>
      <c r="AC53" s="74">
        <f>SUMIFS(разходи!$L:$L,разходи!$E:$E,'ПП Юни'!$C$57,разходи!$M:$M,'ПП Юни'!AC2)</f>
        <v>0</v>
      </c>
      <c r="AD53" s="74">
        <f>SUMIFS(разходи!$L:$L,разходи!$E:$E,'ПП Юни'!$C$57,разходи!$M:$M,'ПП Юни'!AD2)</f>
        <v>0</v>
      </c>
      <c r="AE53" s="74">
        <f>SUMIFS(разходи!$L:$L,разходи!$E:$E,'ПП Юни'!$C$57,разходи!$M:$M,'ПП Юни'!AE2)</f>
        <v>0</v>
      </c>
      <c r="AF53" s="74">
        <f>SUMIFS(разходи!$L:$L,разходи!$E:$E,'ПП Юни'!$C$57,разходи!$M:$M,'ПП Юни'!AF2)</f>
        <v>0</v>
      </c>
      <c r="AG53" s="76">
        <f>SUMIFS(разходи!$L:$L,разходи!$E:$E,'ПП Юни'!$C$57,разходи!$M:$M,'ПП Юни'!AG2)</f>
        <v>0</v>
      </c>
      <c r="AH53" s="76">
        <f>SUMIFS(разходи!$L:$L,разходи!$E:$E,'ПП Юни'!$C$57,разходи!$M:$M,'ПП Юни'!AH2)</f>
        <v>0</v>
      </c>
      <c r="AI53" s="61">
        <f t="shared" si="15"/>
        <v>0</v>
      </c>
      <c r="AJ53" s="69">
        <f t="shared" si="16"/>
        <v>0</v>
      </c>
    </row>
    <row r="54" spans="1:36" s="53" customFormat="1" ht="20.100000000000001" customHeight="1" outlineLevel="2" x14ac:dyDescent="0.3">
      <c r="A54" s="51"/>
      <c r="B54" s="52"/>
      <c r="C54" s="49" t="s">
        <v>869</v>
      </c>
      <c r="D54" s="80"/>
      <c r="E54" s="76">
        <f>SUMIFS(разходи!$L:$L,разходи!$E:$E,'ПП Юни'!$C$54,разходи!$M:$M,'ПП Юни'!E2)</f>
        <v>0</v>
      </c>
      <c r="F54" s="76">
        <f>SUMIFS(разходи!$L:$L,разходи!$E:$E,'ПП Юни'!$C$54,разходи!$M:$M,'ПП Юни'!F2)</f>
        <v>0</v>
      </c>
      <c r="G54" s="74">
        <f>SUMIFS(разходи!$L:$L,разходи!$E:$E,'ПП Юни'!$C$54,разходи!$M:$M,'ПП Юни'!G2)</f>
        <v>0</v>
      </c>
      <c r="H54" s="74">
        <f>SUMIFS(разходи!$L:$L,разходи!$E:$E,'ПП Юни'!$C$54,разходи!$M:$M,'ПП Юни'!H2)</f>
        <v>0</v>
      </c>
      <c r="I54" s="74">
        <f>SUMIFS(разходи!$L:$L,разходи!$E:$E,'ПП Юни'!$C$54,разходи!$M:$M,'ПП Юни'!I2)</f>
        <v>0</v>
      </c>
      <c r="J54" s="74">
        <f>SUMIFS(разходи!$L:$L,разходи!$E:$E,'ПП Юни'!$C$54,разходи!$M:$M,'ПП Юни'!J2)</f>
        <v>0</v>
      </c>
      <c r="K54" s="74">
        <f>SUMIFS(разходи!$L:$L,разходи!$E:$E,'ПП Юни'!$C$54,разходи!$M:$M,'ПП Юни'!K2)</f>
        <v>0</v>
      </c>
      <c r="L54" s="76">
        <f>SUMIFS(разходи!$L:$L,разходи!$E:$E,'ПП Юни'!$C$54,разходи!$M:$M,'ПП Юни'!L2)</f>
        <v>0</v>
      </c>
      <c r="M54" s="76">
        <f>SUMIFS(разходи!$L:$L,разходи!$E:$E,'ПП Юни'!$C$54,разходи!$M:$M,'ПП Юни'!M2)</f>
        <v>0</v>
      </c>
      <c r="N54" s="74">
        <f>SUMIFS(разходи!$L:$L,разходи!$E:$E,'ПП Юни'!$C$54,разходи!$M:$M,'ПП Юни'!N2)</f>
        <v>0</v>
      </c>
      <c r="O54" s="74">
        <f>SUMIFS(разходи!$L:$L,разходи!$E:$E,'ПП Юни'!$C$54,разходи!$M:$M,'ПП Юни'!O2)</f>
        <v>0</v>
      </c>
      <c r="P54" s="74">
        <f>SUMIFS(разходи!$L:$L,разходи!$E:$E,'ПП Юни'!$C$54,разходи!$M:$M,'ПП Юни'!P2)</f>
        <v>0</v>
      </c>
      <c r="Q54" s="74">
        <f>SUMIFS(разходи!$L:$L,разходи!$E:$E,'ПП Юни'!$C$54,разходи!$M:$M,'ПП Юни'!Q2)</f>
        <v>0</v>
      </c>
      <c r="R54" s="74">
        <f>SUMIFS(разходи!$L:$L,разходи!$E:$E,'ПП Юни'!$C$54,разходи!$M:$M,'ПП Юни'!R2)</f>
        <v>0</v>
      </c>
      <c r="S54" s="76">
        <f>SUMIFS(разходи!$L:$L,разходи!$E:$E,'ПП Юни'!$C$54,разходи!$M:$M,'ПП Юни'!S2)</f>
        <v>0</v>
      </c>
      <c r="T54" s="76">
        <f>SUMIFS(разходи!$L:$L,разходи!$E:$E,'ПП Юни'!$C$54,разходи!$M:$M,'ПП Юни'!T2)</f>
        <v>0</v>
      </c>
      <c r="U54" s="74">
        <f>SUMIFS(разходи!$L:$L,разходи!$E:$E,'ПП Юни'!$C$54,разходи!$M:$M,'ПП Юни'!U2)</f>
        <v>0</v>
      </c>
      <c r="V54" s="74">
        <f>SUMIFS(разходи!$L:$L,разходи!$E:$E,'ПП Юни'!$C$54,разходи!$M:$M,'ПП Юни'!V2)</f>
        <v>0</v>
      </c>
      <c r="W54" s="74">
        <f>SUMIFS(разходи!$L:$L,разходи!$E:$E,'ПП Юни'!$C$54,разходи!$M:$M,'ПП Юни'!W2)</f>
        <v>0</v>
      </c>
      <c r="X54" s="74">
        <f>SUMIFS(разходи!$L:$L,разходи!$E:$E,'ПП Юни'!$C$54,разходи!$M:$M,'ПП Юни'!X2)</f>
        <v>0</v>
      </c>
      <c r="Y54" s="74">
        <f>SUMIFS(разходи!$L:$L,разходи!$E:$E,'ПП Юни'!$C$54,разходи!$M:$M,'ПП Юни'!Y2)</f>
        <v>0</v>
      </c>
      <c r="Z54" s="76">
        <f>SUMIFS(разходи!$L:$L,разходи!$E:$E,'ПП Юни'!$C$54,разходи!$M:$M,'ПП Юни'!Z2)</f>
        <v>0</v>
      </c>
      <c r="AA54" s="76">
        <f>SUMIFS(разходи!$L:$L,разходи!$E:$E,'ПП Юни'!$C$54,разходи!$M:$M,'ПП Юни'!AA2)</f>
        <v>0</v>
      </c>
      <c r="AB54" s="74">
        <f>SUMIFS(разходи!$L:$L,разходи!$E:$E,'ПП Юни'!$C$54,разходи!$M:$M,'ПП Юни'!AB2)</f>
        <v>0</v>
      </c>
      <c r="AC54" s="74">
        <f>SUMIFS(разходи!$L:$L,разходи!$E:$E,'ПП Юни'!$C$54,разходи!$M:$M,'ПП Юни'!AC2)</f>
        <v>0</v>
      </c>
      <c r="AD54" s="74">
        <f>SUMIFS(разходи!$L:$L,разходи!$E:$E,'ПП Юни'!$C$54,разходи!$M:$M,'ПП Юни'!AD2)</f>
        <v>0</v>
      </c>
      <c r="AE54" s="74">
        <f>SUMIFS(разходи!$L:$L,разходи!$E:$E,'ПП Юни'!$C$54,разходи!$M:$M,'ПП Юни'!AE2)</f>
        <v>0</v>
      </c>
      <c r="AF54" s="74">
        <f>SUMIFS(разходи!$L:$L,разходи!$E:$E,'ПП Юни'!$C$54,разходи!$M:$M,'ПП Юни'!AF2)</f>
        <v>0</v>
      </c>
      <c r="AG54" s="76">
        <f>SUMIFS(разходи!$L:$L,разходи!$E:$E,'ПП Юни'!$C$54,разходи!$M:$M,'ПП Юни'!AG2)</f>
        <v>0</v>
      </c>
      <c r="AH54" s="76">
        <f>SUMIFS(разходи!$L:$L,разходи!$E:$E,'ПП Юни'!$C$54,разходи!$M:$M,'ПП Юни'!AH2)</f>
        <v>0</v>
      </c>
      <c r="AI54" s="61">
        <f t="shared" si="15"/>
        <v>0</v>
      </c>
      <c r="AJ54" s="69">
        <f t="shared" si="16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6">
        <f>SUMIFS(разходи!$L:$L,разходи!$E:$E,'ПП Юни'!$C$55,разходи!$M:$M,'ПП Юни'!E2)</f>
        <v>0</v>
      </c>
      <c r="F55" s="76">
        <f>SUMIFS(разходи!$L:$L,разходи!$E:$E,'ПП Юни'!$C$55,разходи!$M:$M,'ПП Юни'!F2)</f>
        <v>0</v>
      </c>
      <c r="G55" s="74">
        <f>SUMIFS(разходи!$L:$L,разходи!$E:$E,'ПП Юни'!$C$55,разходи!$M:$M,'ПП Юни'!G2)</f>
        <v>0</v>
      </c>
      <c r="H55" s="74">
        <f>SUMIFS(разходи!$L:$L,разходи!$E:$E,'ПП Юни'!$C$55,разходи!$M:$M,'ПП Юни'!H2)</f>
        <v>0</v>
      </c>
      <c r="I55" s="74">
        <f>SUMIFS(разходи!$L:$L,разходи!$E:$E,'ПП Юни'!$C$55,разходи!$M:$M,'ПП Юни'!I2)</f>
        <v>0</v>
      </c>
      <c r="J55" s="74">
        <f>SUMIFS(разходи!$L:$L,разходи!$E:$E,'ПП Юни'!$C$55,разходи!$M:$M,'ПП Юни'!J2)</f>
        <v>0</v>
      </c>
      <c r="K55" s="74">
        <f>SUMIFS(разходи!$L:$L,разходи!$E:$E,'ПП Юни'!$C$55,разходи!$M:$M,'ПП Юни'!K2)</f>
        <v>0</v>
      </c>
      <c r="L55" s="76">
        <f>SUMIFS(разходи!$L:$L,разходи!$E:$E,'ПП Юни'!$C$55,разходи!$M:$M,'ПП Юни'!L2)</f>
        <v>0</v>
      </c>
      <c r="M55" s="76">
        <f>SUMIFS(разходи!$L:$L,разходи!$E:$E,'ПП Юни'!$C$55,разходи!$M:$M,'ПП Юни'!M2)</f>
        <v>0</v>
      </c>
      <c r="N55" s="74">
        <f>SUMIFS(разходи!$L:$L,разходи!$E:$E,'ПП Юни'!$C$55,разходи!$M:$M,'ПП Юни'!N2)</f>
        <v>0</v>
      </c>
      <c r="O55" s="74">
        <f>SUMIFS(разходи!$L:$L,разходи!$E:$E,'ПП Юни'!$C$55,разходи!$M:$M,'ПП Юни'!O2)</f>
        <v>0</v>
      </c>
      <c r="P55" s="74">
        <f>SUMIFS(разходи!$L:$L,разходи!$E:$E,'ПП Юни'!$C$55,разходи!$M:$M,'ПП Юни'!P2)</f>
        <v>0</v>
      </c>
      <c r="Q55" s="74">
        <f>SUMIFS(разходи!$L:$L,разходи!$E:$E,'ПП Юни'!$C$55,разходи!$M:$M,'ПП Юни'!Q2)</f>
        <v>0</v>
      </c>
      <c r="R55" s="74">
        <f>SUMIFS(разходи!$L:$L,разходи!$E:$E,'ПП Юни'!$C$55,разходи!$M:$M,'ПП Юни'!R2)</f>
        <v>0</v>
      </c>
      <c r="S55" s="76">
        <f>SUMIFS(разходи!$L:$L,разходи!$E:$E,'ПП Юни'!$C$55,разходи!$M:$M,'ПП Юни'!S2)</f>
        <v>0</v>
      </c>
      <c r="T55" s="76">
        <f>SUMIFS(разходи!$L:$L,разходи!$E:$E,'ПП Юни'!$C$55,разходи!$M:$M,'ПП Юни'!T2)</f>
        <v>0</v>
      </c>
      <c r="U55" s="74">
        <f>SUMIFS(разходи!$L:$L,разходи!$E:$E,'ПП Юни'!$C$55,разходи!$M:$M,'ПП Юни'!U2)</f>
        <v>0</v>
      </c>
      <c r="V55" s="74">
        <f>SUMIFS(разходи!$L:$L,разходи!$E:$E,'ПП Юни'!$C$55,разходи!$M:$M,'ПП Юни'!V2)</f>
        <v>0</v>
      </c>
      <c r="W55" s="74">
        <f>SUMIFS(разходи!$L:$L,разходи!$E:$E,'ПП Юни'!$C$55,разходи!$M:$M,'ПП Юни'!W2)</f>
        <v>0</v>
      </c>
      <c r="X55" s="74">
        <f>SUMIFS(разходи!$L:$L,разходи!$E:$E,'ПП Юни'!$C$55,разходи!$M:$M,'ПП Юни'!X2)</f>
        <v>0</v>
      </c>
      <c r="Y55" s="74">
        <f>SUMIFS(разходи!$L:$L,разходи!$E:$E,'ПП Юни'!$C$55,разходи!$M:$M,'ПП Юни'!Y2)</f>
        <v>0</v>
      </c>
      <c r="Z55" s="76">
        <f>SUMIFS(разходи!$L:$L,разходи!$E:$E,'ПП Юни'!$C$55,разходи!$M:$M,'ПП Юни'!Z2)</f>
        <v>0</v>
      </c>
      <c r="AA55" s="76">
        <f>SUMIFS(разходи!$L:$L,разходи!$E:$E,'ПП Юни'!$C$55,разходи!$M:$M,'ПП Юни'!AA2)</f>
        <v>0</v>
      </c>
      <c r="AB55" s="74">
        <f>SUMIFS(разходи!$L:$L,разходи!$E:$E,'ПП Юни'!$C$55,разходи!$M:$M,'ПП Юни'!AB2)</f>
        <v>0</v>
      </c>
      <c r="AC55" s="74">
        <f>SUMIFS(разходи!$L:$L,разходи!$E:$E,'ПП Юни'!$C$55,разходи!$M:$M,'ПП Юни'!AC2)</f>
        <v>0</v>
      </c>
      <c r="AD55" s="74">
        <f>SUMIFS(разходи!$L:$L,разходи!$E:$E,'ПП Юни'!$C$55,разходи!$M:$M,'ПП Юни'!AD2)</f>
        <v>0</v>
      </c>
      <c r="AE55" s="74">
        <f>SUMIFS(разходи!$L:$L,разходи!$E:$E,'ПП Юни'!$C$55,разходи!$M:$M,'ПП Юни'!AE2)</f>
        <v>0</v>
      </c>
      <c r="AF55" s="74">
        <f>SUMIFS(разходи!$L:$L,разходи!$E:$E,'ПП Юни'!$C$55,разходи!$M:$M,'ПП Юни'!AF2)</f>
        <v>0</v>
      </c>
      <c r="AG55" s="76">
        <f>SUMIFS(разходи!$L:$L,разходи!$E:$E,'ПП Юни'!$C$55,разходи!$M:$M,'ПП Юни'!AG2)</f>
        <v>0</v>
      </c>
      <c r="AH55" s="76">
        <f>SUMIFS(разходи!$L:$L,разходи!$E:$E,'ПП Юни'!$C$55,разходи!$M:$M,'ПП Юни'!AH2)</f>
        <v>0</v>
      </c>
      <c r="AI55" s="61">
        <f t="shared" si="15"/>
        <v>0</v>
      </c>
      <c r="AJ55" s="69">
        <f t="shared" si="16"/>
        <v>3000</v>
      </c>
    </row>
    <row r="56" spans="1:36" s="39" customFormat="1" ht="20.100000000000001" customHeight="1" outlineLevel="1" x14ac:dyDescent="0.3">
      <c r="A56" s="37"/>
      <c r="B56" s="38"/>
      <c r="C56" s="48" t="s">
        <v>870</v>
      </c>
      <c r="D56" s="80"/>
      <c r="E56" s="76">
        <f t="shared" ref="E56:AH56" si="21">SUM(E57:E61)</f>
        <v>0</v>
      </c>
      <c r="F56" s="76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4">
        <f t="shared" si="21"/>
        <v>0</v>
      </c>
      <c r="L56" s="76">
        <f t="shared" si="21"/>
        <v>0</v>
      </c>
      <c r="M56" s="76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4">
        <f t="shared" si="21"/>
        <v>0</v>
      </c>
      <c r="R56" s="74">
        <f t="shared" si="21"/>
        <v>0</v>
      </c>
      <c r="S56" s="76">
        <f t="shared" si="21"/>
        <v>0</v>
      </c>
      <c r="T56" s="76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4">
        <f t="shared" si="21"/>
        <v>0</v>
      </c>
      <c r="Y56" s="74">
        <f t="shared" si="21"/>
        <v>0</v>
      </c>
      <c r="Z56" s="76">
        <f t="shared" si="21"/>
        <v>0</v>
      </c>
      <c r="AA56" s="76">
        <f t="shared" si="21"/>
        <v>0</v>
      </c>
      <c r="AB56" s="74">
        <f t="shared" si="21"/>
        <v>0</v>
      </c>
      <c r="AC56" s="74">
        <f t="shared" si="21"/>
        <v>0</v>
      </c>
      <c r="AD56" s="74">
        <f t="shared" si="21"/>
        <v>0</v>
      </c>
      <c r="AE56" s="74">
        <f t="shared" si="21"/>
        <v>0</v>
      </c>
      <c r="AF56" s="74">
        <f t="shared" si="21"/>
        <v>0</v>
      </c>
      <c r="AG56" s="76">
        <f t="shared" si="21"/>
        <v>0</v>
      </c>
      <c r="AH56" s="76">
        <f t="shared" si="21"/>
        <v>0</v>
      </c>
      <c r="AI56" s="61">
        <f t="shared" si="15"/>
        <v>0</v>
      </c>
      <c r="AJ56" s="69">
        <f t="shared" si="16"/>
        <v>0</v>
      </c>
    </row>
    <row r="57" spans="1:36" s="39" customFormat="1" ht="20.100000000000001" customHeight="1" outlineLevel="2" x14ac:dyDescent="0.3">
      <c r="A57" s="37"/>
      <c r="B57" s="38"/>
      <c r="C57" s="49" t="s">
        <v>871</v>
      </c>
      <c r="D57" s="80"/>
      <c r="E57" s="76">
        <f>SUMIFS(разходи!$L:$L,разходи!$E:$E,'ПП Юни'!$C$57,разходи!$M:$M,'ПП Юни'!E2)</f>
        <v>0</v>
      </c>
      <c r="F57" s="76">
        <f>SUMIFS(разходи!$L:$L,разходи!$E:$E,'ПП Юни'!$C$57,разходи!$M:$M,'ПП Юни'!F2)</f>
        <v>0</v>
      </c>
      <c r="G57" s="74">
        <f>SUMIFS(разходи!$L:$L,разходи!$E:$E,'ПП Юни'!$C$57,разходи!$M:$M,'ПП Юни'!G2)</f>
        <v>0</v>
      </c>
      <c r="H57" s="74">
        <f>SUMIFS(разходи!$L:$L,разходи!$E:$E,'ПП Юни'!$C$57,разходи!$M:$M,'ПП Юни'!H2)</f>
        <v>0</v>
      </c>
      <c r="I57" s="74">
        <f>SUMIFS(разходи!$L:$L,разходи!$E:$E,'ПП Юни'!$C$57,разходи!$M:$M,'ПП Юни'!I2)</f>
        <v>0</v>
      </c>
      <c r="J57" s="74">
        <f>SUMIFS(разходи!$L:$L,разходи!$E:$E,'ПП Юни'!$C$57,разходи!$M:$M,'ПП Юни'!J2)</f>
        <v>0</v>
      </c>
      <c r="K57" s="74">
        <f>SUMIFS(разходи!$L:$L,разходи!$E:$E,'ПП Юни'!$C$57,разходи!$M:$M,'ПП Юни'!K2)</f>
        <v>0</v>
      </c>
      <c r="L57" s="76">
        <f>SUMIFS(разходи!$L:$L,разходи!$E:$E,'ПП Юни'!$C$57,разходи!$M:$M,'ПП Юни'!L2)</f>
        <v>0</v>
      </c>
      <c r="M57" s="76">
        <f>SUMIFS(разходи!$L:$L,разходи!$E:$E,'ПП Юни'!$C$57,разходи!$M:$M,'ПП Юни'!M2)</f>
        <v>0</v>
      </c>
      <c r="N57" s="74">
        <f>SUMIFS(разходи!$L:$L,разходи!$E:$E,'ПП Юни'!$C$57,разходи!$M:$M,'ПП Юни'!N2)</f>
        <v>0</v>
      </c>
      <c r="O57" s="74">
        <f>SUMIFS(разходи!$L:$L,разходи!$E:$E,'ПП Юни'!$C$57,разходи!$M:$M,'ПП Юни'!O2)</f>
        <v>0</v>
      </c>
      <c r="P57" s="74">
        <f>SUMIFS(разходи!$L:$L,разходи!$E:$E,'ПП Юни'!$C$57,разходи!$M:$M,'ПП Юни'!P2)</f>
        <v>0</v>
      </c>
      <c r="Q57" s="74">
        <f>SUMIFS(разходи!$L:$L,разходи!$E:$E,'ПП Юни'!$C$57,разходи!$M:$M,'ПП Юни'!Q2)</f>
        <v>0</v>
      </c>
      <c r="R57" s="74">
        <f>SUMIFS(разходи!$L:$L,разходи!$E:$E,'ПП Юни'!$C$57,разходи!$M:$M,'ПП Юни'!R2)</f>
        <v>0</v>
      </c>
      <c r="S57" s="76">
        <f>SUMIFS(разходи!$L:$L,разходи!$E:$E,'ПП Юни'!$C$57,разходи!$M:$M,'ПП Юни'!S2)</f>
        <v>0</v>
      </c>
      <c r="T57" s="76">
        <f>SUMIFS(разходи!$L:$L,разходи!$E:$E,'ПП Юни'!$C$57,разходи!$M:$M,'ПП Юни'!T2)</f>
        <v>0</v>
      </c>
      <c r="U57" s="74">
        <f>SUMIFS(разходи!$L:$L,разходи!$E:$E,'ПП Юни'!$C$57,разходи!$M:$M,'ПП Юни'!U2)</f>
        <v>0</v>
      </c>
      <c r="V57" s="74">
        <f>SUMIFS(разходи!$L:$L,разходи!$E:$E,'ПП Юни'!$C$57,разходи!$M:$M,'ПП Юни'!V2)</f>
        <v>0</v>
      </c>
      <c r="W57" s="74">
        <f>SUMIFS(разходи!$L:$L,разходи!$E:$E,'ПП Юни'!$C$57,разходи!$M:$M,'ПП Юни'!W2)</f>
        <v>0</v>
      </c>
      <c r="X57" s="74">
        <f>SUMIFS(разходи!$L:$L,разходи!$E:$E,'ПП Юни'!$C$57,разходи!$M:$M,'ПП Юни'!X2)</f>
        <v>0</v>
      </c>
      <c r="Y57" s="74">
        <f>SUMIFS(разходи!$L:$L,разходи!$E:$E,'ПП Юни'!$C$57,разходи!$M:$M,'ПП Юни'!Y2)</f>
        <v>0</v>
      </c>
      <c r="Z57" s="76">
        <f>SUMIFS(разходи!$L:$L,разходи!$E:$E,'ПП Юни'!$C$57,разходи!$M:$M,'ПП Юни'!Z2)</f>
        <v>0</v>
      </c>
      <c r="AA57" s="76">
        <f>SUMIFS(разходи!$L:$L,разходи!$E:$E,'ПП Юни'!$C$57,разходи!$M:$M,'ПП Юни'!AA2)</f>
        <v>0</v>
      </c>
      <c r="AB57" s="74">
        <f>SUMIFS(разходи!$L:$L,разходи!$E:$E,'ПП Юни'!$C$57,разходи!$M:$M,'ПП Юни'!AB2)</f>
        <v>0</v>
      </c>
      <c r="AC57" s="74">
        <f>SUMIFS(разходи!$L:$L,разходи!$E:$E,'ПП Юни'!$C$57,разходи!$M:$M,'ПП Юни'!AC2)</f>
        <v>0</v>
      </c>
      <c r="AD57" s="74">
        <f>SUMIFS(разходи!$L:$L,разходи!$E:$E,'ПП Юни'!$C$57,разходи!$M:$M,'ПП Юни'!AD2)</f>
        <v>0</v>
      </c>
      <c r="AE57" s="74">
        <f>SUMIFS(разходи!$L:$L,разходи!$E:$E,'ПП Юни'!$C$57,разходи!$M:$M,'ПП Юни'!AE2)</f>
        <v>0</v>
      </c>
      <c r="AF57" s="74">
        <f>SUMIFS(разходи!$L:$L,разходи!$E:$E,'ПП Юни'!$C$57,разходи!$M:$M,'ПП Юни'!AF2)</f>
        <v>0</v>
      </c>
      <c r="AG57" s="76">
        <f>SUMIFS(разходи!$L:$L,разходи!$E:$E,'ПП Юни'!$C$57,разходи!$M:$M,'ПП Юни'!AG2)</f>
        <v>0</v>
      </c>
      <c r="AH57" s="76">
        <f>SUMIFS(разходи!$L:$L,разходи!$E:$E,'ПП Юни'!$C$57,разходи!$M:$M,'ПП Юни'!AH2)</f>
        <v>0</v>
      </c>
      <c r="AI57" s="61">
        <f t="shared" si="15"/>
        <v>0</v>
      </c>
      <c r="AJ57" s="69">
        <f t="shared" si="16"/>
        <v>0</v>
      </c>
    </row>
    <row r="58" spans="1:36" s="39" customFormat="1" ht="20.100000000000001" customHeight="1" outlineLevel="2" x14ac:dyDescent="0.3">
      <c r="A58" s="37"/>
      <c r="B58" s="38"/>
      <c r="C58" s="49" t="s">
        <v>872</v>
      </c>
      <c r="D58" s="80">
        <v>610</v>
      </c>
      <c r="E58" s="76">
        <f>SUMIFS(разходи!$L:$L,разходи!$E:$E,'ПП Юни'!$C$58,разходи!$M:$M,'ПП Юни'!E2)</f>
        <v>0</v>
      </c>
      <c r="F58" s="76">
        <f>SUMIFS(разходи!$L:$L,разходи!$E:$E,'ПП Юни'!$C$58,разходи!$M:$M,'ПП Юни'!F2)</f>
        <v>0</v>
      </c>
      <c r="G58" s="74">
        <f>SUMIFS(разходи!$L:$L,разходи!$E:$E,'ПП Юни'!$C$58,разходи!$M:$M,'ПП Юни'!G2)</f>
        <v>0</v>
      </c>
      <c r="H58" s="74">
        <f>SUMIFS(разходи!$L:$L,разходи!$E:$E,'ПП Юни'!$C$58,разходи!$M:$M,'ПП Юни'!H2)</f>
        <v>0</v>
      </c>
      <c r="I58" s="74">
        <f>SUMIFS(разходи!$L:$L,разходи!$E:$E,'ПП Юни'!$C$58,разходи!$M:$M,'ПП Юни'!I2)</f>
        <v>0</v>
      </c>
      <c r="J58" s="74">
        <f>SUMIFS(разходи!$L:$L,разходи!$E:$E,'ПП Юни'!$C$58,разходи!$M:$M,'ПП Юни'!J2)</f>
        <v>0</v>
      </c>
      <c r="K58" s="74">
        <f>SUMIFS(разходи!$L:$L,разходи!$E:$E,'ПП Юни'!$C$58,разходи!$M:$M,'ПП Юни'!K2)</f>
        <v>0</v>
      </c>
      <c r="L58" s="76">
        <f>SUMIFS(разходи!$L:$L,разходи!$E:$E,'ПП Юни'!$C$58,разходи!$M:$M,'ПП Юни'!L2)</f>
        <v>0</v>
      </c>
      <c r="M58" s="76">
        <f>SUMIFS(разходи!$L:$L,разходи!$E:$E,'ПП Юни'!$C$58,разходи!$M:$M,'ПП Юни'!M2)</f>
        <v>0</v>
      </c>
      <c r="N58" s="74">
        <f>SUMIFS(разходи!$L:$L,разходи!$E:$E,'ПП Юни'!$C$58,разходи!$M:$M,'ПП Юни'!N2)</f>
        <v>0</v>
      </c>
      <c r="O58" s="74">
        <f>SUMIFS(разходи!$L:$L,разходи!$E:$E,'ПП Юни'!$C$58,разходи!$M:$M,'ПП Юни'!O2)</f>
        <v>0</v>
      </c>
      <c r="P58" s="74">
        <f>SUMIFS(разходи!$L:$L,разходи!$E:$E,'ПП Юни'!$C$58,разходи!$M:$M,'ПП Юни'!P2)</f>
        <v>0</v>
      </c>
      <c r="Q58" s="74">
        <f>SUMIFS(разходи!$L:$L,разходи!$E:$E,'ПП Юни'!$C$58,разходи!$M:$M,'ПП Юни'!Q2)</f>
        <v>0</v>
      </c>
      <c r="R58" s="74">
        <f>SUMIFS(разходи!$L:$L,разходи!$E:$E,'ПП Юни'!$C$58,разходи!$M:$M,'ПП Юни'!R2)</f>
        <v>0</v>
      </c>
      <c r="S58" s="76">
        <f>SUMIFS(разходи!$L:$L,разходи!$E:$E,'ПП Юни'!$C$58,разходи!$M:$M,'ПП Юни'!S2)</f>
        <v>0</v>
      </c>
      <c r="T58" s="76">
        <f>SUMIFS(разходи!$L:$L,разходи!$E:$E,'ПП Юни'!$C$58,разходи!$M:$M,'ПП Юни'!T2)</f>
        <v>0</v>
      </c>
      <c r="U58" s="74">
        <f>SUMIFS(разходи!$L:$L,разходи!$E:$E,'ПП Юни'!$C$58,разходи!$M:$M,'ПП Юни'!U2)</f>
        <v>0</v>
      </c>
      <c r="V58" s="74">
        <f>SUMIFS(разходи!$L:$L,разходи!$E:$E,'ПП Юни'!$C$58,разходи!$M:$M,'ПП Юни'!V2)</f>
        <v>0</v>
      </c>
      <c r="W58" s="74">
        <f>SUMIFS(разходи!$L:$L,разходи!$E:$E,'ПП Юни'!$C$58,разходи!$M:$M,'ПП Юни'!W2)</f>
        <v>0</v>
      </c>
      <c r="X58" s="74">
        <f>SUMIFS(разходи!$L:$L,разходи!$E:$E,'ПП Юни'!$C$58,разходи!$M:$M,'ПП Юни'!X2)</f>
        <v>0</v>
      </c>
      <c r="Y58" s="74">
        <f>SUMIFS(разходи!$L:$L,разходи!$E:$E,'ПП Юни'!$C$58,разходи!$M:$M,'ПП Юни'!Y2)</f>
        <v>0</v>
      </c>
      <c r="Z58" s="76">
        <f>SUMIFS(разходи!$L:$L,разходи!$E:$E,'ПП Юни'!$C$58,разходи!$M:$M,'ПП Юни'!Z2)</f>
        <v>0</v>
      </c>
      <c r="AA58" s="76">
        <f>SUMIFS(разходи!$L:$L,разходи!$E:$E,'ПП Юни'!$C$58,разходи!$M:$M,'ПП Юни'!AA2)</f>
        <v>0</v>
      </c>
      <c r="AB58" s="74">
        <f>SUMIFS(разходи!$L:$L,разходи!$E:$E,'ПП Юни'!$C$58,разходи!$M:$M,'ПП Юни'!AB2)</f>
        <v>0</v>
      </c>
      <c r="AC58" s="74">
        <f>SUMIFS(разходи!$L:$L,разходи!$E:$E,'ПП Юни'!$C$58,разходи!$M:$M,'ПП Юни'!AC2)</f>
        <v>0</v>
      </c>
      <c r="AD58" s="74">
        <f>SUMIFS(разходи!$L:$L,разходи!$E:$E,'ПП Юни'!$C$58,разходи!$M:$M,'ПП Юни'!AD2)</f>
        <v>0</v>
      </c>
      <c r="AE58" s="74">
        <f>SUMIFS(разходи!$L:$L,разходи!$E:$E,'ПП Юни'!$C$58,разходи!$M:$M,'ПП Юни'!AE2)</f>
        <v>0</v>
      </c>
      <c r="AF58" s="74">
        <f>SUMIFS(разходи!$L:$L,разходи!$E:$E,'ПП Юни'!$C$58,разходи!$M:$M,'ПП Юни'!AF2)</f>
        <v>0</v>
      </c>
      <c r="AG58" s="76">
        <f>SUMIFS(разходи!$L:$L,разходи!$E:$E,'ПП Юни'!$C$58,разходи!$M:$M,'ПП Юни'!AG2)</f>
        <v>0</v>
      </c>
      <c r="AH58" s="76">
        <f>SUMIFS(разходи!$L:$L,разходи!$E:$E,'ПП Юни'!$C$58,разходи!$M:$M,'ПП Юни'!AH2)</f>
        <v>0</v>
      </c>
      <c r="AI58" s="61">
        <f t="shared" si="15"/>
        <v>0</v>
      </c>
      <c r="AJ58" s="69">
        <f t="shared" si="16"/>
        <v>610</v>
      </c>
    </row>
    <row r="59" spans="1:36" s="39" customFormat="1" ht="20.100000000000001" customHeight="1" outlineLevel="2" x14ac:dyDescent="0.3">
      <c r="A59" s="37"/>
      <c r="B59" s="38"/>
      <c r="C59" s="49" t="s">
        <v>786</v>
      </c>
      <c r="D59" s="80">
        <v>2590</v>
      </c>
      <c r="E59" s="76">
        <f>SUMIFS(разходи!$L:$L,разходи!$E:$E,'ПП Юни'!$C$59,разходи!$M:$M,'ПП Юни'!E2)</f>
        <v>0</v>
      </c>
      <c r="F59" s="76">
        <f>SUMIFS(разходи!$L:$L,разходи!$E:$E,'ПП Юни'!$C$59,разходи!$M:$M,'ПП Юни'!F2)</f>
        <v>0</v>
      </c>
      <c r="G59" s="74">
        <f>SUMIFS(разходи!$L:$L,разходи!$E:$E,'ПП Юни'!$C$59,разходи!$M:$M,'ПП Юни'!G2)</f>
        <v>0</v>
      </c>
      <c r="H59" s="74">
        <f>SUMIFS(разходи!$L:$L,разходи!$E:$E,'ПП Юни'!$C$59,разходи!$M:$M,'ПП Юни'!H2)</f>
        <v>0</v>
      </c>
      <c r="I59" s="74">
        <f>SUMIFS(разходи!$L:$L,разходи!$E:$E,'ПП Юни'!$C$59,разходи!$M:$M,'ПП Юни'!I2)</f>
        <v>0</v>
      </c>
      <c r="J59" s="74">
        <f>SUMIFS(разходи!$L:$L,разходи!$E:$E,'ПП Юни'!$C$59,разходи!$M:$M,'ПП Юни'!J2)</f>
        <v>0</v>
      </c>
      <c r="K59" s="74">
        <f>SUMIFS(разходи!$L:$L,разходи!$E:$E,'ПП Юни'!$C$59,разходи!$M:$M,'ПП Юни'!K2)</f>
        <v>0</v>
      </c>
      <c r="L59" s="76">
        <f>SUMIFS(разходи!$L:$L,разходи!$E:$E,'ПП Юни'!$C$59,разходи!$M:$M,'ПП Юни'!L2)</f>
        <v>0</v>
      </c>
      <c r="M59" s="76">
        <f>SUMIFS(разходи!$L:$L,разходи!$E:$E,'ПП Юни'!$C$59,разходи!$M:$M,'ПП Юни'!M2)</f>
        <v>0</v>
      </c>
      <c r="N59" s="74">
        <f>SUMIFS(разходи!$L:$L,разходи!$E:$E,'ПП Юни'!$C$59,разходи!$M:$M,'ПП Юни'!N2)</f>
        <v>0</v>
      </c>
      <c r="O59" s="74">
        <f>SUMIFS(разходи!$L:$L,разходи!$E:$E,'ПП Юни'!$C$59,разходи!$M:$M,'ПП Юни'!O2)</f>
        <v>0</v>
      </c>
      <c r="P59" s="74">
        <f>SUMIFS(разходи!$L:$L,разходи!$E:$E,'ПП Юни'!$C$59,разходи!$M:$M,'ПП Юни'!P2)</f>
        <v>0</v>
      </c>
      <c r="Q59" s="74">
        <f>SUMIFS(разходи!$L:$L,разходи!$E:$E,'ПП Юни'!$C$59,разходи!$M:$M,'ПП Юни'!Q2)</f>
        <v>0</v>
      </c>
      <c r="R59" s="74">
        <f>SUMIFS(разходи!$L:$L,разходи!$E:$E,'ПП Юни'!$C$59,разходи!$M:$M,'ПП Юни'!R2)</f>
        <v>0</v>
      </c>
      <c r="S59" s="76">
        <f>SUMIFS(разходи!$L:$L,разходи!$E:$E,'ПП Юни'!$C$59,разходи!$M:$M,'ПП Юни'!S2)</f>
        <v>0</v>
      </c>
      <c r="T59" s="76">
        <f>SUMIFS(разходи!$L:$L,разходи!$E:$E,'ПП Юни'!$C$59,разходи!$M:$M,'ПП Юни'!T2)</f>
        <v>0</v>
      </c>
      <c r="U59" s="74">
        <f>SUMIFS(разходи!$L:$L,разходи!$E:$E,'ПП Юни'!$C$59,разходи!$M:$M,'ПП Юни'!U2)</f>
        <v>0</v>
      </c>
      <c r="V59" s="74">
        <f>SUMIFS(разходи!$L:$L,разходи!$E:$E,'ПП Юни'!$C$59,разходи!$M:$M,'ПП Юни'!V2)</f>
        <v>0</v>
      </c>
      <c r="W59" s="74">
        <f>SUMIFS(разходи!$L:$L,разходи!$E:$E,'ПП Юни'!$C$59,разходи!$M:$M,'ПП Юни'!W2)</f>
        <v>0</v>
      </c>
      <c r="X59" s="74">
        <f>SUMIFS(разходи!$L:$L,разходи!$E:$E,'ПП Юни'!$C$59,разходи!$M:$M,'ПП Юни'!X2)</f>
        <v>0</v>
      </c>
      <c r="Y59" s="74">
        <f>SUMIFS(разходи!$L:$L,разходи!$E:$E,'ПП Юни'!$C$59,разходи!$M:$M,'ПП Юни'!Y2)</f>
        <v>0</v>
      </c>
      <c r="Z59" s="76">
        <f>SUMIFS(разходи!$L:$L,разходи!$E:$E,'ПП Юни'!$C$59,разходи!$M:$M,'ПП Юни'!Z2)</f>
        <v>0</v>
      </c>
      <c r="AA59" s="76">
        <f>SUMIFS(разходи!$L:$L,разходи!$E:$E,'ПП Юни'!$C$59,разходи!$M:$M,'ПП Юни'!AA2)</f>
        <v>0</v>
      </c>
      <c r="AB59" s="74">
        <f>SUMIFS(разходи!$L:$L,разходи!$E:$E,'ПП Юни'!$C$59,разходи!$M:$M,'ПП Юни'!AB2)</f>
        <v>0</v>
      </c>
      <c r="AC59" s="74">
        <f>SUMIFS(разходи!$L:$L,разходи!$E:$E,'ПП Юни'!$C$59,разходи!$M:$M,'ПП Юни'!AC2)</f>
        <v>0</v>
      </c>
      <c r="AD59" s="74">
        <f>SUMIFS(разходи!$L:$L,разходи!$E:$E,'ПП Юни'!$C$59,разходи!$M:$M,'ПП Юни'!AD2)</f>
        <v>0</v>
      </c>
      <c r="AE59" s="74">
        <f>SUMIFS(разходи!$L:$L,разходи!$E:$E,'ПП Юни'!$C$59,разходи!$M:$M,'ПП Юни'!AE2)</f>
        <v>0</v>
      </c>
      <c r="AF59" s="74">
        <f>SUMIFS(разходи!$L:$L,разходи!$E:$E,'ПП Юни'!$C$59,разходи!$M:$M,'ПП Юни'!AF2)</f>
        <v>0</v>
      </c>
      <c r="AG59" s="76">
        <f>SUMIFS(разходи!$L:$L,разходи!$E:$E,'ПП Юни'!$C$59,разходи!$M:$M,'ПП Юни'!AG2)</f>
        <v>0</v>
      </c>
      <c r="AH59" s="76">
        <f>SUMIFS(разходи!$L:$L,разходи!$E:$E,'ПП Юни'!$C$59,разходи!$M:$M,'ПП Юни'!AH2)</f>
        <v>0</v>
      </c>
      <c r="AI59" s="61">
        <f t="shared" si="15"/>
        <v>0</v>
      </c>
      <c r="AJ59" s="69">
        <f t="shared" si="16"/>
        <v>2590</v>
      </c>
    </row>
    <row r="60" spans="1:36" s="39" customFormat="1" ht="20.100000000000001" customHeight="1" outlineLevel="2" x14ac:dyDescent="0.3">
      <c r="A60" s="37"/>
      <c r="B60" s="38"/>
      <c r="C60" s="49" t="s">
        <v>873</v>
      </c>
      <c r="D60" s="80"/>
      <c r="E60" s="76">
        <f>SUMIFS(разходи!$L:$L,разходи!$E:$E,'ПП Юни'!$C$60,разходи!$M:$M,'ПП Юни'!E2)</f>
        <v>0</v>
      </c>
      <c r="F60" s="76">
        <f>SUMIFS(разходи!$L:$L,разходи!$E:$E,'ПП Юни'!$C$60,разходи!$M:$M,'ПП Юни'!F2)</f>
        <v>0</v>
      </c>
      <c r="G60" s="74">
        <f>SUMIFS(разходи!$L:$L,разходи!$E:$E,'ПП Юни'!$C$60,разходи!$M:$M,'ПП Юни'!G2)</f>
        <v>0</v>
      </c>
      <c r="H60" s="74">
        <f>SUMIFS(разходи!$L:$L,разходи!$E:$E,'ПП Юни'!$C$60,разходи!$M:$M,'ПП Юни'!H2)</f>
        <v>0</v>
      </c>
      <c r="I60" s="74">
        <f>SUMIFS(разходи!$L:$L,разходи!$E:$E,'ПП Юни'!$C$60,разходи!$M:$M,'ПП Юни'!I2)</f>
        <v>0</v>
      </c>
      <c r="J60" s="74">
        <f>SUMIFS(разходи!$L:$L,разходи!$E:$E,'ПП Юни'!$C$60,разходи!$M:$M,'ПП Юни'!J2)</f>
        <v>0</v>
      </c>
      <c r="K60" s="74">
        <f>SUMIFS(разходи!$L:$L,разходи!$E:$E,'ПП Юни'!$C$60,разходи!$M:$M,'ПП Юни'!K2)</f>
        <v>0</v>
      </c>
      <c r="L60" s="76">
        <f>SUMIFS(разходи!$L:$L,разходи!$E:$E,'ПП Юни'!$C$60,разходи!$M:$M,'ПП Юни'!L2)</f>
        <v>0</v>
      </c>
      <c r="M60" s="76">
        <f>SUMIFS(разходи!$L:$L,разходи!$E:$E,'ПП Юни'!$C$60,разходи!$M:$M,'ПП Юни'!M2)</f>
        <v>0</v>
      </c>
      <c r="N60" s="74">
        <f>SUMIFS(разходи!$L:$L,разходи!$E:$E,'ПП Юни'!$C$60,разходи!$M:$M,'ПП Юни'!N2)</f>
        <v>0</v>
      </c>
      <c r="O60" s="74">
        <f>SUMIFS(разходи!$L:$L,разходи!$E:$E,'ПП Юни'!$C$60,разходи!$M:$M,'ПП Юни'!O2)</f>
        <v>0</v>
      </c>
      <c r="P60" s="74">
        <f>SUMIFS(разходи!$L:$L,разходи!$E:$E,'ПП Юни'!$C$60,разходи!$M:$M,'ПП Юни'!P2)</f>
        <v>0</v>
      </c>
      <c r="Q60" s="74">
        <f>SUMIFS(разходи!$L:$L,разходи!$E:$E,'ПП Юни'!$C$60,разходи!$M:$M,'ПП Юни'!Q2)</f>
        <v>0</v>
      </c>
      <c r="R60" s="74">
        <f>SUMIFS(разходи!$L:$L,разходи!$E:$E,'ПП Юни'!$C$60,разходи!$M:$M,'ПП Юни'!R2)</f>
        <v>0</v>
      </c>
      <c r="S60" s="76">
        <f>SUMIFS(разходи!$L:$L,разходи!$E:$E,'ПП Юни'!$C$60,разходи!$M:$M,'ПП Юни'!S2)</f>
        <v>0</v>
      </c>
      <c r="T60" s="76">
        <f>SUMIFS(разходи!$L:$L,разходи!$E:$E,'ПП Юни'!$C$60,разходи!$M:$M,'ПП Юни'!T2)</f>
        <v>0</v>
      </c>
      <c r="U60" s="74">
        <f>SUMIFS(разходи!$L:$L,разходи!$E:$E,'ПП Юни'!$C$60,разходи!$M:$M,'ПП Юни'!U2)</f>
        <v>0</v>
      </c>
      <c r="V60" s="74">
        <f>SUMIFS(разходи!$L:$L,разходи!$E:$E,'ПП Юни'!$C$60,разходи!$M:$M,'ПП Юни'!V2)</f>
        <v>0</v>
      </c>
      <c r="W60" s="74">
        <f>SUMIFS(разходи!$L:$L,разходи!$E:$E,'ПП Юни'!$C$60,разходи!$M:$M,'ПП Юни'!W2)</f>
        <v>0</v>
      </c>
      <c r="X60" s="74">
        <f>SUMIFS(разходи!$L:$L,разходи!$E:$E,'ПП Юни'!$C$60,разходи!$M:$M,'ПП Юни'!X2)</f>
        <v>0</v>
      </c>
      <c r="Y60" s="74">
        <f>SUMIFS(разходи!$L:$L,разходи!$E:$E,'ПП Юни'!$C$60,разходи!$M:$M,'ПП Юни'!Y2)</f>
        <v>0</v>
      </c>
      <c r="Z60" s="76">
        <f>SUMIFS(разходи!$L:$L,разходи!$E:$E,'ПП Юни'!$C$60,разходи!$M:$M,'ПП Юни'!Z2)</f>
        <v>0</v>
      </c>
      <c r="AA60" s="76">
        <f>SUMIFS(разходи!$L:$L,разходи!$E:$E,'ПП Юни'!$C$60,разходи!$M:$M,'ПП Юни'!AA2)</f>
        <v>0</v>
      </c>
      <c r="AB60" s="74">
        <f>SUMIFS(разходи!$L:$L,разходи!$E:$E,'ПП Юни'!$C$60,разходи!$M:$M,'ПП Юни'!AB2)</f>
        <v>0</v>
      </c>
      <c r="AC60" s="74">
        <f>SUMIFS(разходи!$L:$L,разходи!$E:$E,'ПП Юни'!$C$60,разходи!$M:$M,'ПП Юни'!AC2)</f>
        <v>0</v>
      </c>
      <c r="AD60" s="74">
        <f>SUMIFS(разходи!$L:$L,разходи!$E:$E,'ПП Юни'!$C$60,разходи!$M:$M,'ПП Юни'!AD2)</f>
        <v>0</v>
      </c>
      <c r="AE60" s="74">
        <f>SUMIFS(разходи!$L:$L,разходи!$E:$E,'ПП Юни'!$C$60,разходи!$M:$M,'ПП Юни'!AE2)</f>
        <v>0</v>
      </c>
      <c r="AF60" s="74">
        <f>SUMIFS(разходи!$L:$L,разходи!$E:$E,'ПП Юни'!$C$60,разходи!$M:$M,'ПП Юни'!AF2)</f>
        <v>0</v>
      </c>
      <c r="AG60" s="76">
        <f>SUMIFS(разходи!$L:$L,разходи!$E:$E,'ПП Юни'!$C$60,разходи!$M:$M,'ПП Юни'!AG2)</f>
        <v>0</v>
      </c>
      <c r="AH60" s="76">
        <f>SUMIFS(разходи!$L:$L,разходи!$E:$E,'ПП Юни'!$C$60,разходи!$M:$M,'ПП Юни'!AH2)</f>
        <v>0</v>
      </c>
      <c r="AI60" s="61">
        <f t="shared" si="15"/>
        <v>0</v>
      </c>
      <c r="AJ60" s="69">
        <f t="shared" si="16"/>
        <v>0</v>
      </c>
    </row>
    <row r="61" spans="1:36" s="39" customFormat="1" ht="20.100000000000001" customHeight="1" outlineLevel="2" x14ac:dyDescent="0.3">
      <c r="A61" s="37"/>
      <c r="B61" s="38"/>
      <c r="C61" s="49" t="s">
        <v>874</v>
      </c>
      <c r="D61" s="80"/>
      <c r="E61" s="76">
        <f>SUMIFS(разходи!$L:$L,разходи!$E:$E,'ПП Юни'!$C$61,разходи!$M:$M,'ПП Юни'!E2)</f>
        <v>0</v>
      </c>
      <c r="F61" s="76">
        <f>SUMIFS(разходи!$L:$L,разходи!$E:$E,'ПП Юни'!$C$61,разходи!$M:$M,'ПП Юни'!F2)</f>
        <v>0</v>
      </c>
      <c r="G61" s="74">
        <f>SUMIFS(разходи!$L:$L,разходи!$E:$E,'ПП Юни'!$C$61,разходи!$M:$M,'ПП Юни'!G2)</f>
        <v>0</v>
      </c>
      <c r="H61" s="74">
        <f>SUMIFS(разходи!$L:$L,разходи!$E:$E,'ПП Юни'!$C$61,разходи!$M:$M,'ПП Юни'!H2)</f>
        <v>0</v>
      </c>
      <c r="I61" s="74">
        <f>SUMIFS(разходи!$L:$L,разходи!$E:$E,'ПП Юни'!$C$61,разходи!$M:$M,'ПП Юни'!I2)</f>
        <v>0</v>
      </c>
      <c r="J61" s="74">
        <f>SUMIFS(разходи!$L:$L,разходи!$E:$E,'ПП Юни'!$C$61,разходи!$M:$M,'ПП Юни'!J2)</f>
        <v>0</v>
      </c>
      <c r="K61" s="74">
        <f>SUMIFS(разходи!$L:$L,разходи!$E:$E,'ПП Юни'!$C$61,разходи!$M:$M,'ПП Юни'!K2)</f>
        <v>0</v>
      </c>
      <c r="L61" s="76">
        <f>SUMIFS(разходи!$L:$L,разходи!$E:$E,'ПП Юни'!$C$61,разходи!$M:$M,'ПП Юни'!L2)</f>
        <v>0</v>
      </c>
      <c r="M61" s="76">
        <f>SUMIFS(разходи!$L:$L,разходи!$E:$E,'ПП Юни'!$C$61,разходи!$M:$M,'ПП Юни'!M2)</f>
        <v>0</v>
      </c>
      <c r="N61" s="74">
        <f>SUMIFS(разходи!$L:$L,разходи!$E:$E,'ПП Юни'!$C$61,разходи!$M:$M,'ПП Юни'!N2)</f>
        <v>0</v>
      </c>
      <c r="O61" s="74">
        <f>SUMIFS(разходи!$L:$L,разходи!$E:$E,'ПП Юни'!$C$61,разходи!$M:$M,'ПП Юни'!O2)</f>
        <v>0</v>
      </c>
      <c r="P61" s="74">
        <f>SUMIFS(разходи!$L:$L,разходи!$E:$E,'ПП Юни'!$C$61,разходи!$M:$M,'ПП Юни'!P2)</f>
        <v>0</v>
      </c>
      <c r="Q61" s="74">
        <f>SUMIFS(разходи!$L:$L,разходи!$E:$E,'ПП Юни'!$C$61,разходи!$M:$M,'ПП Юни'!Q2)</f>
        <v>0</v>
      </c>
      <c r="R61" s="74">
        <f>SUMIFS(разходи!$L:$L,разходи!$E:$E,'ПП Юни'!$C$61,разходи!$M:$M,'ПП Юни'!R2)</f>
        <v>0</v>
      </c>
      <c r="S61" s="76">
        <f>SUMIFS(разходи!$L:$L,разходи!$E:$E,'ПП Юни'!$C$61,разходи!$M:$M,'ПП Юни'!S2)</f>
        <v>0</v>
      </c>
      <c r="T61" s="76">
        <f>SUMIFS(разходи!$L:$L,разходи!$E:$E,'ПП Юни'!$C$61,разходи!$M:$M,'ПП Юни'!T2)</f>
        <v>0</v>
      </c>
      <c r="U61" s="74">
        <f>SUMIFS(разходи!$L:$L,разходи!$E:$E,'ПП Юни'!$C$61,разходи!$M:$M,'ПП Юни'!U2)</f>
        <v>0</v>
      </c>
      <c r="V61" s="74">
        <f>SUMIFS(разходи!$L:$L,разходи!$E:$E,'ПП Юни'!$C$61,разходи!$M:$M,'ПП Юни'!V2)</f>
        <v>0</v>
      </c>
      <c r="W61" s="74">
        <f>SUMIFS(разходи!$L:$L,разходи!$E:$E,'ПП Юни'!$C$61,разходи!$M:$M,'ПП Юни'!W2)</f>
        <v>0</v>
      </c>
      <c r="X61" s="74">
        <f>SUMIFS(разходи!$L:$L,разходи!$E:$E,'ПП Юни'!$C$61,разходи!$M:$M,'ПП Юни'!X2)</f>
        <v>0</v>
      </c>
      <c r="Y61" s="74">
        <f>SUMIFS(разходи!$L:$L,разходи!$E:$E,'ПП Юни'!$C$61,разходи!$M:$M,'ПП Юни'!Y2)</f>
        <v>0</v>
      </c>
      <c r="Z61" s="76">
        <f>SUMIFS(разходи!$L:$L,разходи!$E:$E,'ПП Юни'!$C$61,разходи!$M:$M,'ПП Юни'!Z2)</f>
        <v>0</v>
      </c>
      <c r="AA61" s="76">
        <f>SUMIFS(разходи!$L:$L,разходи!$E:$E,'ПП Юни'!$C$61,разходи!$M:$M,'ПП Юни'!AA2)</f>
        <v>0</v>
      </c>
      <c r="AB61" s="74">
        <f>SUMIFS(разходи!$L:$L,разходи!$E:$E,'ПП Юни'!$C$61,разходи!$M:$M,'ПП Юни'!AB2)</f>
        <v>0</v>
      </c>
      <c r="AC61" s="74">
        <f>SUMIFS(разходи!$L:$L,разходи!$E:$E,'ПП Юни'!$C$61,разходи!$M:$M,'ПП Юни'!AC2)</f>
        <v>0</v>
      </c>
      <c r="AD61" s="74">
        <f>SUMIFS(разходи!$L:$L,разходи!$E:$E,'ПП Юни'!$C$61,разходи!$M:$M,'ПП Юни'!AD2)</f>
        <v>0</v>
      </c>
      <c r="AE61" s="74">
        <f>SUMIFS(разходи!$L:$L,разходи!$E:$E,'ПП Юни'!$C$61,разходи!$M:$M,'ПП Юни'!AE2)</f>
        <v>0</v>
      </c>
      <c r="AF61" s="74">
        <f>SUMIFS(разходи!$L:$L,разходи!$E:$E,'ПП Юни'!$C$61,разходи!$M:$M,'ПП Юни'!AF2)</f>
        <v>0</v>
      </c>
      <c r="AG61" s="76">
        <f>SUMIFS(разходи!$L:$L,разходи!$E:$E,'ПП Юни'!$C$61,разходи!$M:$M,'ПП Юни'!AG2)</f>
        <v>0</v>
      </c>
      <c r="AH61" s="76">
        <f>SUMIFS(разходи!$L:$L,разходи!$E:$E,'ПП Юни'!$C$61,разходи!$M:$M,'ПП Юни'!AH2)</f>
        <v>0</v>
      </c>
      <c r="AI61" s="61">
        <f t="shared" si="15"/>
        <v>0</v>
      </c>
      <c r="AJ61" s="69">
        <f t="shared" si="16"/>
        <v>0</v>
      </c>
    </row>
    <row r="62" spans="1:36" s="39" customFormat="1" ht="20.100000000000001" customHeight="1" outlineLevel="1" x14ac:dyDescent="0.3">
      <c r="A62" s="37"/>
      <c r="B62" s="38"/>
      <c r="C62" s="32" t="s">
        <v>875</v>
      </c>
      <c r="D62" s="80"/>
      <c r="E62" s="76">
        <f t="shared" ref="E62:AH62" si="22">SUM(E63:E65)</f>
        <v>0</v>
      </c>
      <c r="F62" s="76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4">
        <f t="shared" si="22"/>
        <v>0</v>
      </c>
      <c r="K62" s="74">
        <f t="shared" si="22"/>
        <v>0</v>
      </c>
      <c r="L62" s="76">
        <f t="shared" si="22"/>
        <v>0</v>
      </c>
      <c r="M62" s="76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4">
        <f t="shared" si="22"/>
        <v>0</v>
      </c>
      <c r="R62" s="74">
        <f t="shared" si="22"/>
        <v>0</v>
      </c>
      <c r="S62" s="76">
        <f t="shared" si="22"/>
        <v>0</v>
      </c>
      <c r="T62" s="76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4">
        <f t="shared" si="22"/>
        <v>0</v>
      </c>
      <c r="Y62" s="74">
        <f t="shared" si="22"/>
        <v>14453.759999999998</v>
      </c>
      <c r="Z62" s="76">
        <f t="shared" si="22"/>
        <v>0</v>
      </c>
      <c r="AA62" s="76">
        <f t="shared" si="22"/>
        <v>0</v>
      </c>
      <c r="AB62" s="74">
        <f t="shared" si="22"/>
        <v>0</v>
      </c>
      <c r="AC62" s="74">
        <f t="shared" si="22"/>
        <v>0</v>
      </c>
      <c r="AD62" s="74">
        <f t="shared" si="22"/>
        <v>0</v>
      </c>
      <c r="AE62" s="74">
        <f t="shared" si="22"/>
        <v>0</v>
      </c>
      <c r="AF62" s="74">
        <f t="shared" si="22"/>
        <v>0</v>
      </c>
      <c r="AG62" s="76">
        <f t="shared" si="22"/>
        <v>0</v>
      </c>
      <c r="AH62" s="76">
        <f t="shared" si="22"/>
        <v>0</v>
      </c>
      <c r="AI62" s="61">
        <f t="shared" si="15"/>
        <v>14453.759999999998</v>
      </c>
      <c r="AJ62" s="69">
        <f t="shared" si="16"/>
        <v>-14453.759999999998</v>
      </c>
    </row>
    <row r="63" spans="1:36" s="39" customFormat="1" ht="20.100000000000001" customHeight="1" outlineLevel="2" x14ac:dyDescent="0.3">
      <c r="A63" s="37"/>
      <c r="B63" s="38"/>
      <c r="C63" s="50" t="s">
        <v>876</v>
      </c>
      <c r="D63" s="80">
        <v>34000</v>
      </c>
      <c r="E63" s="76">
        <f>SUMIFS(разходи!$L:$L,разходи!$E:$E,'ПП Юни'!$C$63,разходи!$M:$M,'ПП Юни'!E2)</f>
        <v>0</v>
      </c>
      <c r="F63" s="76">
        <f>SUMIFS(разходи!$L:$L,разходи!$E:$E,'ПП Юни'!$C$63,разходи!$M:$M,'ПП Юни'!F2)</f>
        <v>0</v>
      </c>
      <c r="G63" s="74">
        <f>SUMIFS(разходи!$L:$L,разходи!$E:$E,'ПП Юни'!$C$63,разходи!$M:$M,'ПП Юни'!G2)</f>
        <v>0</v>
      </c>
      <c r="H63" s="74">
        <f>SUMIFS(разходи!$L:$L,разходи!$E:$E,'ПП Юни'!$C$63,разходи!$M:$M,'ПП Юни'!H2)</f>
        <v>0</v>
      </c>
      <c r="I63" s="74">
        <f>SUMIFS(разходи!$L:$L,разходи!$E:$E,'ПП Юни'!$C$63,разходи!$M:$M,'ПП Юни'!I2)</f>
        <v>0</v>
      </c>
      <c r="J63" s="74">
        <f>SUMIFS(разходи!$L:$L,разходи!$E:$E,'ПП Юни'!$C$63,разходи!$M:$M,'ПП Юни'!J2)</f>
        <v>0</v>
      </c>
      <c r="K63" s="74">
        <f>SUMIFS(разходи!$L:$L,разходи!$E:$E,'ПП Юни'!$C$63,разходи!$M:$M,'ПП Юни'!K2)</f>
        <v>0</v>
      </c>
      <c r="L63" s="76">
        <f>SUMIFS(разходи!$L:$L,разходи!$E:$E,'ПП Юни'!$C$63,разходи!$M:$M,'ПП Юни'!L2)</f>
        <v>0</v>
      </c>
      <c r="M63" s="76">
        <f>SUMIFS(разходи!$L:$L,разходи!$E:$E,'ПП Юни'!$C$63,разходи!$M:$M,'ПП Юни'!M2)</f>
        <v>0</v>
      </c>
      <c r="N63" s="74">
        <f>SUMIFS(разходи!$L:$L,разходи!$E:$E,'ПП Юни'!$C$63,разходи!$M:$M,'ПП Юни'!N2)</f>
        <v>0</v>
      </c>
      <c r="O63" s="74">
        <f>SUMIFS(разходи!$L:$L,разходи!$E:$E,'ПП Юни'!$C$63,разходи!$M:$M,'ПП Юни'!O2)</f>
        <v>0</v>
      </c>
      <c r="P63" s="74">
        <f>SUMIFS(разходи!$L:$L,разходи!$E:$E,'ПП Юни'!$C$63,разходи!$M:$M,'ПП Юни'!P2)</f>
        <v>0</v>
      </c>
      <c r="Q63" s="74">
        <f>SUMIFS(разходи!$L:$L,разходи!$E:$E,'ПП Юни'!$C$63,разходи!$M:$M,'ПП Юни'!Q2)</f>
        <v>0</v>
      </c>
      <c r="R63" s="74">
        <f>SUMIFS(разходи!$L:$L,разходи!$E:$E,'ПП Юни'!$C$63,разходи!$M:$M,'ПП Юни'!R2)</f>
        <v>0</v>
      </c>
      <c r="S63" s="76">
        <f>SUMIFS(разходи!$L:$L,разходи!$E:$E,'ПП Юни'!$C$63,разходи!$M:$M,'ПП Юни'!S2)</f>
        <v>0</v>
      </c>
      <c r="T63" s="76">
        <f>SUMIFS(разходи!$L:$L,разходи!$E:$E,'ПП Юни'!$C$63,разходи!$M:$M,'ПП Юни'!T2)</f>
        <v>0</v>
      </c>
      <c r="U63" s="74">
        <f>SUMIFS(разходи!$L:$L,разходи!$E:$E,'ПП Юни'!$C$63,разходи!$M:$M,'ПП Юни'!U2)</f>
        <v>0</v>
      </c>
      <c r="V63" s="74">
        <f>SUMIFS(разходи!$L:$L,разходи!$E:$E,'ПП Юни'!$C$63,разходи!$M:$M,'ПП Юни'!V2)</f>
        <v>0</v>
      </c>
      <c r="W63" s="74">
        <f>SUMIFS(разходи!$L:$L,разходи!$E:$E,'ПП Юни'!$C$63,разходи!$M:$M,'ПП Юни'!W2)</f>
        <v>0</v>
      </c>
      <c r="X63" s="74">
        <f>SUMIFS(разходи!$L:$L,разходи!$E:$E,'ПП Юни'!$C$63,разходи!$M:$M,'ПП Юни'!X2)</f>
        <v>0</v>
      </c>
      <c r="Y63" s="74">
        <f>SUMIFS(разходи!$L:$L,разходи!$E:$E,'ПП Юни'!$C$63,разходи!$M:$M,'ПП Юни'!Y2)</f>
        <v>0</v>
      </c>
      <c r="Z63" s="76">
        <f>SUMIFS(разходи!$L:$L,разходи!$E:$E,'ПП Юни'!$C$63,разходи!$M:$M,'ПП Юни'!Z2)</f>
        <v>0</v>
      </c>
      <c r="AA63" s="76">
        <f>SUMIFS(разходи!$L:$L,разходи!$E:$E,'ПП Юни'!$C$63,разходи!$M:$M,'ПП Юни'!AA2)</f>
        <v>0</v>
      </c>
      <c r="AB63" s="74">
        <f>SUMIFS(разходи!$L:$L,разходи!$E:$E,'ПП Юни'!$C$63,разходи!$M:$M,'ПП Юни'!AB2)</f>
        <v>0</v>
      </c>
      <c r="AC63" s="74">
        <f>SUMIFS(разходи!$L:$L,разходи!$E:$E,'ПП Юни'!$C$63,разходи!$M:$M,'ПП Юни'!AC2)</f>
        <v>0</v>
      </c>
      <c r="AD63" s="74">
        <f>SUMIFS(разходи!$L:$L,разходи!$E:$E,'ПП Юни'!$C$63,разходи!$M:$M,'ПП Юни'!AD2)</f>
        <v>0</v>
      </c>
      <c r="AE63" s="74">
        <f>SUMIFS(разходи!$L:$L,разходи!$E:$E,'ПП Юни'!$C$63,разходи!$M:$M,'ПП Юни'!AE2)</f>
        <v>0</v>
      </c>
      <c r="AF63" s="74">
        <f>SUMIFS(разходи!$L:$L,разходи!$E:$E,'ПП Юни'!$C$63,разходи!$M:$M,'ПП Юни'!AF2)</f>
        <v>0</v>
      </c>
      <c r="AG63" s="76">
        <f>SUMIFS(разходи!$L:$L,разходи!$E:$E,'ПП Юни'!$C$63,разходи!$M:$M,'ПП Юни'!AG2)</f>
        <v>0</v>
      </c>
      <c r="AH63" s="76">
        <f>SUMIFS(разходи!$L:$L,разходи!$E:$E,'ПП Юни'!$C$63,разходи!$M:$M,'ПП Юни'!AH2)</f>
        <v>0</v>
      </c>
      <c r="AI63" s="61">
        <f t="shared" si="15"/>
        <v>0</v>
      </c>
      <c r="AJ63" s="69">
        <f t="shared" si="16"/>
        <v>34000</v>
      </c>
    </row>
    <row r="64" spans="1:36" s="39" customFormat="1" ht="20.100000000000001" customHeight="1" outlineLevel="2" x14ac:dyDescent="0.3">
      <c r="A64" s="37"/>
      <c r="B64" s="38"/>
      <c r="C64" s="50" t="s">
        <v>623</v>
      </c>
      <c r="D64" s="80">
        <v>9000</v>
      </c>
      <c r="E64" s="76">
        <f>SUMIFS(разходи!$L:$L,разходи!$E:$E,'ПП Юни'!$C$64,разходи!$M:$M,'ПП Юни'!E2)</f>
        <v>0</v>
      </c>
      <c r="F64" s="76">
        <f>SUMIFS(разходи!$L:$L,разходи!$E:$E,'ПП Юни'!$C$64,разходи!$M:$M,'ПП Юни'!F2)</f>
        <v>0</v>
      </c>
      <c r="G64" s="74">
        <f>SUMIFS(разходи!$L:$L,разходи!$E:$E,'ПП Юни'!$C$64,разходи!$M:$M,'ПП Юни'!G2)</f>
        <v>0</v>
      </c>
      <c r="H64" s="74">
        <f>SUMIFS(разходи!$L:$L,разходи!$E:$E,'ПП Юни'!$C$64,разходи!$M:$M,'ПП Юни'!H2)</f>
        <v>0</v>
      </c>
      <c r="I64" s="74">
        <f>SUMIFS(разходи!$L:$L,разходи!$E:$E,'ПП Юни'!$C$64,разходи!$M:$M,'ПП Юни'!I2)</f>
        <v>0</v>
      </c>
      <c r="J64" s="74">
        <f>SUMIFS(разходи!$L:$L,разходи!$E:$E,'ПП Юни'!$C$64,разходи!$M:$M,'ПП Юни'!J2)</f>
        <v>0</v>
      </c>
      <c r="K64" s="74">
        <f>SUMIFS(разходи!$L:$L,разходи!$E:$E,'ПП Юни'!$C$64,разходи!$M:$M,'ПП Юни'!K2)</f>
        <v>0</v>
      </c>
      <c r="L64" s="76">
        <f>SUMIFS(разходи!$L:$L,разходи!$E:$E,'ПП Юни'!$C$64,разходи!$M:$M,'ПП Юни'!L2)</f>
        <v>0</v>
      </c>
      <c r="M64" s="76">
        <f>SUMIFS(разходи!$L:$L,разходи!$E:$E,'ПП Юни'!$C$64,разходи!$M:$M,'ПП Юни'!M2)</f>
        <v>0</v>
      </c>
      <c r="N64" s="74">
        <f>SUMIFS(разходи!$L:$L,разходи!$E:$E,'ПП Юни'!$C$64,разходи!$M:$M,'ПП Юни'!N2)</f>
        <v>0</v>
      </c>
      <c r="O64" s="74">
        <f>SUMIFS(разходи!$L:$L,разходи!$E:$E,'ПП Юни'!$C$64,разходи!$M:$M,'ПП Юни'!O2)</f>
        <v>0</v>
      </c>
      <c r="P64" s="74">
        <f>SUMIFS(разходи!$L:$L,разходи!$E:$E,'ПП Юни'!$C$64,разходи!$M:$M,'ПП Юни'!P2)</f>
        <v>0</v>
      </c>
      <c r="Q64" s="74">
        <f>SUMIFS(разходи!$L:$L,разходи!$E:$E,'ПП Юни'!$C$64,разходи!$M:$M,'ПП Юни'!Q2)</f>
        <v>0</v>
      </c>
      <c r="R64" s="74">
        <f>SUMIFS(разходи!$L:$L,разходи!$E:$E,'ПП Юни'!$C$64,разходи!$M:$M,'ПП Юни'!R2)</f>
        <v>0</v>
      </c>
      <c r="S64" s="76">
        <f>SUMIFS(разходи!$L:$L,разходи!$E:$E,'ПП Юни'!$C$64,разходи!$M:$M,'ПП Юни'!S2)</f>
        <v>0</v>
      </c>
      <c r="T64" s="76">
        <f>SUMIFS(разходи!$L:$L,разходи!$E:$E,'ПП Юни'!$C$64,разходи!$M:$M,'ПП Юни'!T2)</f>
        <v>0</v>
      </c>
      <c r="U64" s="74">
        <f>SUMIFS(разходи!$L:$L,разходи!$E:$E,'ПП Юни'!$C$64,разходи!$M:$M,'ПП Юни'!U2)</f>
        <v>0</v>
      </c>
      <c r="V64" s="74">
        <f>SUMIFS(разходи!$L:$L,разходи!$E:$E,'ПП Юни'!$C$64,разходи!$M:$M,'ПП Юни'!V2)</f>
        <v>0</v>
      </c>
      <c r="W64" s="74">
        <f>SUMIFS(разходи!$L:$L,разходи!$E:$E,'ПП Юни'!$C$64,разходи!$M:$M,'ПП Юни'!W2)</f>
        <v>0</v>
      </c>
      <c r="X64" s="74">
        <f>SUMIFS(разходи!$L:$L,разходи!$E:$E,'ПП Юни'!$C$64,разходи!$M:$M,'ПП Юни'!X2)</f>
        <v>0</v>
      </c>
      <c r="Y64" s="74">
        <f>SUMIFS(разходи!$L:$L,разходи!$E:$E,'ПП Юни'!$C$64,разходи!$M:$M,'ПП Юни'!Y2)</f>
        <v>14453.759999999998</v>
      </c>
      <c r="Z64" s="76">
        <f>SUMIFS(разходи!$L:$L,разходи!$E:$E,'ПП Юни'!$C$64,разходи!$M:$M,'ПП Юни'!Z2)</f>
        <v>0</v>
      </c>
      <c r="AA64" s="76">
        <f>SUMIFS(разходи!$L:$L,разходи!$E:$E,'ПП Юни'!$C$64,разходи!$M:$M,'ПП Юни'!AA2)</f>
        <v>0</v>
      </c>
      <c r="AB64" s="74">
        <f>SUMIFS(разходи!$L:$L,разходи!$E:$E,'ПП Юни'!$C$64,разходи!$M:$M,'ПП Юни'!AB2)</f>
        <v>0</v>
      </c>
      <c r="AC64" s="74">
        <f>SUMIFS(разходи!$L:$L,разходи!$E:$E,'ПП Юни'!$C$64,разходи!$M:$M,'ПП Юни'!AC2)</f>
        <v>0</v>
      </c>
      <c r="AD64" s="74">
        <f>SUMIFS(разходи!$L:$L,разходи!$E:$E,'ПП Юни'!$C$64,разходи!$M:$M,'ПП Юни'!AD2)</f>
        <v>0</v>
      </c>
      <c r="AE64" s="74">
        <f>SUMIFS(разходи!$L:$L,разходи!$E:$E,'ПП Юни'!$C$64,разходи!$M:$M,'ПП Юни'!AE2)</f>
        <v>0</v>
      </c>
      <c r="AF64" s="74">
        <f>SUMIFS(разходи!$L:$L,разходи!$E:$E,'ПП Юни'!$C$64,разходи!$M:$M,'ПП Юни'!AF2)</f>
        <v>0</v>
      </c>
      <c r="AG64" s="76">
        <f>SUMIFS(разходи!$L:$L,разходи!$E:$E,'ПП Юни'!$C$64,разходи!$M:$M,'ПП Юни'!AG2)</f>
        <v>0</v>
      </c>
      <c r="AH64" s="76">
        <f>SUMIFS(разходи!$L:$L,разходи!$E:$E,'ПП Юни'!$C$64,разходи!$M:$M,'ПП Юни'!AH2)</f>
        <v>0</v>
      </c>
      <c r="AI64" s="61">
        <f t="shared" si="15"/>
        <v>14453.759999999998</v>
      </c>
      <c r="AJ64" s="69">
        <f t="shared" si="16"/>
        <v>-5453.7599999999984</v>
      </c>
    </row>
    <row r="65" spans="1:36" s="39" customFormat="1" ht="20.100000000000001" customHeight="1" outlineLevel="2" x14ac:dyDescent="0.3">
      <c r="A65" s="37"/>
      <c r="B65" s="38"/>
      <c r="C65" s="50" t="s">
        <v>877</v>
      </c>
      <c r="D65" s="80"/>
      <c r="E65" s="76">
        <f>SUMIFS(разходи!$L:$L,разходи!$E:$E,'ПП Юни'!$C$65,разходи!$M:$M,'ПП Юни'!E2)</f>
        <v>0</v>
      </c>
      <c r="F65" s="76">
        <f>SUMIFS(разходи!$L:$L,разходи!$E:$E,'ПП Юни'!$C$65,разходи!$M:$M,'ПП Юни'!F2)</f>
        <v>0</v>
      </c>
      <c r="G65" s="74">
        <f>SUMIFS(разходи!$L:$L,разходи!$E:$E,'ПП Юни'!$C$65,разходи!$M:$M,'ПП Юни'!G2)</f>
        <v>0</v>
      </c>
      <c r="H65" s="74">
        <f>SUMIFS(разходи!$L:$L,разходи!$E:$E,'ПП Юни'!$C$65,разходи!$M:$M,'ПП Юни'!H2)</f>
        <v>0</v>
      </c>
      <c r="I65" s="74">
        <f>SUMIFS(разходи!$L:$L,разходи!$E:$E,'ПП Юни'!$C$65,разходи!$M:$M,'ПП Юни'!I2)</f>
        <v>0</v>
      </c>
      <c r="J65" s="74">
        <f>SUMIFS(разходи!$L:$L,разходи!$E:$E,'ПП Юни'!$C$65,разходи!$M:$M,'ПП Юни'!J2)</f>
        <v>0</v>
      </c>
      <c r="K65" s="74">
        <f>SUMIFS(разходи!$L:$L,разходи!$E:$E,'ПП Юни'!$C$65,разходи!$M:$M,'ПП Юни'!K2)</f>
        <v>0</v>
      </c>
      <c r="L65" s="76">
        <f>SUMIFS(разходи!$L:$L,разходи!$E:$E,'ПП Юни'!$C$65,разходи!$M:$M,'ПП Юни'!L2)</f>
        <v>0</v>
      </c>
      <c r="M65" s="76">
        <f>SUMIFS(разходи!$L:$L,разходи!$E:$E,'ПП Юни'!$C$65,разходи!$M:$M,'ПП Юни'!M2)</f>
        <v>0</v>
      </c>
      <c r="N65" s="74">
        <f>SUMIFS(разходи!$L:$L,разходи!$E:$E,'ПП Юни'!$C$65,разходи!$M:$M,'ПП Юни'!N2)</f>
        <v>0</v>
      </c>
      <c r="O65" s="74">
        <f>SUMIFS(разходи!$L:$L,разходи!$E:$E,'ПП Юни'!$C$65,разходи!$M:$M,'ПП Юни'!O2)</f>
        <v>0</v>
      </c>
      <c r="P65" s="74">
        <f>SUMIFS(разходи!$L:$L,разходи!$E:$E,'ПП Юни'!$C$65,разходи!$M:$M,'ПП Юни'!P2)</f>
        <v>0</v>
      </c>
      <c r="Q65" s="74">
        <f>SUMIFS(разходи!$L:$L,разходи!$E:$E,'ПП Юни'!$C$65,разходи!$M:$M,'ПП Юни'!Q2)</f>
        <v>0</v>
      </c>
      <c r="R65" s="74">
        <f>SUMIFS(разходи!$L:$L,разходи!$E:$E,'ПП Юни'!$C$65,разходи!$M:$M,'ПП Юни'!R2)</f>
        <v>0</v>
      </c>
      <c r="S65" s="76">
        <f>SUMIFS(разходи!$L:$L,разходи!$E:$E,'ПП Юни'!$C$65,разходи!$M:$M,'ПП Юни'!S2)</f>
        <v>0</v>
      </c>
      <c r="T65" s="76">
        <f>SUMIFS(разходи!$L:$L,разходи!$E:$E,'ПП Юни'!$C$65,разходи!$M:$M,'ПП Юни'!T2)</f>
        <v>0</v>
      </c>
      <c r="U65" s="74">
        <f>SUMIFS(разходи!$L:$L,разходи!$E:$E,'ПП Юни'!$C$65,разходи!$M:$M,'ПП Юни'!U2)</f>
        <v>0</v>
      </c>
      <c r="V65" s="74">
        <f>SUMIFS(разходи!$L:$L,разходи!$E:$E,'ПП Юни'!$C$65,разходи!$M:$M,'ПП Юни'!V2)</f>
        <v>0</v>
      </c>
      <c r="W65" s="74">
        <f>SUMIFS(разходи!$L:$L,разходи!$E:$E,'ПП Юни'!$C$65,разходи!$M:$M,'ПП Юни'!W2)</f>
        <v>0</v>
      </c>
      <c r="X65" s="74">
        <f>SUMIFS(разходи!$L:$L,разходи!$E:$E,'ПП Юни'!$C$65,разходи!$M:$M,'ПП Юни'!X2)</f>
        <v>0</v>
      </c>
      <c r="Y65" s="74">
        <f>SUMIFS(разходи!$L:$L,разходи!$E:$E,'ПП Юни'!$C$65,разходи!$M:$M,'ПП Юни'!Y2)</f>
        <v>0</v>
      </c>
      <c r="Z65" s="76">
        <f>SUMIFS(разходи!$L:$L,разходи!$E:$E,'ПП Юни'!$C$65,разходи!$M:$M,'ПП Юни'!Z2)</f>
        <v>0</v>
      </c>
      <c r="AA65" s="76">
        <f>SUMIFS(разходи!$L:$L,разходи!$E:$E,'ПП Юни'!$C$65,разходи!$M:$M,'ПП Юни'!AA2)</f>
        <v>0</v>
      </c>
      <c r="AB65" s="74">
        <f>SUMIFS(разходи!$L:$L,разходи!$E:$E,'ПП Юни'!$C$65,разходи!$M:$M,'ПП Юни'!AB2)</f>
        <v>0</v>
      </c>
      <c r="AC65" s="74">
        <f>SUMIFS(разходи!$L:$L,разходи!$E:$E,'ПП Юни'!$C$65,разходи!$M:$M,'ПП Юни'!AC2)</f>
        <v>0</v>
      </c>
      <c r="AD65" s="74">
        <f>SUMIFS(разходи!$L:$L,разходи!$E:$E,'ПП Юни'!$C$65,разходи!$M:$M,'ПП Юни'!AD2)</f>
        <v>0</v>
      </c>
      <c r="AE65" s="74">
        <f>SUMIFS(разходи!$L:$L,разходи!$E:$E,'ПП Юни'!$C$65,разходи!$M:$M,'ПП Юни'!AE2)</f>
        <v>0</v>
      </c>
      <c r="AF65" s="74">
        <f>SUMIFS(разходи!$L:$L,разходи!$E:$E,'ПП Юни'!$C$65,разходи!$M:$M,'ПП Юни'!AF2)</f>
        <v>0</v>
      </c>
      <c r="AG65" s="76">
        <f>SUMIFS(разходи!$L:$L,разходи!$E:$E,'ПП Юни'!$C$65,разходи!$M:$M,'ПП Юни'!AG2)</f>
        <v>0</v>
      </c>
      <c r="AH65" s="76">
        <f>SUMIFS(разходи!$L:$L,разходи!$E:$E,'ПП Юни'!$C$65,разходи!$M:$M,'ПП Юни'!AH2)</f>
        <v>0</v>
      </c>
      <c r="AI65" s="61">
        <f t="shared" si="15"/>
        <v>0</v>
      </c>
      <c r="AJ65" s="69">
        <f t="shared" si="16"/>
        <v>0</v>
      </c>
    </row>
    <row r="66" spans="1:36" s="47" customFormat="1" ht="20.100000000000001" customHeight="1" x14ac:dyDescent="0.25">
      <c r="A66" s="44"/>
      <c r="B66" s="45" t="s">
        <v>878</v>
      </c>
      <c r="C66" s="46" t="s">
        <v>879</v>
      </c>
      <c r="D66" s="54">
        <f t="shared" ref="D66:AH66" si="23">D3-D23</f>
        <v>-4556949.4558375981</v>
      </c>
      <c r="E66" s="54">
        <f t="shared" si="23"/>
        <v>10596</v>
      </c>
      <c r="F66" s="54">
        <f t="shared" si="23"/>
        <v>0</v>
      </c>
      <c r="G66" s="54">
        <f t="shared" si="23"/>
        <v>-26360.399999999998</v>
      </c>
      <c r="H66" s="54">
        <f t="shared" si="23"/>
        <v>45448.458000000006</v>
      </c>
      <c r="I66" s="54">
        <f t="shared" si="23"/>
        <v>-3213.7431909999987</v>
      </c>
      <c r="J66" s="54">
        <f t="shared" si="23"/>
        <v>-222643.78716599999</v>
      </c>
      <c r="K66" s="54">
        <f t="shared" si="23"/>
        <v>-282976.70020799997</v>
      </c>
      <c r="L66" s="54">
        <f t="shared" si="23"/>
        <v>0</v>
      </c>
      <c r="M66" s="54">
        <f t="shared" si="23"/>
        <v>0</v>
      </c>
      <c r="N66" s="54">
        <f t="shared" si="23"/>
        <v>-393949.62975666003</v>
      </c>
      <c r="O66" s="54">
        <f t="shared" si="23"/>
        <v>-356408.53199999995</v>
      </c>
      <c r="P66" s="54">
        <f t="shared" si="23"/>
        <v>-750485.58750000002</v>
      </c>
      <c r="Q66" s="54">
        <f t="shared" si="23"/>
        <v>-111077.67678228</v>
      </c>
      <c r="R66" s="54">
        <f t="shared" si="23"/>
        <v>-37173.33</v>
      </c>
      <c r="S66" s="54">
        <f t="shared" si="23"/>
        <v>0</v>
      </c>
      <c r="T66" s="54">
        <f t="shared" si="23"/>
        <v>0</v>
      </c>
      <c r="U66" s="54">
        <f t="shared" si="23"/>
        <v>-47763.360000000001</v>
      </c>
      <c r="V66" s="54">
        <f t="shared" si="23"/>
        <v>-44049.261267000002</v>
      </c>
      <c r="W66" s="54">
        <f t="shared" si="23"/>
        <v>0</v>
      </c>
      <c r="X66" s="54">
        <f t="shared" si="23"/>
        <v>-79429.215563249993</v>
      </c>
      <c r="Y66" s="54">
        <f t="shared" si="23"/>
        <v>-1098931.392</v>
      </c>
      <c r="Z66" s="54">
        <f t="shared" si="23"/>
        <v>0</v>
      </c>
      <c r="AA66" s="54">
        <f t="shared" si="23"/>
        <v>0</v>
      </c>
      <c r="AB66" s="54">
        <f t="shared" si="23"/>
        <v>-2178688.372</v>
      </c>
      <c r="AC66" s="54">
        <f t="shared" si="23"/>
        <v>-554997.89899999998</v>
      </c>
      <c r="AD66" s="54">
        <f t="shared" si="23"/>
        <v>-53706.81</v>
      </c>
      <c r="AE66" s="54">
        <f t="shared" si="23"/>
        <v>-97101.719496599995</v>
      </c>
      <c r="AF66" s="54">
        <f t="shared" si="23"/>
        <v>-18741</v>
      </c>
      <c r="AG66" s="54">
        <f t="shared" si="23"/>
        <v>0</v>
      </c>
      <c r="AH66" s="54">
        <f t="shared" si="23"/>
        <v>0</v>
      </c>
      <c r="AI66" s="54">
        <f t="shared" si="15"/>
        <v>-6301653.9579307893</v>
      </c>
      <c r="AJ66" s="54">
        <f t="shared" si="16"/>
        <v>1744704.5020931913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1:36" x14ac:dyDescent="0.25"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42"/>
      <c r="R68" s="42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6" x14ac:dyDescent="0.25"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42"/>
      <c r="R69" s="42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1:36" x14ac:dyDescent="0.25"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42"/>
      <c r="R70" s="42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1:36" x14ac:dyDescent="0.25"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42"/>
      <c r="R71" s="42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6" s="225" customFormat="1" x14ac:dyDescent="0.25">
      <c r="B72" s="272"/>
      <c r="C72" s="270" t="s">
        <v>1191</v>
      </c>
      <c r="D72" s="271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3"/>
      <c r="R72" s="273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4"/>
      <c r="AJ72" s="272"/>
    </row>
    <row r="73" spans="1:36" s="225" customFormat="1" x14ac:dyDescent="0.25">
      <c r="A73" s="226"/>
      <c r="B73" s="227"/>
      <c r="C73" s="228" t="s">
        <v>842</v>
      </c>
      <c r="D73" s="228" t="s">
        <v>843</v>
      </c>
      <c r="E73" s="229">
        <v>45444</v>
      </c>
      <c r="F73" s="229">
        <f>+E73+1</f>
        <v>45445</v>
      </c>
      <c r="G73" s="230">
        <f t="shared" ref="G73" si="24">+F73+1</f>
        <v>45446</v>
      </c>
      <c r="H73" s="230">
        <f t="shared" ref="H73" si="25">+G73+1</f>
        <v>45447</v>
      </c>
      <c r="I73" s="230">
        <f t="shared" ref="I73" si="26">+H73+1</f>
        <v>45448</v>
      </c>
      <c r="J73" s="230">
        <f t="shared" ref="J73" si="27">+I73+1</f>
        <v>45449</v>
      </c>
      <c r="K73" s="230">
        <f t="shared" ref="K73" si="28">+J73+1</f>
        <v>45450</v>
      </c>
      <c r="L73" s="229">
        <f t="shared" ref="L73" si="29">+K73+1</f>
        <v>45451</v>
      </c>
      <c r="M73" s="229">
        <f t="shared" ref="M73" si="30">+L73+1</f>
        <v>45452</v>
      </c>
      <c r="N73" s="230">
        <f t="shared" ref="N73" si="31">+M73+1</f>
        <v>45453</v>
      </c>
      <c r="O73" s="230">
        <f>+N73+1</f>
        <v>45454</v>
      </c>
      <c r="P73" s="230">
        <f t="shared" ref="P73" si="32">+O73+1</f>
        <v>45455</v>
      </c>
      <c r="Q73" s="231">
        <f t="shared" ref="Q73" si="33">+P73+1</f>
        <v>45456</v>
      </c>
      <c r="R73" s="231">
        <f t="shared" ref="R73" si="34">+Q73+1</f>
        <v>45457</v>
      </c>
      <c r="S73" s="229">
        <f t="shared" ref="S73" si="35">+R73+1</f>
        <v>45458</v>
      </c>
      <c r="T73" s="229">
        <f t="shared" ref="T73" si="36">+S73+1</f>
        <v>45459</v>
      </c>
      <c r="U73" s="230">
        <f t="shared" ref="U73" si="37">+T73+1</f>
        <v>45460</v>
      </c>
      <c r="V73" s="230">
        <f t="shared" ref="V73" si="38">+U73+1</f>
        <v>45461</v>
      </c>
      <c r="W73" s="230">
        <f t="shared" ref="W73" si="39">+V73+1</f>
        <v>45462</v>
      </c>
      <c r="X73" s="230">
        <f t="shared" ref="X73" si="40">+W73+1</f>
        <v>45463</v>
      </c>
      <c r="Y73" s="230">
        <f t="shared" ref="Y73" si="41">+X73+1</f>
        <v>45464</v>
      </c>
      <c r="Z73" s="229">
        <f t="shared" ref="Z73" si="42">+Y73+1</f>
        <v>45465</v>
      </c>
      <c r="AA73" s="229">
        <f t="shared" ref="AA73" si="43">+Z73+1</f>
        <v>45466</v>
      </c>
      <c r="AB73" s="230">
        <f t="shared" ref="AB73" si="44">+AA73+1</f>
        <v>45467</v>
      </c>
      <c r="AC73" s="230">
        <f t="shared" ref="AC73" si="45">+AB73+1</f>
        <v>45468</v>
      </c>
      <c r="AD73" s="230">
        <f t="shared" ref="AD73" si="46">+AC73+1</f>
        <v>45469</v>
      </c>
      <c r="AE73" s="230">
        <f t="shared" ref="AE73" si="47">+AD73+1</f>
        <v>45470</v>
      </c>
      <c r="AF73" s="230">
        <f t="shared" ref="AF73" si="48">+AE73+1</f>
        <v>45471</v>
      </c>
      <c r="AG73" s="229">
        <f t="shared" ref="AG73" si="49">+AF73+1</f>
        <v>45472</v>
      </c>
      <c r="AH73" s="229">
        <f t="shared" ref="AH73" si="50">+AG73+1</f>
        <v>45473</v>
      </c>
      <c r="AI73" s="232" t="s">
        <v>844</v>
      </c>
      <c r="AJ73" s="233" t="s">
        <v>845</v>
      </c>
    </row>
    <row r="74" spans="1:36" s="238" customFormat="1" ht="20.100000000000001" customHeight="1" x14ac:dyDescent="0.3">
      <c r="A74" s="234"/>
      <c r="B74" s="235" t="s">
        <v>846</v>
      </c>
      <c r="C74" s="236" t="s">
        <v>847</v>
      </c>
      <c r="D74" s="237">
        <f t="shared" ref="D74:E74" si="51">SUM(D75,D82)</f>
        <v>12359611.609824</v>
      </c>
      <c r="E74" s="237">
        <f t="shared" si="51"/>
        <v>0</v>
      </c>
      <c r="F74" s="237">
        <f t="shared" ref="F74:AH74" si="52">SUM(F75,F82)</f>
        <v>0</v>
      </c>
      <c r="G74" s="237">
        <f t="shared" si="52"/>
        <v>0</v>
      </c>
      <c r="H74" s="237">
        <f t="shared" si="52"/>
        <v>0</v>
      </c>
      <c r="I74" s="237">
        <f t="shared" si="52"/>
        <v>0</v>
      </c>
      <c r="J74" s="237">
        <f t="shared" si="52"/>
        <v>0</v>
      </c>
      <c r="K74" s="237">
        <f t="shared" si="52"/>
        <v>0</v>
      </c>
      <c r="L74" s="237">
        <f t="shared" si="52"/>
        <v>0</v>
      </c>
      <c r="M74" s="237">
        <f t="shared" si="52"/>
        <v>0</v>
      </c>
      <c r="N74" s="237">
        <f t="shared" si="52"/>
        <v>0</v>
      </c>
      <c r="O74" s="237">
        <f t="shared" si="52"/>
        <v>19440</v>
      </c>
      <c r="P74" s="237">
        <f t="shared" si="52"/>
        <v>0</v>
      </c>
      <c r="Q74" s="237">
        <f t="shared" si="52"/>
        <v>0</v>
      </c>
      <c r="R74" s="237">
        <f t="shared" si="52"/>
        <v>0</v>
      </c>
      <c r="S74" s="237">
        <f t="shared" si="52"/>
        <v>0</v>
      </c>
      <c r="T74" s="237">
        <f t="shared" si="52"/>
        <v>0</v>
      </c>
      <c r="U74" s="237">
        <f t="shared" si="52"/>
        <v>0</v>
      </c>
      <c r="V74" s="237">
        <f t="shared" si="52"/>
        <v>0</v>
      </c>
      <c r="W74" s="237">
        <f t="shared" si="52"/>
        <v>0</v>
      </c>
      <c r="X74" s="237">
        <f t="shared" si="52"/>
        <v>725004</v>
      </c>
      <c r="Y74" s="237">
        <f t="shared" si="52"/>
        <v>0</v>
      </c>
      <c r="Z74" s="237">
        <f t="shared" si="52"/>
        <v>0</v>
      </c>
      <c r="AA74" s="237">
        <f t="shared" si="52"/>
        <v>0</v>
      </c>
      <c r="AB74" s="237">
        <f t="shared" si="52"/>
        <v>0</v>
      </c>
      <c r="AC74" s="237">
        <f t="shared" si="52"/>
        <v>0</v>
      </c>
      <c r="AD74" s="237">
        <f t="shared" si="52"/>
        <v>0</v>
      </c>
      <c r="AE74" s="237">
        <f t="shared" si="52"/>
        <v>0</v>
      </c>
      <c r="AF74" s="237">
        <f t="shared" si="52"/>
        <v>352782.91142399982</v>
      </c>
      <c r="AG74" s="237">
        <f t="shared" si="52"/>
        <v>0</v>
      </c>
      <c r="AH74" s="237">
        <f t="shared" si="52"/>
        <v>0</v>
      </c>
      <c r="AI74" s="237">
        <f t="shared" ref="AI74:AI105" si="53">SUM(E74:AH74)</f>
        <v>1097226.9114239998</v>
      </c>
      <c r="AJ74" s="237">
        <f t="shared" ref="AJ74:AJ137" si="54">+D74-AI74</f>
        <v>11262384.6984</v>
      </c>
    </row>
    <row r="75" spans="1:36" s="238" customFormat="1" ht="20.100000000000001" customHeight="1" x14ac:dyDescent="0.3">
      <c r="B75" s="239" t="s">
        <v>848</v>
      </c>
      <c r="C75" s="240" t="s">
        <v>849</v>
      </c>
      <c r="D75" s="241">
        <f t="shared" ref="D75" si="55">SUM(D76,D80,D81)</f>
        <v>12359611.609824</v>
      </c>
      <c r="E75" s="242">
        <f>SUM(E76,E80,E81)</f>
        <v>0</v>
      </c>
      <c r="F75" s="242">
        <f t="shared" ref="F75:AH75" si="56">SUM(F76,F80,F81)</f>
        <v>0</v>
      </c>
      <c r="G75" s="241">
        <f t="shared" si="56"/>
        <v>0</v>
      </c>
      <c r="H75" s="241">
        <f t="shared" si="56"/>
        <v>0</v>
      </c>
      <c r="I75" s="241">
        <f t="shared" si="56"/>
        <v>0</v>
      </c>
      <c r="J75" s="241">
        <f t="shared" si="56"/>
        <v>0</v>
      </c>
      <c r="K75" s="241">
        <f t="shared" si="56"/>
        <v>0</v>
      </c>
      <c r="L75" s="242">
        <f t="shared" si="56"/>
        <v>0</v>
      </c>
      <c r="M75" s="242">
        <f t="shared" si="56"/>
        <v>0</v>
      </c>
      <c r="N75" s="241">
        <f t="shared" si="56"/>
        <v>0</v>
      </c>
      <c r="O75" s="241">
        <f t="shared" si="56"/>
        <v>19440</v>
      </c>
      <c r="P75" s="241">
        <f t="shared" si="56"/>
        <v>0</v>
      </c>
      <c r="Q75" s="241">
        <f t="shared" si="56"/>
        <v>0</v>
      </c>
      <c r="R75" s="241">
        <f t="shared" si="56"/>
        <v>0</v>
      </c>
      <c r="S75" s="242">
        <f t="shared" si="56"/>
        <v>0</v>
      </c>
      <c r="T75" s="242">
        <f t="shared" si="56"/>
        <v>0</v>
      </c>
      <c r="U75" s="241">
        <f t="shared" si="56"/>
        <v>0</v>
      </c>
      <c r="V75" s="241">
        <f t="shared" si="56"/>
        <v>0</v>
      </c>
      <c r="W75" s="241">
        <f t="shared" si="56"/>
        <v>0</v>
      </c>
      <c r="X75" s="241">
        <f t="shared" si="56"/>
        <v>725004</v>
      </c>
      <c r="Y75" s="241">
        <f t="shared" si="56"/>
        <v>0</v>
      </c>
      <c r="Z75" s="242">
        <f t="shared" si="56"/>
        <v>0</v>
      </c>
      <c r="AA75" s="242">
        <f t="shared" si="56"/>
        <v>0</v>
      </c>
      <c r="AB75" s="241">
        <f t="shared" si="56"/>
        <v>0</v>
      </c>
      <c r="AC75" s="241">
        <f t="shared" si="56"/>
        <v>0</v>
      </c>
      <c r="AD75" s="241">
        <f t="shared" si="56"/>
        <v>0</v>
      </c>
      <c r="AE75" s="241">
        <f t="shared" si="56"/>
        <v>0</v>
      </c>
      <c r="AF75" s="241">
        <f t="shared" si="56"/>
        <v>352782.91142399982</v>
      </c>
      <c r="AG75" s="242">
        <f t="shared" si="56"/>
        <v>0</v>
      </c>
      <c r="AH75" s="242">
        <f t="shared" si="56"/>
        <v>0</v>
      </c>
      <c r="AI75" s="243">
        <f t="shared" si="53"/>
        <v>1097226.9114239998</v>
      </c>
      <c r="AJ75" s="244">
        <f t="shared" si="54"/>
        <v>11262384.6984</v>
      </c>
    </row>
    <row r="76" spans="1:36" s="238" customFormat="1" ht="20.100000000000001" customHeight="1" x14ac:dyDescent="0.3">
      <c r="B76" s="245">
        <v>1</v>
      </c>
      <c r="C76" s="246" t="s">
        <v>850</v>
      </c>
      <c r="D76" s="247">
        <f>SUM(D77:D79)</f>
        <v>12359611.609824</v>
      </c>
      <c r="E76" s="248">
        <f t="shared" ref="E76:AH76" si="57">SUM(E77:E79)</f>
        <v>0</v>
      </c>
      <c r="F76" s="248">
        <f t="shared" si="57"/>
        <v>0</v>
      </c>
      <c r="G76" s="247">
        <f t="shared" si="57"/>
        <v>0</v>
      </c>
      <c r="H76" s="247">
        <f t="shared" si="57"/>
        <v>0</v>
      </c>
      <c r="I76" s="247">
        <f t="shared" si="57"/>
        <v>0</v>
      </c>
      <c r="J76" s="247">
        <f t="shared" si="57"/>
        <v>0</v>
      </c>
      <c r="K76" s="247">
        <f t="shared" si="57"/>
        <v>0</v>
      </c>
      <c r="L76" s="248">
        <f t="shared" si="57"/>
        <v>0</v>
      </c>
      <c r="M76" s="248">
        <f t="shared" si="57"/>
        <v>0</v>
      </c>
      <c r="N76" s="247">
        <f t="shared" si="57"/>
        <v>0</v>
      </c>
      <c r="O76" s="247">
        <f t="shared" si="57"/>
        <v>19440</v>
      </c>
      <c r="P76" s="247">
        <f t="shared" si="57"/>
        <v>0</v>
      </c>
      <c r="Q76" s="247">
        <f t="shared" si="57"/>
        <v>0</v>
      </c>
      <c r="R76" s="247">
        <f t="shared" si="57"/>
        <v>0</v>
      </c>
      <c r="S76" s="248">
        <f t="shared" si="57"/>
        <v>0</v>
      </c>
      <c r="T76" s="248">
        <f t="shared" si="57"/>
        <v>0</v>
      </c>
      <c r="U76" s="247">
        <f t="shared" si="57"/>
        <v>0</v>
      </c>
      <c r="V76" s="247">
        <f t="shared" si="57"/>
        <v>0</v>
      </c>
      <c r="W76" s="247">
        <f t="shared" si="57"/>
        <v>0</v>
      </c>
      <c r="X76" s="247">
        <f t="shared" si="57"/>
        <v>725004</v>
      </c>
      <c r="Y76" s="247">
        <f t="shared" si="57"/>
        <v>0</v>
      </c>
      <c r="Z76" s="248">
        <f t="shared" si="57"/>
        <v>0</v>
      </c>
      <c r="AA76" s="248">
        <f t="shared" si="57"/>
        <v>0</v>
      </c>
      <c r="AB76" s="247">
        <f t="shared" si="57"/>
        <v>0</v>
      </c>
      <c r="AC76" s="247">
        <f t="shared" si="57"/>
        <v>0</v>
      </c>
      <c r="AD76" s="247">
        <f t="shared" si="57"/>
        <v>0</v>
      </c>
      <c r="AE76" s="247">
        <f t="shared" si="57"/>
        <v>0</v>
      </c>
      <c r="AF76" s="247">
        <f t="shared" si="57"/>
        <v>352782.91142399982</v>
      </c>
      <c r="AG76" s="248">
        <f t="shared" si="57"/>
        <v>0</v>
      </c>
      <c r="AH76" s="248">
        <f t="shared" si="57"/>
        <v>0</v>
      </c>
      <c r="AI76" s="249">
        <f t="shared" si="53"/>
        <v>1097226.9114239998</v>
      </c>
      <c r="AJ76" s="250">
        <f t="shared" si="54"/>
        <v>11262384.6984</v>
      </c>
    </row>
    <row r="77" spans="1:36" s="251" customFormat="1" ht="20.100000000000001" customHeight="1" outlineLevel="1" x14ac:dyDescent="0.3">
      <c r="B77" s="252"/>
      <c r="C77" s="246" t="s">
        <v>851</v>
      </c>
      <c r="D77" s="253">
        <v>11262384.6984</v>
      </c>
      <c r="E77" s="248"/>
      <c r="F77" s="248"/>
      <c r="G77" s="247"/>
      <c r="H77" s="247"/>
      <c r="I77" s="247"/>
      <c r="J77" s="247"/>
      <c r="K77" s="247"/>
      <c r="L77" s="248"/>
      <c r="M77" s="248"/>
      <c r="N77" s="247"/>
      <c r="O77" s="247"/>
      <c r="P77" s="247"/>
      <c r="Q77" s="247"/>
      <c r="R77" s="247"/>
      <c r="S77" s="248"/>
      <c r="T77" s="248"/>
      <c r="U77" s="247"/>
      <c r="V77" s="247"/>
      <c r="W77" s="247"/>
      <c r="X77" s="247"/>
      <c r="Y77" s="247"/>
      <c r="Z77" s="248"/>
      <c r="AA77" s="248"/>
      <c r="AB77" s="247"/>
      <c r="AC77" s="247"/>
      <c r="AD77" s="247"/>
      <c r="AE77" s="247"/>
      <c r="AF77" s="247"/>
      <c r="AG77" s="248"/>
      <c r="AH77" s="248"/>
      <c r="AI77" s="249">
        <f t="shared" si="53"/>
        <v>0</v>
      </c>
      <c r="AJ77" s="254">
        <f t="shared" si="54"/>
        <v>11262384.6984</v>
      </c>
    </row>
    <row r="78" spans="1:36" s="251" customFormat="1" ht="20.100000000000001" customHeight="1" outlineLevel="1" x14ac:dyDescent="0.3">
      <c r="B78" s="252"/>
      <c r="C78" s="246" t="s">
        <v>53</v>
      </c>
      <c r="D78" s="253">
        <f>881955.75952*1.2</f>
        <v>1058346.9114239998</v>
      </c>
      <c r="E78" s="248"/>
      <c r="F78" s="248"/>
      <c r="G78" s="247"/>
      <c r="H78" s="247"/>
      <c r="I78" s="247"/>
      <c r="J78" s="247"/>
      <c r="K78" s="247"/>
      <c r="L78" s="248"/>
      <c r="M78" s="248"/>
      <c r="N78" s="247"/>
      <c r="O78" s="247"/>
      <c r="P78" s="247"/>
      <c r="Q78" s="247"/>
      <c r="R78" s="247"/>
      <c r="S78" s="248"/>
      <c r="T78" s="248"/>
      <c r="U78" s="247"/>
      <c r="V78" s="247"/>
      <c r="W78" s="247"/>
      <c r="X78" s="247">
        <v>705564</v>
      </c>
      <c r="Y78" s="247"/>
      <c r="Z78" s="248"/>
      <c r="AA78" s="248"/>
      <c r="AB78" s="247"/>
      <c r="AC78" s="247"/>
      <c r="AD78" s="247"/>
      <c r="AE78" s="247"/>
      <c r="AF78" s="247">
        <v>352782.91142399982</v>
      </c>
      <c r="AG78" s="248"/>
      <c r="AH78" s="248"/>
      <c r="AI78" s="249">
        <f t="shared" si="53"/>
        <v>1058346.9114239998</v>
      </c>
      <c r="AJ78" s="254">
        <f t="shared" si="54"/>
        <v>0</v>
      </c>
    </row>
    <row r="79" spans="1:36" s="251" customFormat="1" ht="20.100000000000001" customHeight="1" outlineLevel="1" x14ac:dyDescent="0.3">
      <c r="B79" s="252"/>
      <c r="C79" s="246" t="s">
        <v>33</v>
      </c>
      <c r="D79" s="253">
        <f>32400*1.2</f>
        <v>38880</v>
      </c>
      <c r="E79" s="248"/>
      <c r="F79" s="248"/>
      <c r="G79" s="247"/>
      <c r="H79" s="247"/>
      <c r="I79" s="247"/>
      <c r="J79" s="247"/>
      <c r="K79" s="247"/>
      <c r="L79" s="248"/>
      <c r="M79" s="248"/>
      <c r="N79" s="247"/>
      <c r="O79" s="247">
        <v>19440</v>
      </c>
      <c r="P79" s="247"/>
      <c r="Q79" s="247"/>
      <c r="R79" s="247"/>
      <c r="S79" s="248"/>
      <c r="T79" s="248"/>
      <c r="U79" s="247"/>
      <c r="V79" s="247"/>
      <c r="W79" s="247"/>
      <c r="X79" s="247">
        <v>19440</v>
      </c>
      <c r="Y79" s="247"/>
      <c r="Z79" s="248"/>
      <c r="AA79" s="248"/>
      <c r="AB79" s="247"/>
      <c r="AC79" s="247"/>
      <c r="AD79" s="247"/>
      <c r="AE79" s="247"/>
      <c r="AF79" s="247"/>
      <c r="AG79" s="248"/>
      <c r="AH79" s="248"/>
      <c r="AI79" s="249">
        <f t="shared" si="53"/>
        <v>38880</v>
      </c>
      <c r="AJ79" s="254">
        <f t="shared" si="54"/>
        <v>0</v>
      </c>
    </row>
    <row r="80" spans="1:36" s="238" customFormat="1" ht="20.100000000000001" customHeight="1" x14ac:dyDescent="0.3">
      <c r="B80" s="245">
        <v>2</v>
      </c>
      <c r="C80" s="246" t="s">
        <v>36</v>
      </c>
      <c r="D80" s="253"/>
      <c r="E80" s="248"/>
      <c r="F80" s="248"/>
      <c r="G80" s="247"/>
      <c r="H80" s="247"/>
      <c r="I80" s="247"/>
      <c r="J80" s="247"/>
      <c r="K80" s="247"/>
      <c r="L80" s="248"/>
      <c r="M80" s="248"/>
      <c r="N80" s="247"/>
      <c r="O80" s="247"/>
      <c r="P80" s="247"/>
      <c r="Q80" s="247"/>
      <c r="R80" s="247"/>
      <c r="S80" s="248"/>
      <c r="T80" s="248"/>
      <c r="U80" s="247"/>
      <c r="V80" s="247"/>
      <c r="W80" s="247"/>
      <c r="X80" s="247"/>
      <c r="Y80" s="247"/>
      <c r="Z80" s="248"/>
      <c r="AA80" s="248"/>
      <c r="AB80" s="247"/>
      <c r="AC80" s="247"/>
      <c r="AD80" s="247"/>
      <c r="AE80" s="247"/>
      <c r="AF80" s="247"/>
      <c r="AG80" s="248"/>
      <c r="AH80" s="248"/>
      <c r="AI80" s="249">
        <f t="shared" si="53"/>
        <v>0</v>
      </c>
      <c r="AJ80" s="254">
        <f t="shared" si="54"/>
        <v>0</v>
      </c>
    </row>
    <row r="81" spans="1:36" s="238" customFormat="1" ht="20.100000000000001" customHeight="1" x14ac:dyDescent="0.3">
      <c r="B81" s="245">
        <v>3</v>
      </c>
      <c r="C81" s="246" t="s">
        <v>119</v>
      </c>
      <c r="D81" s="253"/>
      <c r="E81" s="248"/>
      <c r="F81" s="248"/>
      <c r="G81" s="247"/>
      <c r="H81" s="247"/>
      <c r="I81" s="247"/>
      <c r="J81" s="247"/>
      <c r="K81" s="247"/>
      <c r="L81" s="248"/>
      <c r="M81" s="248"/>
      <c r="N81" s="247"/>
      <c r="O81" s="247"/>
      <c r="P81" s="247"/>
      <c r="Q81" s="247"/>
      <c r="R81" s="247"/>
      <c r="S81" s="248"/>
      <c r="T81" s="248"/>
      <c r="U81" s="247"/>
      <c r="V81" s="247"/>
      <c r="W81" s="247"/>
      <c r="X81" s="247"/>
      <c r="Y81" s="247"/>
      <c r="Z81" s="248"/>
      <c r="AA81" s="248"/>
      <c r="AB81" s="247"/>
      <c r="AC81" s="247"/>
      <c r="AD81" s="247"/>
      <c r="AE81" s="247"/>
      <c r="AF81" s="247"/>
      <c r="AG81" s="248"/>
      <c r="AH81" s="248"/>
      <c r="AI81" s="249">
        <f t="shared" si="53"/>
        <v>0</v>
      </c>
      <c r="AJ81" s="254">
        <f t="shared" si="54"/>
        <v>0</v>
      </c>
    </row>
    <row r="82" spans="1:36" s="238" customFormat="1" ht="20.100000000000001" customHeight="1" x14ac:dyDescent="0.3">
      <c r="B82" s="239" t="s">
        <v>852</v>
      </c>
      <c r="C82" s="240" t="s">
        <v>853</v>
      </c>
      <c r="D82" s="241">
        <f t="shared" ref="D82:E82" si="58">SUM(D83:D84,D91,D92,D93)</f>
        <v>0</v>
      </c>
      <c r="E82" s="242">
        <f t="shared" si="58"/>
        <v>0</v>
      </c>
      <c r="F82" s="242">
        <f t="shared" ref="F82:AH82" si="59">SUM(F83:F84,F91,F92,F93)</f>
        <v>0</v>
      </c>
      <c r="G82" s="241">
        <f t="shared" si="59"/>
        <v>0</v>
      </c>
      <c r="H82" s="241">
        <f t="shared" si="59"/>
        <v>0</v>
      </c>
      <c r="I82" s="241">
        <f t="shared" si="59"/>
        <v>0</v>
      </c>
      <c r="J82" s="241">
        <f t="shared" si="59"/>
        <v>0</v>
      </c>
      <c r="K82" s="241">
        <f t="shared" si="59"/>
        <v>0</v>
      </c>
      <c r="L82" s="242">
        <f t="shared" si="59"/>
        <v>0</v>
      </c>
      <c r="M82" s="242">
        <f t="shared" si="59"/>
        <v>0</v>
      </c>
      <c r="N82" s="241">
        <f t="shared" si="59"/>
        <v>0</v>
      </c>
      <c r="O82" s="241">
        <f t="shared" si="59"/>
        <v>0</v>
      </c>
      <c r="P82" s="241">
        <f t="shared" si="59"/>
        <v>0</v>
      </c>
      <c r="Q82" s="241">
        <f t="shared" si="59"/>
        <v>0</v>
      </c>
      <c r="R82" s="241">
        <f t="shared" si="59"/>
        <v>0</v>
      </c>
      <c r="S82" s="242">
        <f t="shared" si="59"/>
        <v>0</v>
      </c>
      <c r="T82" s="242">
        <f t="shared" si="59"/>
        <v>0</v>
      </c>
      <c r="U82" s="241">
        <f t="shared" si="59"/>
        <v>0</v>
      </c>
      <c r="V82" s="241">
        <f t="shared" si="59"/>
        <v>0</v>
      </c>
      <c r="W82" s="241">
        <f t="shared" si="59"/>
        <v>0</v>
      </c>
      <c r="X82" s="241">
        <f t="shared" si="59"/>
        <v>0</v>
      </c>
      <c r="Y82" s="241">
        <f t="shared" si="59"/>
        <v>0</v>
      </c>
      <c r="Z82" s="242">
        <f t="shared" si="59"/>
        <v>0</v>
      </c>
      <c r="AA82" s="242">
        <f t="shared" si="59"/>
        <v>0</v>
      </c>
      <c r="AB82" s="241">
        <f t="shared" si="59"/>
        <v>0</v>
      </c>
      <c r="AC82" s="241">
        <f t="shared" si="59"/>
        <v>0</v>
      </c>
      <c r="AD82" s="241">
        <f t="shared" si="59"/>
        <v>0</v>
      </c>
      <c r="AE82" s="241">
        <f t="shared" si="59"/>
        <v>0</v>
      </c>
      <c r="AF82" s="241">
        <f t="shared" si="59"/>
        <v>0</v>
      </c>
      <c r="AG82" s="242">
        <f t="shared" si="59"/>
        <v>0</v>
      </c>
      <c r="AH82" s="242">
        <f t="shared" si="59"/>
        <v>0</v>
      </c>
      <c r="AI82" s="243">
        <f t="shared" si="53"/>
        <v>0</v>
      </c>
      <c r="AJ82" s="244">
        <f t="shared" si="54"/>
        <v>0</v>
      </c>
    </row>
    <row r="83" spans="1:36" s="238" customFormat="1" ht="20.100000000000001" customHeight="1" x14ac:dyDescent="0.3">
      <c r="B83" s="245">
        <v>1</v>
      </c>
      <c r="C83" s="246" t="s">
        <v>58</v>
      </c>
      <c r="D83" s="253"/>
      <c r="E83" s="248"/>
      <c r="F83" s="248"/>
      <c r="G83" s="247"/>
      <c r="H83" s="247"/>
      <c r="I83" s="247"/>
      <c r="J83" s="247"/>
      <c r="K83" s="247"/>
      <c r="L83" s="248"/>
      <c r="M83" s="248"/>
      <c r="N83" s="247"/>
      <c r="O83" s="247"/>
      <c r="P83" s="247"/>
      <c r="Q83" s="247"/>
      <c r="R83" s="247"/>
      <c r="S83" s="248"/>
      <c r="T83" s="248"/>
      <c r="U83" s="247"/>
      <c r="V83" s="247"/>
      <c r="W83" s="247"/>
      <c r="X83" s="247"/>
      <c r="Y83" s="247"/>
      <c r="Z83" s="248"/>
      <c r="AA83" s="248"/>
      <c r="AB83" s="247"/>
      <c r="AC83" s="247"/>
      <c r="AD83" s="247"/>
      <c r="AE83" s="247"/>
      <c r="AF83" s="247"/>
      <c r="AG83" s="248"/>
      <c r="AH83" s="248"/>
      <c r="AI83" s="249">
        <f t="shared" si="53"/>
        <v>0</v>
      </c>
      <c r="AJ83" s="254">
        <f t="shared" si="54"/>
        <v>0</v>
      </c>
    </row>
    <row r="84" spans="1:36" s="238" customFormat="1" ht="20.100000000000001" customHeight="1" x14ac:dyDescent="0.3">
      <c r="B84" s="245">
        <v>2</v>
      </c>
      <c r="C84" s="246" t="s">
        <v>854</v>
      </c>
      <c r="D84" s="247">
        <f t="shared" ref="D84" si="60">SUM(D85:D89)</f>
        <v>0</v>
      </c>
      <c r="E84" s="248">
        <f t="shared" ref="E84" si="61">SUM(E85:E90)</f>
        <v>0</v>
      </c>
      <c r="F84" s="248">
        <f t="shared" ref="F84:AH84" si="62">SUM(F85:F90)</f>
        <v>0</v>
      </c>
      <c r="G84" s="247">
        <f t="shared" si="62"/>
        <v>0</v>
      </c>
      <c r="H84" s="247">
        <f t="shared" si="62"/>
        <v>0</v>
      </c>
      <c r="I84" s="247">
        <f t="shared" si="62"/>
        <v>0</v>
      </c>
      <c r="J84" s="247">
        <f t="shared" si="62"/>
        <v>0</v>
      </c>
      <c r="K84" s="247">
        <f t="shared" si="62"/>
        <v>0</v>
      </c>
      <c r="L84" s="248">
        <f t="shared" si="62"/>
        <v>0</v>
      </c>
      <c r="M84" s="248">
        <f t="shared" si="62"/>
        <v>0</v>
      </c>
      <c r="N84" s="247">
        <f t="shared" si="62"/>
        <v>0</v>
      </c>
      <c r="O84" s="247">
        <f t="shared" si="62"/>
        <v>0</v>
      </c>
      <c r="P84" s="247">
        <f t="shared" si="62"/>
        <v>0</v>
      </c>
      <c r="Q84" s="247">
        <f t="shared" si="62"/>
        <v>0</v>
      </c>
      <c r="R84" s="247">
        <f t="shared" si="62"/>
        <v>0</v>
      </c>
      <c r="S84" s="248">
        <f t="shared" si="62"/>
        <v>0</v>
      </c>
      <c r="T84" s="248">
        <f t="shared" si="62"/>
        <v>0</v>
      </c>
      <c r="U84" s="247">
        <f t="shared" si="62"/>
        <v>0</v>
      </c>
      <c r="V84" s="247">
        <f t="shared" si="62"/>
        <v>0</v>
      </c>
      <c r="W84" s="247">
        <f t="shared" si="62"/>
        <v>0</v>
      </c>
      <c r="X84" s="247">
        <f t="shared" si="62"/>
        <v>0</v>
      </c>
      <c r="Y84" s="247">
        <f t="shared" si="62"/>
        <v>0</v>
      </c>
      <c r="Z84" s="248">
        <f t="shared" si="62"/>
        <v>0</v>
      </c>
      <c r="AA84" s="248">
        <f t="shared" si="62"/>
        <v>0</v>
      </c>
      <c r="AB84" s="247">
        <f t="shared" si="62"/>
        <v>0</v>
      </c>
      <c r="AC84" s="247">
        <f t="shared" si="62"/>
        <v>0</v>
      </c>
      <c r="AD84" s="247">
        <f t="shared" si="62"/>
        <v>0</v>
      </c>
      <c r="AE84" s="247">
        <f t="shared" si="62"/>
        <v>0</v>
      </c>
      <c r="AF84" s="247">
        <f t="shared" si="62"/>
        <v>0</v>
      </c>
      <c r="AG84" s="248">
        <f t="shared" si="62"/>
        <v>0</v>
      </c>
      <c r="AH84" s="248">
        <f t="shared" si="62"/>
        <v>0</v>
      </c>
      <c r="AI84" s="249">
        <f t="shared" si="53"/>
        <v>0</v>
      </c>
      <c r="AJ84" s="250">
        <f t="shared" si="54"/>
        <v>0</v>
      </c>
    </row>
    <row r="85" spans="1:36" s="251" customFormat="1" ht="20.100000000000001" customHeight="1" outlineLevel="1" x14ac:dyDescent="0.3">
      <c r="B85" s="252"/>
      <c r="C85" s="246" t="s">
        <v>76</v>
      </c>
      <c r="D85" s="253"/>
      <c r="E85" s="248"/>
      <c r="F85" s="248"/>
      <c r="G85" s="247"/>
      <c r="H85" s="247"/>
      <c r="I85" s="247"/>
      <c r="J85" s="247"/>
      <c r="K85" s="247"/>
      <c r="L85" s="248"/>
      <c r="M85" s="248"/>
      <c r="N85" s="247"/>
      <c r="O85" s="247"/>
      <c r="P85" s="247"/>
      <c r="Q85" s="247"/>
      <c r="R85" s="247"/>
      <c r="S85" s="248"/>
      <c r="T85" s="248"/>
      <c r="U85" s="247"/>
      <c r="V85" s="247"/>
      <c r="W85" s="247"/>
      <c r="X85" s="247"/>
      <c r="Y85" s="247"/>
      <c r="Z85" s="248"/>
      <c r="AA85" s="248"/>
      <c r="AB85" s="247"/>
      <c r="AC85" s="247"/>
      <c r="AD85" s="247"/>
      <c r="AE85" s="247"/>
      <c r="AF85" s="247"/>
      <c r="AG85" s="248"/>
      <c r="AH85" s="248"/>
      <c r="AI85" s="249">
        <f t="shared" si="53"/>
        <v>0</v>
      </c>
      <c r="AJ85" s="254">
        <f t="shared" si="54"/>
        <v>0</v>
      </c>
    </row>
    <row r="86" spans="1:36" s="251" customFormat="1" ht="20.100000000000001" customHeight="1" outlineLevel="1" x14ac:dyDescent="0.3">
      <c r="B86" s="252"/>
      <c r="C86" s="246" t="s">
        <v>71</v>
      </c>
      <c r="D86" s="253"/>
      <c r="E86" s="248"/>
      <c r="F86" s="248"/>
      <c r="G86" s="247"/>
      <c r="H86" s="247"/>
      <c r="I86" s="247"/>
      <c r="J86" s="247"/>
      <c r="K86" s="247"/>
      <c r="L86" s="248"/>
      <c r="M86" s="248"/>
      <c r="N86" s="247"/>
      <c r="O86" s="247"/>
      <c r="P86" s="247"/>
      <c r="Q86" s="247"/>
      <c r="R86" s="247"/>
      <c r="S86" s="248"/>
      <c r="T86" s="248"/>
      <c r="U86" s="247"/>
      <c r="V86" s="247"/>
      <c r="W86" s="247"/>
      <c r="X86" s="247"/>
      <c r="Y86" s="247"/>
      <c r="Z86" s="248"/>
      <c r="AA86" s="248"/>
      <c r="AB86" s="247"/>
      <c r="AC86" s="247"/>
      <c r="AD86" s="247"/>
      <c r="AE86" s="247"/>
      <c r="AF86" s="247"/>
      <c r="AG86" s="248"/>
      <c r="AH86" s="248"/>
      <c r="AI86" s="249">
        <f t="shared" si="53"/>
        <v>0</v>
      </c>
      <c r="AJ86" s="254">
        <f t="shared" si="54"/>
        <v>0</v>
      </c>
    </row>
    <row r="87" spans="1:36" s="251" customFormat="1" ht="20.100000000000001" customHeight="1" outlineLevel="1" x14ac:dyDescent="0.3">
      <c r="B87" s="252"/>
      <c r="C87" s="246" t="s">
        <v>63</v>
      </c>
      <c r="D87" s="253"/>
      <c r="E87" s="248"/>
      <c r="F87" s="248"/>
      <c r="G87" s="247"/>
      <c r="H87" s="247"/>
      <c r="I87" s="247"/>
      <c r="J87" s="247"/>
      <c r="K87" s="247"/>
      <c r="L87" s="248"/>
      <c r="M87" s="248"/>
      <c r="N87" s="247"/>
      <c r="O87" s="247"/>
      <c r="P87" s="247"/>
      <c r="Q87" s="247"/>
      <c r="R87" s="247"/>
      <c r="S87" s="248"/>
      <c r="T87" s="248"/>
      <c r="U87" s="247"/>
      <c r="V87" s="247"/>
      <c r="W87" s="247"/>
      <c r="X87" s="247"/>
      <c r="Y87" s="247"/>
      <c r="Z87" s="248"/>
      <c r="AA87" s="248"/>
      <c r="AB87" s="247"/>
      <c r="AC87" s="247"/>
      <c r="AD87" s="247"/>
      <c r="AE87" s="247"/>
      <c r="AF87" s="247"/>
      <c r="AG87" s="248"/>
      <c r="AH87" s="248"/>
      <c r="AI87" s="249">
        <f t="shared" si="53"/>
        <v>0</v>
      </c>
      <c r="AJ87" s="254">
        <f t="shared" si="54"/>
        <v>0</v>
      </c>
    </row>
    <row r="88" spans="1:36" s="251" customFormat="1" ht="20.100000000000001" customHeight="1" outlineLevel="1" x14ac:dyDescent="0.3">
      <c r="B88" s="252"/>
      <c r="C88" s="246" t="s">
        <v>57</v>
      </c>
      <c r="D88" s="253"/>
      <c r="E88" s="248"/>
      <c r="F88" s="248"/>
      <c r="G88" s="247"/>
      <c r="H88" s="247"/>
      <c r="I88" s="247"/>
      <c r="J88" s="247"/>
      <c r="K88" s="247"/>
      <c r="L88" s="248"/>
      <c r="M88" s="248"/>
      <c r="N88" s="247"/>
      <c r="O88" s="247"/>
      <c r="P88" s="247"/>
      <c r="Q88" s="247"/>
      <c r="R88" s="247"/>
      <c r="S88" s="248"/>
      <c r="T88" s="248"/>
      <c r="U88" s="247"/>
      <c r="V88" s="247"/>
      <c r="W88" s="247"/>
      <c r="X88" s="247"/>
      <c r="Y88" s="247"/>
      <c r="Z88" s="248"/>
      <c r="AA88" s="248"/>
      <c r="AB88" s="247"/>
      <c r="AC88" s="247"/>
      <c r="AD88" s="247"/>
      <c r="AE88" s="247"/>
      <c r="AF88" s="247"/>
      <c r="AG88" s="248"/>
      <c r="AH88" s="248"/>
      <c r="AI88" s="249">
        <f t="shared" si="53"/>
        <v>0</v>
      </c>
      <c r="AJ88" s="254">
        <f t="shared" si="54"/>
        <v>0</v>
      </c>
    </row>
    <row r="89" spans="1:36" s="251" customFormat="1" ht="20.100000000000001" customHeight="1" outlineLevel="1" x14ac:dyDescent="0.3">
      <c r="B89" s="252"/>
      <c r="C89" s="246" t="s">
        <v>120</v>
      </c>
      <c r="D89" s="253"/>
      <c r="E89" s="248"/>
      <c r="F89" s="248"/>
      <c r="G89" s="247"/>
      <c r="H89" s="247"/>
      <c r="I89" s="247"/>
      <c r="J89" s="247"/>
      <c r="K89" s="247"/>
      <c r="L89" s="248"/>
      <c r="M89" s="248"/>
      <c r="N89" s="247"/>
      <c r="O89" s="247"/>
      <c r="P89" s="247"/>
      <c r="Q89" s="247"/>
      <c r="R89" s="247"/>
      <c r="S89" s="248"/>
      <c r="T89" s="248"/>
      <c r="U89" s="247"/>
      <c r="V89" s="247"/>
      <c r="W89" s="247"/>
      <c r="X89" s="247"/>
      <c r="Y89" s="247"/>
      <c r="Z89" s="248"/>
      <c r="AA89" s="248"/>
      <c r="AB89" s="247"/>
      <c r="AC89" s="247"/>
      <c r="AD89" s="247"/>
      <c r="AE89" s="247"/>
      <c r="AF89" s="247"/>
      <c r="AG89" s="248"/>
      <c r="AH89" s="248"/>
      <c r="AI89" s="249">
        <f t="shared" si="53"/>
        <v>0</v>
      </c>
      <c r="AJ89" s="254">
        <f t="shared" si="54"/>
        <v>0</v>
      </c>
    </row>
    <row r="90" spans="1:36" s="251" customFormat="1" ht="20.100000000000001" customHeight="1" outlineLevel="1" x14ac:dyDescent="0.3">
      <c r="A90" s="255"/>
      <c r="B90" s="252"/>
      <c r="C90" s="246" t="s">
        <v>56</v>
      </c>
      <c r="D90" s="253"/>
      <c r="E90" s="248"/>
      <c r="F90" s="248"/>
      <c r="G90" s="247"/>
      <c r="H90" s="247"/>
      <c r="I90" s="247"/>
      <c r="J90" s="247"/>
      <c r="K90" s="247"/>
      <c r="L90" s="248"/>
      <c r="M90" s="248"/>
      <c r="N90" s="247"/>
      <c r="O90" s="247"/>
      <c r="P90" s="247"/>
      <c r="Q90" s="247"/>
      <c r="R90" s="247"/>
      <c r="S90" s="248"/>
      <c r="T90" s="248"/>
      <c r="U90" s="247"/>
      <c r="V90" s="247"/>
      <c r="W90" s="247"/>
      <c r="X90" s="247"/>
      <c r="Y90" s="247"/>
      <c r="Z90" s="248"/>
      <c r="AA90" s="248"/>
      <c r="AB90" s="247"/>
      <c r="AC90" s="247"/>
      <c r="AD90" s="247"/>
      <c r="AE90" s="247"/>
      <c r="AF90" s="247"/>
      <c r="AG90" s="248"/>
      <c r="AH90" s="248"/>
      <c r="AI90" s="249">
        <f t="shared" si="53"/>
        <v>0</v>
      </c>
      <c r="AJ90" s="254">
        <f t="shared" si="54"/>
        <v>0</v>
      </c>
    </row>
    <row r="91" spans="1:36" s="238" customFormat="1" ht="20.100000000000001" customHeight="1" x14ac:dyDescent="0.3">
      <c r="B91" s="245">
        <v>3</v>
      </c>
      <c r="C91" s="246" t="s">
        <v>54</v>
      </c>
      <c r="D91" s="253"/>
      <c r="E91" s="248"/>
      <c r="F91" s="248"/>
      <c r="G91" s="247"/>
      <c r="H91" s="247"/>
      <c r="I91" s="247"/>
      <c r="J91" s="247"/>
      <c r="K91" s="247"/>
      <c r="L91" s="248"/>
      <c r="M91" s="248"/>
      <c r="N91" s="247"/>
      <c r="O91" s="247"/>
      <c r="P91" s="247"/>
      <c r="Q91" s="247"/>
      <c r="R91" s="247"/>
      <c r="S91" s="248"/>
      <c r="T91" s="248"/>
      <c r="U91" s="247"/>
      <c r="V91" s="247"/>
      <c r="W91" s="247"/>
      <c r="X91" s="247"/>
      <c r="Y91" s="247"/>
      <c r="Z91" s="248"/>
      <c r="AA91" s="248"/>
      <c r="AB91" s="247"/>
      <c r="AC91" s="247"/>
      <c r="AD91" s="247"/>
      <c r="AE91" s="247"/>
      <c r="AF91" s="247"/>
      <c r="AG91" s="248"/>
      <c r="AH91" s="248"/>
      <c r="AI91" s="249">
        <f t="shared" si="53"/>
        <v>0</v>
      </c>
      <c r="AJ91" s="254">
        <f t="shared" si="54"/>
        <v>0</v>
      </c>
    </row>
    <row r="92" spans="1:36" s="238" customFormat="1" ht="20.100000000000001" customHeight="1" x14ac:dyDescent="0.3">
      <c r="B92" s="245">
        <v>4</v>
      </c>
      <c r="C92" s="246" t="s">
        <v>855</v>
      </c>
      <c r="D92" s="253"/>
      <c r="E92" s="248"/>
      <c r="F92" s="248"/>
      <c r="G92" s="247"/>
      <c r="H92" s="247"/>
      <c r="I92" s="247"/>
      <c r="J92" s="247"/>
      <c r="K92" s="247"/>
      <c r="L92" s="248"/>
      <c r="M92" s="248"/>
      <c r="N92" s="247"/>
      <c r="O92" s="247"/>
      <c r="P92" s="247"/>
      <c r="Q92" s="247"/>
      <c r="R92" s="247"/>
      <c r="S92" s="248"/>
      <c r="T92" s="248"/>
      <c r="U92" s="247"/>
      <c r="V92" s="247"/>
      <c r="W92" s="247"/>
      <c r="X92" s="247"/>
      <c r="Y92" s="247"/>
      <c r="Z92" s="248"/>
      <c r="AA92" s="248"/>
      <c r="AB92" s="247"/>
      <c r="AC92" s="247"/>
      <c r="AD92" s="247"/>
      <c r="AE92" s="247"/>
      <c r="AF92" s="247"/>
      <c r="AG92" s="248"/>
      <c r="AH92" s="248"/>
      <c r="AI92" s="249">
        <f t="shared" si="53"/>
        <v>0</v>
      </c>
      <c r="AJ92" s="254">
        <f t="shared" si="54"/>
        <v>0</v>
      </c>
    </row>
    <row r="93" spans="1:36" s="238" customFormat="1" ht="20.100000000000001" customHeight="1" x14ac:dyDescent="0.3">
      <c r="B93" s="245">
        <v>5</v>
      </c>
      <c r="C93" s="246" t="s">
        <v>108</v>
      </c>
      <c r="D93" s="253"/>
      <c r="E93" s="248"/>
      <c r="F93" s="248"/>
      <c r="G93" s="247"/>
      <c r="H93" s="247"/>
      <c r="I93" s="247"/>
      <c r="J93" s="247"/>
      <c r="K93" s="247"/>
      <c r="L93" s="248"/>
      <c r="M93" s="248"/>
      <c r="N93" s="247"/>
      <c r="O93" s="247"/>
      <c r="P93" s="247"/>
      <c r="Q93" s="247"/>
      <c r="R93" s="247"/>
      <c r="S93" s="248"/>
      <c r="T93" s="248"/>
      <c r="U93" s="247"/>
      <c r="V93" s="247"/>
      <c r="W93" s="247"/>
      <c r="X93" s="247"/>
      <c r="Y93" s="247"/>
      <c r="Z93" s="248"/>
      <c r="AA93" s="248"/>
      <c r="AB93" s="247"/>
      <c r="AC93" s="247"/>
      <c r="AD93" s="247"/>
      <c r="AE93" s="247"/>
      <c r="AF93" s="247"/>
      <c r="AG93" s="248"/>
      <c r="AH93" s="248"/>
      <c r="AI93" s="249">
        <f t="shared" si="53"/>
        <v>0</v>
      </c>
      <c r="AJ93" s="254">
        <f t="shared" si="54"/>
        <v>0</v>
      </c>
    </row>
    <row r="94" spans="1:36" s="238" customFormat="1" ht="20.100000000000001" customHeight="1" x14ac:dyDescent="0.3">
      <c r="B94" s="235" t="s">
        <v>856</v>
      </c>
      <c r="C94" s="236" t="s">
        <v>857</v>
      </c>
      <c r="D94" s="237">
        <f>SUM(D95,D100,D107,D112,D113)</f>
        <v>17663794.534661602</v>
      </c>
      <c r="E94" s="237">
        <f t="shared" ref="E94" si="63">SUM(E95,E100,E107,E112,E113)</f>
        <v>0</v>
      </c>
      <c r="F94" s="237">
        <f t="shared" ref="F94:AH94" si="64">SUM(F95,F100,F107,F112,F113)</f>
        <v>0</v>
      </c>
      <c r="G94" s="237">
        <f t="shared" si="64"/>
        <v>46800</v>
      </c>
      <c r="H94" s="237">
        <f t="shared" si="64"/>
        <v>46800</v>
      </c>
      <c r="I94" s="237">
        <f t="shared" si="64"/>
        <v>46800</v>
      </c>
      <c r="J94" s="237">
        <f t="shared" si="64"/>
        <v>46800</v>
      </c>
      <c r="K94" s="237">
        <f t="shared" si="64"/>
        <v>46800</v>
      </c>
      <c r="L94" s="237">
        <f t="shared" si="64"/>
        <v>0</v>
      </c>
      <c r="M94" s="237">
        <f t="shared" si="64"/>
        <v>0</v>
      </c>
      <c r="N94" s="237">
        <f t="shared" si="64"/>
        <v>409039.86000000004</v>
      </c>
      <c r="O94" s="237">
        <f t="shared" si="64"/>
        <v>375394.00423160003</v>
      </c>
      <c r="P94" s="237">
        <f t="shared" si="64"/>
        <v>46800</v>
      </c>
      <c r="Q94" s="237">
        <f t="shared" si="64"/>
        <v>797100</v>
      </c>
      <c r="R94" s="237">
        <f t="shared" si="64"/>
        <v>46800</v>
      </c>
      <c r="S94" s="237">
        <f t="shared" si="64"/>
        <v>0</v>
      </c>
      <c r="T94" s="237">
        <f t="shared" si="64"/>
        <v>0</v>
      </c>
      <c r="U94" s="237">
        <f t="shared" si="64"/>
        <v>46800</v>
      </c>
      <c r="V94" s="237">
        <f t="shared" si="64"/>
        <v>71000</v>
      </c>
      <c r="W94" s="237">
        <f t="shared" si="64"/>
        <v>71000</v>
      </c>
      <c r="X94" s="237">
        <f t="shared" si="64"/>
        <v>71000</v>
      </c>
      <c r="Y94" s="237">
        <f t="shared" si="64"/>
        <v>120200</v>
      </c>
      <c r="Z94" s="237">
        <f t="shared" si="64"/>
        <v>0</v>
      </c>
      <c r="AA94" s="237">
        <f t="shared" si="64"/>
        <v>0</v>
      </c>
      <c r="AB94" s="237">
        <f t="shared" si="64"/>
        <v>1666258.851915</v>
      </c>
      <c r="AC94" s="237">
        <f t="shared" si="64"/>
        <v>2233017.1209149999</v>
      </c>
      <c r="AD94" s="237">
        <f t="shared" si="64"/>
        <v>71000</v>
      </c>
      <c r="AE94" s="237">
        <f t="shared" si="64"/>
        <v>71000</v>
      </c>
      <c r="AF94" s="237">
        <f t="shared" si="64"/>
        <v>71000</v>
      </c>
      <c r="AG94" s="237">
        <f t="shared" si="64"/>
        <v>0</v>
      </c>
      <c r="AH94" s="237">
        <f t="shared" si="64"/>
        <v>0</v>
      </c>
      <c r="AI94" s="237">
        <f t="shared" si="53"/>
        <v>6401409.8370616008</v>
      </c>
      <c r="AJ94" s="237">
        <f t="shared" si="54"/>
        <v>11262384.697600001</v>
      </c>
    </row>
    <row r="95" spans="1:36" s="238" customFormat="1" ht="20.100000000000001" customHeight="1" x14ac:dyDescent="0.3">
      <c r="B95" s="245">
        <v>1</v>
      </c>
      <c r="C95" s="246" t="s">
        <v>858</v>
      </c>
      <c r="D95" s="242">
        <f t="shared" ref="D95:E95" si="65">SUM(D96:D99)</f>
        <v>16923760.67123</v>
      </c>
      <c r="E95" s="242">
        <f t="shared" si="65"/>
        <v>0</v>
      </c>
      <c r="F95" s="242">
        <f t="shared" ref="F95:AH95" si="66">SUM(F96:F99)</f>
        <v>0</v>
      </c>
      <c r="G95" s="241">
        <f t="shared" si="66"/>
        <v>46800</v>
      </c>
      <c r="H95" s="241">
        <f t="shared" si="66"/>
        <v>46800</v>
      </c>
      <c r="I95" s="241">
        <f t="shared" si="66"/>
        <v>46800</v>
      </c>
      <c r="J95" s="241">
        <f t="shared" si="66"/>
        <v>46800</v>
      </c>
      <c r="K95" s="241">
        <f t="shared" si="66"/>
        <v>46800</v>
      </c>
      <c r="L95" s="242">
        <f t="shared" si="66"/>
        <v>0</v>
      </c>
      <c r="M95" s="242">
        <f t="shared" si="66"/>
        <v>0</v>
      </c>
      <c r="N95" s="241">
        <f t="shared" si="66"/>
        <v>46800</v>
      </c>
      <c r="O95" s="241">
        <f t="shared" si="66"/>
        <v>46800</v>
      </c>
      <c r="P95" s="241">
        <f t="shared" si="66"/>
        <v>46800</v>
      </c>
      <c r="Q95" s="241">
        <f t="shared" si="66"/>
        <v>797100</v>
      </c>
      <c r="R95" s="241">
        <f t="shared" si="66"/>
        <v>46800</v>
      </c>
      <c r="S95" s="242">
        <f t="shared" si="66"/>
        <v>0</v>
      </c>
      <c r="T95" s="242">
        <f t="shared" si="66"/>
        <v>0</v>
      </c>
      <c r="U95" s="241">
        <f t="shared" si="66"/>
        <v>46800</v>
      </c>
      <c r="V95" s="241">
        <f t="shared" si="66"/>
        <v>71000</v>
      </c>
      <c r="W95" s="241">
        <f t="shared" si="66"/>
        <v>71000</v>
      </c>
      <c r="X95" s="241">
        <f t="shared" si="66"/>
        <v>71000</v>
      </c>
      <c r="Y95" s="241">
        <f t="shared" si="66"/>
        <v>71000</v>
      </c>
      <c r="Z95" s="242">
        <f t="shared" si="66"/>
        <v>0</v>
      </c>
      <c r="AA95" s="242">
        <f t="shared" si="66"/>
        <v>0</v>
      </c>
      <c r="AB95" s="241">
        <f t="shared" si="66"/>
        <v>1666258.851915</v>
      </c>
      <c r="AC95" s="241">
        <f t="shared" si="66"/>
        <v>2233017.1209149999</v>
      </c>
      <c r="AD95" s="241">
        <f t="shared" si="66"/>
        <v>71000</v>
      </c>
      <c r="AE95" s="241">
        <f t="shared" si="66"/>
        <v>71000</v>
      </c>
      <c r="AF95" s="241">
        <f t="shared" si="66"/>
        <v>71000</v>
      </c>
      <c r="AG95" s="242">
        <f t="shared" si="66"/>
        <v>0</v>
      </c>
      <c r="AH95" s="242">
        <f t="shared" si="66"/>
        <v>0</v>
      </c>
      <c r="AI95" s="249">
        <f t="shared" si="53"/>
        <v>5661375.9728299994</v>
      </c>
      <c r="AJ95" s="244">
        <f t="shared" si="54"/>
        <v>11262384.6984</v>
      </c>
    </row>
    <row r="96" spans="1:36" s="259" customFormat="1" ht="20.100000000000001" customHeight="1" outlineLevel="1" x14ac:dyDescent="0.3">
      <c r="A96" s="256"/>
      <c r="B96" s="257"/>
      <c r="C96" s="258" t="s">
        <v>859</v>
      </c>
      <c r="D96" s="253">
        <v>11262384.6984</v>
      </c>
      <c r="E96" s="248"/>
      <c r="F96" s="248"/>
      <c r="G96" s="247"/>
      <c r="H96" s="247"/>
      <c r="I96" s="247"/>
      <c r="J96" s="247"/>
      <c r="K96" s="247"/>
      <c r="L96" s="248"/>
      <c r="M96" s="248"/>
      <c r="N96" s="247"/>
      <c r="O96" s="247"/>
      <c r="P96" s="247"/>
      <c r="Q96" s="247"/>
      <c r="R96" s="247"/>
      <c r="S96" s="248"/>
      <c r="T96" s="248"/>
      <c r="U96" s="247"/>
      <c r="V96" s="247"/>
      <c r="W96" s="247"/>
      <c r="X96" s="247"/>
      <c r="Y96" s="247"/>
      <c r="Z96" s="248"/>
      <c r="AA96" s="248"/>
      <c r="AB96" s="247"/>
      <c r="AC96" s="247"/>
      <c r="AD96" s="247"/>
      <c r="AE96" s="247"/>
      <c r="AF96" s="247"/>
      <c r="AG96" s="248"/>
      <c r="AH96" s="248"/>
      <c r="AI96" s="249">
        <f t="shared" si="53"/>
        <v>0</v>
      </c>
      <c r="AJ96" s="254">
        <f t="shared" si="54"/>
        <v>11262384.6984</v>
      </c>
    </row>
    <row r="97" spans="1:36" s="251" customFormat="1" ht="20.100000000000001" customHeight="1" outlineLevel="1" x14ac:dyDescent="0.3">
      <c r="A97" s="260"/>
      <c r="B97" s="252"/>
      <c r="C97" s="246" t="s">
        <v>263</v>
      </c>
      <c r="D97" s="253">
        <v>4470251.1728300005</v>
      </c>
      <c r="E97" s="248"/>
      <c r="F97" s="248"/>
      <c r="G97" s="247"/>
      <c r="H97" s="247"/>
      <c r="I97" s="247"/>
      <c r="J97" s="247"/>
      <c r="K97" s="247"/>
      <c r="L97" s="248"/>
      <c r="M97" s="248"/>
      <c r="N97" s="247"/>
      <c r="O97" s="247"/>
      <c r="P97" s="247"/>
      <c r="Q97" s="247">
        <v>750300</v>
      </c>
      <c r="R97" s="247"/>
      <c r="S97" s="248"/>
      <c r="T97" s="248"/>
      <c r="U97" s="247"/>
      <c r="V97" s="247"/>
      <c r="W97" s="247"/>
      <c r="X97" s="247"/>
      <c r="Y97" s="247"/>
      <c r="Z97" s="248"/>
      <c r="AA97" s="248"/>
      <c r="AB97" s="247">
        <v>1595258.851915</v>
      </c>
      <c r="AC97" s="247">
        <v>2124692.320915</v>
      </c>
      <c r="AD97" s="247"/>
      <c r="AE97" s="247"/>
      <c r="AF97" s="247"/>
      <c r="AG97" s="248"/>
      <c r="AH97" s="248"/>
      <c r="AI97" s="249">
        <f t="shared" si="53"/>
        <v>4470251.1728300005</v>
      </c>
      <c r="AJ97" s="254">
        <f t="shared" si="54"/>
        <v>0</v>
      </c>
    </row>
    <row r="98" spans="1:36" s="251" customFormat="1" ht="20.100000000000001" customHeight="1" outlineLevel="1" x14ac:dyDescent="0.3">
      <c r="A98" s="260"/>
      <c r="B98" s="252"/>
      <c r="C98" s="246" t="s">
        <v>131</v>
      </c>
      <c r="D98" s="253">
        <v>1153800</v>
      </c>
      <c r="E98" s="248"/>
      <c r="F98" s="248"/>
      <c r="G98" s="247">
        <v>46800</v>
      </c>
      <c r="H98" s="247">
        <v>46800</v>
      </c>
      <c r="I98" s="247">
        <v>46800</v>
      </c>
      <c r="J98" s="247">
        <v>46800</v>
      </c>
      <c r="K98" s="247">
        <v>46800</v>
      </c>
      <c r="L98" s="248"/>
      <c r="M98" s="248"/>
      <c r="N98" s="247">
        <v>46800</v>
      </c>
      <c r="O98" s="247">
        <v>46800</v>
      </c>
      <c r="P98" s="247">
        <v>46800</v>
      </c>
      <c r="Q98" s="247">
        <v>46800</v>
      </c>
      <c r="R98" s="247">
        <v>46800</v>
      </c>
      <c r="S98" s="248"/>
      <c r="T98" s="248"/>
      <c r="U98" s="247">
        <v>46800</v>
      </c>
      <c r="V98" s="247">
        <v>71000</v>
      </c>
      <c r="W98" s="247">
        <v>71000</v>
      </c>
      <c r="X98" s="247">
        <v>71000</v>
      </c>
      <c r="Y98" s="247">
        <v>71000</v>
      </c>
      <c r="Z98" s="248"/>
      <c r="AA98" s="248"/>
      <c r="AB98" s="247">
        <v>71000</v>
      </c>
      <c r="AC98" s="247">
        <v>71000</v>
      </c>
      <c r="AD98" s="247">
        <v>71000</v>
      </c>
      <c r="AE98" s="247">
        <v>71000</v>
      </c>
      <c r="AF98" s="247">
        <v>71000</v>
      </c>
      <c r="AG98" s="248"/>
      <c r="AH98" s="248"/>
      <c r="AI98" s="249">
        <f t="shared" si="53"/>
        <v>1153800</v>
      </c>
      <c r="AJ98" s="254">
        <f t="shared" si="54"/>
        <v>0</v>
      </c>
    </row>
    <row r="99" spans="1:36" s="251" customFormat="1" ht="20.100000000000001" customHeight="1" outlineLevel="1" x14ac:dyDescent="0.3">
      <c r="A99" s="260"/>
      <c r="B99" s="252"/>
      <c r="C99" s="246" t="s">
        <v>328</v>
      </c>
      <c r="D99" s="253">
        <v>37324.800000000003</v>
      </c>
      <c r="E99" s="248"/>
      <c r="F99" s="248"/>
      <c r="G99" s="247"/>
      <c r="H99" s="247"/>
      <c r="I99" s="247"/>
      <c r="J99" s="247"/>
      <c r="K99" s="247"/>
      <c r="L99" s="248"/>
      <c r="M99" s="248"/>
      <c r="N99" s="247"/>
      <c r="O99" s="247"/>
      <c r="P99" s="247"/>
      <c r="Q99" s="247"/>
      <c r="R99" s="247"/>
      <c r="S99" s="248"/>
      <c r="T99" s="248"/>
      <c r="U99" s="247"/>
      <c r="V99" s="247"/>
      <c r="W99" s="247"/>
      <c r="X99" s="247"/>
      <c r="Y99" s="247"/>
      <c r="Z99" s="248"/>
      <c r="AA99" s="248"/>
      <c r="AB99" s="247"/>
      <c r="AC99" s="247">
        <v>37324.800000000003</v>
      </c>
      <c r="AD99" s="247"/>
      <c r="AE99" s="247"/>
      <c r="AF99" s="247"/>
      <c r="AG99" s="248"/>
      <c r="AH99" s="248"/>
      <c r="AI99" s="249">
        <f t="shared" si="53"/>
        <v>37324.800000000003</v>
      </c>
      <c r="AJ99" s="254">
        <f t="shared" si="54"/>
        <v>0</v>
      </c>
    </row>
    <row r="100" spans="1:36" s="238" customFormat="1" ht="20.100000000000001" customHeight="1" x14ac:dyDescent="0.3">
      <c r="A100" s="261"/>
      <c r="B100" s="245">
        <v>2</v>
      </c>
      <c r="C100" s="246" t="s">
        <v>860</v>
      </c>
      <c r="D100" s="247">
        <f t="shared" ref="D100" si="67">SUM(D101:D106)</f>
        <v>283592.18423160003</v>
      </c>
      <c r="E100" s="248">
        <f t="shared" ref="E100" si="68">SUM(E101:E106)</f>
        <v>0</v>
      </c>
      <c r="F100" s="248">
        <f t="shared" ref="F100:AH100" si="69">SUM(F101:F106)</f>
        <v>0</v>
      </c>
      <c r="G100" s="247">
        <f t="shared" si="69"/>
        <v>0</v>
      </c>
      <c r="H100" s="247">
        <f t="shared" si="69"/>
        <v>0</v>
      </c>
      <c r="I100" s="247">
        <f t="shared" si="69"/>
        <v>0</v>
      </c>
      <c r="J100" s="247">
        <f t="shared" si="69"/>
        <v>0</v>
      </c>
      <c r="K100" s="247">
        <f t="shared" si="69"/>
        <v>0</v>
      </c>
      <c r="L100" s="248">
        <f t="shared" si="69"/>
        <v>0</v>
      </c>
      <c r="M100" s="248">
        <f t="shared" si="69"/>
        <v>0</v>
      </c>
      <c r="N100" s="247">
        <f t="shared" si="69"/>
        <v>0</v>
      </c>
      <c r="O100" s="247">
        <f t="shared" si="69"/>
        <v>283592.18423160003</v>
      </c>
      <c r="P100" s="247">
        <f t="shared" si="69"/>
        <v>0</v>
      </c>
      <c r="Q100" s="247">
        <f t="shared" si="69"/>
        <v>0</v>
      </c>
      <c r="R100" s="247">
        <f t="shared" si="69"/>
        <v>0</v>
      </c>
      <c r="S100" s="248">
        <f t="shared" si="69"/>
        <v>0</v>
      </c>
      <c r="T100" s="248">
        <f t="shared" si="69"/>
        <v>0</v>
      </c>
      <c r="U100" s="247">
        <f t="shared" si="69"/>
        <v>0</v>
      </c>
      <c r="V100" s="247">
        <f t="shared" si="69"/>
        <v>0</v>
      </c>
      <c r="W100" s="247">
        <f t="shared" si="69"/>
        <v>0</v>
      </c>
      <c r="X100" s="247">
        <f t="shared" si="69"/>
        <v>0</v>
      </c>
      <c r="Y100" s="247">
        <f t="shared" si="69"/>
        <v>0</v>
      </c>
      <c r="Z100" s="248">
        <f t="shared" si="69"/>
        <v>0</v>
      </c>
      <c r="AA100" s="248">
        <f t="shared" si="69"/>
        <v>0</v>
      </c>
      <c r="AB100" s="247">
        <f t="shared" si="69"/>
        <v>0</v>
      </c>
      <c r="AC100" s="247">
        <f t="shared" si="69"/>
        <v>0</v>
      </c>
      <c r="AD100" s="247">
        <f t="shared" si="69"/>
        <v>0</v>
      </c>
      <c r="AE100" s="247">
        <f t="shared" si="69"/>
        <v>0</v>
      </c>
      <c r="AF100" s="247">
        <f t="shared" si="69"/>
        <v>0</v>
      </c>
      <c r="AG100" s="248">
        <f t="shared" si="69"/>
        <v>0</v>
      </c>
      <c r="AH100" s="248">
        <f t="shared" si="69"/>
        <v>0</v>
      </c>
      <c r="AI100" s="249">
        <f t="shared" si="53"/>
        <v>283592.18423160003</v>
      </c>
      <c r="AJ100" s="250">
        <f t="shared" si="54"/>
        <v>0</v>
      </c>
    </row>
    <row r="101" spans="1:36" s="251" customFormat="1" ht="20.100000000000001" customHeight="1" outlineLevel="1" x14ac:dyDescent="0.3">
      <c r="A101" s="260"/>
      <c r="B101" s="252"/>
      <c r="C101" s="246" t="s">
        <v>458</v>
      </c>
      <c r="D101" s="253">
        <v>210185.43166800003</v>
      </c>
      <c r="E101" s="248"/>
      <c r="F101" s="248"/>
      <c r="G101" s="247"/>
      <c r="H101" s="247"/>
      <c r="I101" s="247"/>
      <c r="J101" s="247"/>
      <c r="K101" s="247"/>
      <c r="L101" s="248"/>
      <c r="M101" s="248"/>
      <c r="N101" s="247"/>
      <c r="O101" s="247">
        <v>210185.43166800003</v>
      </c>
      <c r="P101" s="247"/>
      <c r="Q101" s="247"/>
      <c r="R101" s="247"/>
      <c r="S101" s="248"/>
      <c r="T101" s="248"/>
      <c r="U101" s="247"/>
      <c r="V101" s="247"/>
      <c r="W101" s="247"/>
      <c r="X101" s="247"/>
      <c r="Y101" s="247"/>
      <c r="Z101" s="248"/>
      <c r="AA101" s="248"/>
      <c r="AB101" s="247"/>
      <c r="AC101" s="247"/>
      <c r="AD101" s="247"/>
      <c r="AE101" s="247"/>
      <c r="AF101" s="247"/>
      <c r="AG101" s="248"/>
      <c r="AH101" s="248"/>
      <c r="AI101" s="249">
        <f t="shared" si="53"/>
        <v>210185.43166800003</v>
      </c>
      <c r="AJ101" s="254">
        <f t="shared" si="54"/>
        <v>0</v>
      </c>
    </row>
    <row r="102" spans="1:36" s="251" customFormat="1" ht="20.100000000000001" customHeight="1" outlineLevel="1" x14ac:dyDescent="0.3">
      <c r="A102" s="260"/>
      <c r="B102" s="252"/>
      <c r="C102" s="246" t="s">
        <v>459</v>
      </c>
      <c r="D102" s="253"/>
      <c r="E102" s="248"/>
      <c r="F102" s="248"/>
      <c r="G102" s="247"/>
      <c r="H102" s="247"/>
      <c r="I102" s="247"/>
      <c r="J102" s="247"/>
      <c r="K102" s="247"/>
      <c r="L102" s="248"/>
      <c r="M102" s="248"/>
      <c r="N102" s="247"/>
      <c r="O102" s="247"/>
      <c r="P102" s="247"/>
      <c r="Q102" s="247"/>
      <c r="R102" s="247"/>
      <c r="S102" s="248"/>
      <c r="T102" s="248"/>
      <c r="U102" s="247"/>
      <c r="V102" s="247"/>
      <c r="W102" s="247"/>
      <c r="X102" s="247"/>
      <c r="Y102" s="247"/>
      <c r="Z102" s="248"/>
      <c r="AA102" s="248"/>
      <c r="AB102" s="247"/>
      <c r="AC102" s="247"/>
      <c r="AD102" s="247"/>
      <c r="AE102" s="247"/>
      <c r="AF102" s="247"/>
      <c r="AG102" s="248"/>
      <c r="AH102" s="248"/>
      <c r="AI102" s="249">
        <f t="shared" si="53"/>
        <v>0</v>
      </c>
      <c r="AJ102" s="254">
        <f t="shared" si="54"/>
        <v>0</v>
      </c>
    </row>
    <row r="103" spans="1:36" s="251" customFormat="1" ht="20.100000000000001" customHeight="1" outlineLevel="1" x14ac:dyDescent="0.3">
      <c r="A103" s="260"/>
      <c r="B103" s="252"/>
      <c r="C103" s="246" t="s">
        <v>460</v>
      </c>
      <c r="D103" s="253">
        <v>14592.724563600003</v>
      </c>
      <c r="E103" s="248"/>
      <c r="F103" s="248"/>
      <c r="G103" s="247"/>
      <c r="H103" s="247"/>
      <c r="I103" s="247"/>
      <c r="J103" s="247"/>
      <c r="K103" s="247"/>
      <c r="L103" s="248"/>
      <c r="M103" s="248"/>
      <c r="N103" s="247"/>
      <c r="O103" s="247">
        <v>14592.724563600003</v>
      </c>
      <c r="P103" s="247"/>
      <c r="Q103" s="247"/>
      <c r="R103" s="247"/>
      <c r="S103" s="248"/>
      <c r="T103" s="248"/>
      <c r="U103" s="247"/>
      <c r="V103" s="247"/>
      <c r="W103" s="247"/>
      <c r="X103" s="247"/>
      <c r="Y103" s="247"/>
      <c r="Z103" s="248"/>
      <c r="AA103" s="248"/>
      <c r="AB103" s="247"/>
      <c r="AC103" s="247"/>
      <c r="AD103" s="247"/>
      <c r="AE103" s="247"/>
      <c r="AF103" s="247"/>
      <c r="AG103" s="248"/>
      <c r="AH103" s="248"/>
      <c r="AI103" s="249">
        <f t="shared" si="53"/>
        <v>14592.724563600003</v>
      </c>
      <c r="AJ103" s="254">
        <f t="shared" si="54"/>
        <v>0</v>
      </c>
    </row>
    <row r="104" spans="1:36" s="251" customFormat="1" ht="20.100000000000001" customHeight="1" outlineLevel="1" x14ac:dyDescent="0.3">
      <c r="A104" s="260"/>
      <c r="B104" s="252"/>
      <c r="C104" s="246" t="s">
        <v>121</v>
      </c>
      <c r="D104" s="253">
        <v>58814.027999999991</v>
      </c>
      <c r="E104" s="248"/>
      <c r="F104" s="248"/>
      <c r="G104" s="247"/>
      <c r="H104" s="247"/>
      <c r="I104" s="247"/>
      <c r="J104" s="247"/>
      <c r="K104" s="247"/>
      <c r="L104" s="248"/>
      <c r="M104" s="248"/>
      <c r="N104" s="247"/>
      <c r="O104" s="247">
        <v>58814.027999999991</v>
      </c>
      <c r="P104" s="247"/>
      <c r="Q104" s="247"/>
      <c r="R104" s="247"/>
      <c r="S104" s="248"/>
      <c r="T104" s="248"/>
      <c r="U104" s="247"/>
      <c r="V104" s="247"/>
      <c r="W104" s="247"/>
      <c r="X104" s="247"/>
      <c r="Y104" s="247"/>
      <c r="Z104" s="248"/>
      <c r="AA104" s="248"/>
      <c r="AB104" s="247"/>
      <c r="AC104" s="247"/>
      <c r="AD104" s="247"/>
      <c r="AE104" s="247"/>
      <c r="AF104" s="247"/>
      <c r="AG104" s="248"/>
      <c r="AH104" s="248"/>
      <c r="AI104" s="249">
        <f t="shared" si="53"/>
        <v>58814.027999999991</v>
      </c>
      <c r="AJ104" s="254">
        <f t="shared" si="54"/>
        <v>0</v>
      </c>
    </row>
    <row r="105" spans="1:36" s="251" customFormat="1" ht="20.100000000000001" customHeight="1" outlineLevel="1" x14ac:dyDescent="0.3">
      <c r="A105" s="260"/>
      <c r="B105" s="252"/>
      <c r="C105" s="246" t="s">
        <v>461</v>
      </c>
      <c r="D105" s="253"/>
      <c r="E105" s="248"/>
      <c r="F105" s="248"/>
      <c r="G105" s="247"/>
      <c r="H105" s="247"/>
      <c r="I105" s="247"/>
      <c r="J105" s="247"/>
      <c r="K105" s="247"/>
      <c r="L105" s="248"/>
      <c r="M105" s="248"/>
      <c r="N105" s="247"/>
      <c r="O105" s="247"/>
      <c r="P105" s="247"/>
      <c r="Q105" s="247"/>
      <c r="R105" s="247"/>
      <c r="S105" s="248"/>
      <c r="T105" s="248"/>
      <c r="U105" s="247"/>
      <c r="V105" s="247"/>
      <c r="W105" s="247"/>
      <c r="X105" s="247"/>
      <c r="Y105" s="247"/>
      <c r="Z105" s="248"/>
      <c r="AA105" s="248"/>
      <c r="AB105" s="247"/>
      <c r="AC105" s="247"/>
      <c r="AD105" s="247"/>
      <c r="AE105" s="247"/>
      <c r="AF105" s="247"/>
      <c r="AG105" s="248"/>
      <c r="AH105" s="248"/>
      <c r="AI105" s="249">
        <f t="shared" si="53"/>
        <v>0</v>
      </c>
      <c r="AJ105" s="254">
        <f t="shared" si="54"/>
        <v>0</v>
      </c>
    </row>
    <row r="106" spans="1:36" s="251" customFormat="1" ht="20.100000000000001" customHeight="1" outlineLevel="1" x14ac:dyDescent="0.3">
      <c r="A106" s="260"/>
      <c r="B106" s="252"/>
      <c r="C106" s="246" t="s">
        <v>466</v>
      </c>
      <c r="D106" s="253"/>
      <c r="E106" s="248"/>
      <c r="F106" s="248"/>
      <c r="G106" s="247"/>
      <c r="H106" s="247"/>
      <c r="I106" s="247"/>
      <c r="J106" s="247"/>
      <c r="K106" s="247"/>
      <c r="L106" s="248"/>
      <c r="M106" s="248"/>
      <c r="N106" s="247"/>
      <c r="O106" s="247"/>
      <c r="P106" s="247"/>
      <c r="Q106" s="247"/>
      <c r="R106" s="247"/>
      <c r="S106" s="248"/>
      <c r="T106" s="248"/>
      <c r="U106" s="247"/>
      <c r="V106" s="247"/>
      <c r="W106" s="247"/>
      <c r="X106" s="247"/>
      <c r="Y106" s="247"/>
      <c r="Z106" s="248"/>
      <c r="AA106" s="248"/>
      <c r="AB106" s="247"/>
      <c r="AC106" s="247"/>
      <c r="AD106" s="247"/>
      <c r="AE106" s="247"/>
      <c r="AF106" s="247"/>
      <c r="AG106" s="248"/>
      <c r="AH106" s="248"/>
      <c r="AI106" s="249">
        <f t="shared" ref="AI106:AI137" si="70">SUM(E106:AH106)</f>
        <v>0</v>
      </c>
      <c r="AJ106" s="254">
        <f t="shared" si="54"/>
        <v>0</v>
      </c>
    </row>
    <row r="107" spans="1:36" s="238" customFormat="1" ht="20.100000000000001" customHeight="1" x14ac:dyDescent="0.3">
      <c r="A107" s="261"/>
      <c r="B107" s="245">
        <v>3</v>
      </c>
      <c r="C107" s="262" t="s">
        <v>861</v>
      </c>
      <c r="D107" s="248">
        <f t="shared" ref="D107:E107" si="71">SUM(D108:D111)</f>
        <v>45001.824000000008</v>
      </c>
      <c r="E107" s="248">
        <f t="shared" si="71"/>
        <v>0</v>
      </c>
      <c r="F107" s="248">
        <f t="shared" ref="F107:AH107" si="72">SUM(F108:F111)</f>
        <v>0</v>
      </c>
      <c r="G107" s="247">
        <f t="shared" si="72"/>
        <v>0</v>
      </c>
      <c r="H107" s="247">
        <f t="shared" si="72"/>
        <v>0</v>
      </c>
      <c r="I107" s="247">
        <f t="shared" si="72"/>
        <v>0</v>
      </c>
      <c r="J107" s="247">
        <f t="shared" si="72"/>
        <v>0</v>
      </c>
      <c r="K107" s="247">
        <f t="shared" si="72"/>
        <v>0</v>
      </c>
      <c r="L107" s="248">
        <f t="shared" si="72"/>
        <v>0</v>
      </c>
      <c r="M107" s="248">
        <f t="shared" si="72"/>
        <v>0</v>
      </c>
      <c r="N107" s="247">
        <f t="shared" si="72"/>
        <v>0</v>
      </c>
      <c r="O107" s="247">
        <f t="shared" si="72"/>
        <v>45001.82</v>
      </c>
      <c r="P107" s="247">
        <f t="shared" si="72"/>
        <v>0</v>
      </c>
      <c r="Q107" s="247">
        <f t="shared" si="72"/>
        <v>0</v>
      </c>
      <c r="R107" s="247">
        <f t="shared" si="72"/>
        <v>0</v>
      </c>
      <c r="S107" s="248">
        <f t="shared" si="72"/>
        <v>0</v>
      </c>
      <c r="T107" s="248">
        <f t="shared" si="72"/>
        <v>0</v>
      </c>
      <c r="U107" s="247">
        <f t="shared" si="72"/>
        <v>0</v>
      </c>
      <c r="V107" s="247">
        <f t="shared" si="72"/>
        <v>0</v>
      </c>
      <c r="W107" s="247">
        <f t="shared" si="72"/>
        <v>0</v>
      </c>
      <c r="X107" s="247">
        <f t="shared" si="72"/>
        <v>0</v>
      </c>
      <c r="Y107" s="247">
        <f t="shared" si="72"/>
        <v>0</v>
      </c>
      <c r="Z107" s="248">
        <f t="shared" si="72"/>
        <v>0</v>
      </c>
      <c r="AA107" s="248">
        <f t="shared" si="72"/>
        <v>0</v>
      </c>
      <c r="AB107" s="247">
        <f t="shared" si="72"/>
        <v>0</v>
      </c>
      <c r="AC107" s="247">
        <f t="shared" si="72"/>
        <v>0</v>
      </c>
      <c r="AD107" s="247">
        <f t="shared" si="72"/>
        <v>0</v>
      </c>
      <c r="AE107" s="247">
        <f t="shared" si="72"/>
        <v>0</v>
      </c>
      <c r="AF107" s="247">
        <f t="shared" si="72"/>
        <v>0</v>
      </c>
      <c r="AG107" s="248">
        <f t="shared" si="72"/>
        <v>0</v>
      </c>
      <c r="AH107" s="248">
        <f t="shared" si="72"/>
        <v>0</v>
      </c>
      <c r="AI107" s="249">
        <f t="shared" si="70"/>
        <v>45001.82</v>
      </c>
      <c r="AJ107" s="250">
        <f t="shared" si="54"/>
        <v>4.0000000080908649E-3</v>
      </c>
    </row>
    <row r="108" spans="1:36" s="251" customFormat="1" ht="20.100000000000001" customHeight="1" outlineLevel="1" x14ac:dyDescent="0.3">
      <c r="A108" s="260"/>
      <c r="B108" s="252"/>
      <c r="C108" s="246" t="s">
        <v>462</v>
      </c>
      <c r="D108" s="253">
        <v>45001.824000000008</v>
      </c>
      <c r="E108" s="248"/>
      <c r="F108" s="248"/>
      <c r="G108" s="247"/>
      <c r="H108" s="247"/>
      <c r="I108" s="247"/>
      <c r="J108" s="247"/>
      <c r="K108" s="247"/>
      <c r="L108" s="248"/>
      <c r="M108" s="248"/>
      <c r="N108" s="247"/>
      <c r="O108" s="247">
        <v>45001.82</v>
      </c>
      <c r="P108" s="247"/>
      <c r="Q108" s="247"/>
      <c r="R108" s="247"/>
      <c r="S108" s="248"/>
      <c r="T108" s="248"/>
      <c r="U108" s="247"/>
      <c r="V108" s="247"/>
      <c r="W108" s="247"/>
      <c r="X108" s="247"/>
      <c r="Y108" s="247"/>
      <c r="Z108" s="248"/>
      <c r="AA108" s="248"/>
      <c r="AB108" s="247"/>
      <c r="AC108" s="247"/>
      <c r="AD108" s="247"/>
      <c r="AE108" s="247"/>
      <c r="AF108" s="247"/>
      <c r="AG108" s="248"/>
      <c r="AH108" s="248"/>
      <c r="AI108" s="249">
        <f t="shared" si="70"/>
        <v>45001.82</v>
      </c>
      <c r="AJ108" s="254">
        <f t="shared" si="54"/>
        <v>4.0000000080908649E-3</v>
      </c>
    </row>
    <row r="109" spans="1:36" s="251" customFormat="1" ht="20.100000000000001" customHeight="1" outlineLevel="1" x14ac:dyDescent="0.3">
      <c r="A109" s="260"/>
      <c r="B109" s="252"/>
      <c r="C109" s="246" t="s">
        <v>463</v>
      </c>
      <c r="D109" s="253"/>
      <c r="E109" s="248"/>
      <c r="F109" s="248"/>
      <c r="G109" s="247"/>
      <c r="H109" s="247"/>
      <c r="I109" s="247"/>
      <c r="J109" s="247"/>
      <c r="K109" s="247"/>
      <c r="L109" s="248"/>
      <c r="M109" s="248"/>
      <c r="N109" s="247"/>
      <c r="O109" s="247"/>
      <c r="P109" s="247"/>
      <c r="Q109" s="247"/>
      <c r="R109" s="247"/>
      <c r="S109" s="248"/>
      <c r="T109" s="248"/>
      <c r="U109" s="247"/>
      <c r="V109" s="247"/>
      <c r="W109" s="247"/>
      <c r="X109" s="247"/>
      <c r="Y109" s="247"/>
      <c r="Z109" s="248"/>
      <c r="AA109" s="248"/>
      <c r="AB109" s="247"/>
      <c r="AC109" s="247"/>
      <c r="AD109" s="247"/>
      <c r="AE109" s="247"/>
      <c r="AF109" s="247"/>
      <c r="AG109" s="248"/>
      <c r="AH109" s="248"/>
      <c r="AI109" s="249">
        <f t="shared" si="70"/>
        <v>0</v>
      </c>
      <c r="AJ109" s="254">
        <f t="shared" si="54"/>
        <v>0</v>
      </c>
    </row>
    <row r="110" spans="1:36" s="251" customFormat="1" ht="20.100000000000001" customHeight="1" outlineLevel="1" x14ac:dyDescent="0.3">
      <c r="A110" s="260"/>
      <c r="B110" s="252"/>
      <c r="C110" s="246" t="s">
        <v>464</v>
      </c>
      <c r="D110" s="253"/>
      <c r="E110" s="248"/>
      <c r="F110" s="248"/>
      <c r="G110" s="247"/>
      <c r="H110" s="247"/>
      <c r="I110" s="247"/>
      <c r="J110" s="247"/>
      <c r="K110" s="247"/>
      <c r="L110" s="248"/>
      <c r="M110" s="248"/>
      <c r="N110" s="247"/>
      <c r="O110" s="247"/>
      <c r="P110" s="247"/>
      <c r="Q110" s="247"/>
      <c r="R110" s="247"/>
      <c r="S110" s="248"/>
      <c r="T110" s="248"/>
      <c r="U110" s="247"/>
      <c r="V110" s="247"/>
      <c r="W110" s="247"/>
      <c r="X110" s="247"/>
      <c r="Y110" s="247"/>
      <c r="Z110" s="248"/>
      <c r="AA110" s="248"/>
      <c r="AB110" s="247"/>
      <c r="AC110" s="247"/>
      <c r="AD110" s="247"/>
      <c r="AE110" s="247"/>
      <c r="AF110" s="247"/>
      <c r="AG110" s="248"/>
      <c r="AH110" s="248"/>
      <c r="AI110" s="249">
        <f t="shared" si="70"/>
        <v>0</v>
      </c>
      <c r="AJ110" s="254">
        <f t="shared" si="54"/>
        <v>0</v>
      </c>
    </row>
    <row r="111" spans="1:36" s="251" customFormat="1" ht="20.100000000000001" customHeight="1" outlineLevel="1" x14ac:dyDescent="0.3">
      <c r="A111" s="260"/>
      <c r="B111" s="252"/>
      <c r="C111" s="246" t="s">
        <v>465</v>
      </c>
      <c r="D111" s="253"/>
      <c r="E111" s="248"/>
      <c r="F111" s="248"/>
      <c r="G111" s="247"/>
      <c r="H111" s="247"/>
      <c r="I111" s="247"/>
      <c r="J111" s="247"/>
      <c r="K111" s="247"/>
      <c r="L111" s="248"/>
      <c r="M111" s="248"/>
      <c r="N111" s="247"/>
      <c r="O111" s="247"/>
      <c r="P111" s="247"/>
      <c r="Q111" s="247"/>
      <c r="R111" s="247"/>
      <c r="S111" s="248"/>
      <c r="T111" s="248"/>
      <c r="U111" s="247"/>
      <c r="V111" s="247"/>
      <c r="W111" s="247"/>
      <c r="X111" s="247"/>
      <c r="Y111" s="247"/>
      <c r="Z111" s="248"/>
      <c r="AA111" s="248"/>
      <c r="AB111" s="247"/>
      <c r="AC111" s="247"/>
      <c r="AD111" s="247"/>
      <c r="AE111" s="247"/>
      <c r="AF111" s="247"/>
      <c r="AG111" s="248"/>
      <c r="AH111" s="248"/>
      <c r="AI111" s="249">
        <f t="shared" si="70"/>
        <v>0</v>
      </c>
      <c r="AJ111" s="254">
        <f t="shared" si="54"/>
        <v>0</v>
      </c>
    </row>
    <row r="112" spans="1:36" s="238" customFormat="1" ht="20.100000000000001" customHeight="1" x14ac:dyDescent="0.3">
      <c r="A112" s="261"/>
      <c r="B112" s="245">
        <v>4</v>
      </c>
      <c r="C112" s="246" t="s">
        <v>54</v>
      </c>
      <c r="D112" s="253">
        <v>345338.51520000002</v>
      </c>
      <c r="E112" s="248"/>
      <c r="F112" s="248"/>
      <c r="G112" s="247"/>
      <c r="H112" s="247"/>
      <c r="I112" s="247"/>
      <c r="J112" s="247"/>
      <c r="K112" s="247"/>
      <c r="L112" s="248"/>
      <c r="M112" s="248"/>
      <c r="N112" s="247">
        <v>345338.52</v>
      </c>
      <c r="O112" s="247"/>
      <c r="P112" s="247"/>
      <c r="Q112" s="247"/>
      <c r="R112" s="247"/>
      <c r="S112" s="248"/>
      <c r="T112" s="248"/>
      <c r="U112" s="247"/>
      <c r="V112" s="247"/>
      <c r="W112" s="247"/>
      <c r="X112" s="247"/>
      <c r="Y112" s="247"/>
      <c r="Z112" s="248"/>
      <c r="AA112" s="248"/>
      <c r="AB112" s="247"/>
      <c r="AC112" s="247"/>
      <c r="AD112" s="247"/>
      <c r="AE112" s="247"/>
      <c r="AF112" s="247"/>
      <c r="AG112" s="248"/>
      <c r="AH112" s="248"/>
      <c r="AI112" s="249">
        <f t="shared" si="70"/>
        <v>345338.52</v>
      </c>
      <c r="AJ112" s="254">
        <f t="shared" si="54"/>
        <v>-4.7999999951571226E-3</v>
      </c>
    </row>
    <row r="113" spans="1:36" s="238" customFormat="1" ht="20.100000000000001" customHeight="1" x14ac:dyDescent="0.3">
      <c r="A113" s="261"/>
      <c r="B113" s="245">
        <v>5</v>
      </c>
      <c r="C113" s="246" t="s">
        <v>862</v>
      </c>
      <c r="D113" s="247">
        <f t="shared" ref="D113:E113" si="73">+D114+D119+D124+D127+D133</f>
        <v>66101.34</v>
      </c>
      <c r="E113" s="248">
        <f t="shared" si="73"/>
        <v>0</v>
      </c>
      <c r="F113" s="248">
        <f t="shared" ref="F113:AH113" si="74">+F114+F119+F124+F127+F133</f>
        <v>0</v>
      </c>
      <c r="G113" s="247">
        <f t="shared" si="74"/>
        <v>0</v>
      </c>
      <c r="H113" s="247">
        <f t="shared" si="74"/>
        <v>0</v>
      </c>
      <c r="I113" s="247">
        <f t="shared" si="74"/>
        <v>0</v>
      </c>
      <c r="J113" s="247">
        <f t="shared" si="74"/>
        <v>0</v>
      </c>
      <c r="K113" s="247">
        <f t="shared" si="74"/>
        <v>0</v>
      </c>
      <c r="L113" s="248">
        <f t="shared" si="74"/>
        <v>0</v>
      </c>
      <c r="M113" s="248">
        <f t="shared" si="74"/>
        <v>0</v>
      </c>
      <c r="N113" s="247">
        <f t="shared" si="74"/>
        <v>16901.34</v>
      </c>
      <c r="O113" s="247">
        <f t="shared" si="74"/>
        <v>0</v>
      </c>
      <c r="P113" s="247">
        <f t="shared" si="74"/>
        <v>0</v>
      </c>
      <c r="Q113" s="247">
        <f t="shared" si="74"/>
        <v>0</v>
      </c>
      <c r="R113" s="247">
        <f t="shared" si="74"/>
        <v>0</v>
      </c>
      <c r="S113" s="248">
        <f t="shared" si="74"/>
        <v>0</v>
      </c>
      <c r="T113" s="248">
        <f t="shared" si="74"/>
        <v>0</v>
      </c>
      <c r="U113" s="247">
        <f t="shared" si="74"/>
        <v>0</v>
      </c>
      <c r="V113" s="247">
        <f t="shared" si="74"/>
        <v>0</v>
      </c>
      <c r="W113" s="247">
        <f t="shared" si="74"/>
        <v>0</v>
      </c>
      <c r="X113" s="247">
        <f t="shared" si="74"/>
        <v>0</v>
      </c>
      <c r="Y113" s="247">
        <f t="shared" si="74"/>
        <v>49200</v>
      </c>
      <c r="Z113" s="248">
        <f t="shared" si="74"/>
        <v>0</v>
      </c>
      <c r="AA113" s="248">
        <f t="shared" si="74"/>
        <v>0</v>
      </c>
      <c r="AB113" s="247">
        <f t="shared" si="74"/>
        <v>0</v>
      </c>
      <c r="AC113" s="247">
        <f t="shared" si="74"/>
        <v>0</v>
      </c>
      <c r="AD113" s="247">
        <f t="shared" si="74"/>
        <v>0</v>
      </c>
      <c r="AE113" s="247">
        <f t="shared" si="74"/>
        <v>0</v>
      </c>
      <c r="AF113" s="247">
        <f t="shared" si="74"/>
        <v>0</v>
      </c>
      <c r="AG113" s="248">
        <f t="shared" si="74"/>
        <v>0</v>
      </c>
      <c r="AH113" s="248">
        <f t="shared" si="74"/>
        <v>0</v>
      </c>
      <c r="AI113" s="249">
        <f t="shared" si="70"/>
        <v>66101.34</v>
      </c>
      <c r="AJ113" s="250">
        <f t="shared" si="54"/>
        <v>0</v>
      </c>
    </row>
    <row r="114" spans="1:36" s="251" customFormat="1" ht="20.100000000000001" customHeight="1" outlineLevel="1" x14ac:dyDescent="0.3">
      <c r="A114" s="260"/>
      <c r="B114" s="252"/>
      <c r="C114" s="246" t="s">
        <v>863</v>
      </c>
      <c r="D114" s="247">
        <f t="shared" ref="D114:E114" si="75">SUM(D115:D118)</f>
        <v>16901.34</v>
      </c>
      <c r="E114" s="248">
        <f t="shared" si="75"/>
        <v>0</v>
      </c>
      <c r="F114" s="248">
        <f t="shared" ref="F114:AH114" si="76">SUM(F115:F118)</f>
        <v>0</v>
      </c>
      <c r="G114" s="247">
        <f t="shared" si="76"/>
        <v>0</v>
      </c>
      <c r="H114" s="247">
        <f t="shared" si="76"/>
        <v>0</v>
      </c>
      <c r="I114" s="247">
        <f t="shared" si="76"/>
        <v>0</v>
      </c>
      <c r="J114" s="247">
        <f t="shared" si="76"/>
        <v>0</v>
      </c>
      <c r="K114" s="247">
        <f t="shared" si="76"/>
        <v>0</v>
      </c>
      <c r="L114" s="248">
        <f t="shared" si="76"/>
        <v>0</v>
      </c>
      <c r="M114" s="248">
        <f t="shared" si="76"/>
        <v>0</v>
      </c>
      <c r="N114" s="247">
        <f t="shared" si="76"/>
        <v>16901.34</v>
      </c>
      <c r="O114" s="247">
        <f t="shared" si="76"/>
        <v>0</v>
      </c>
      <c r="P114" s="247">
        <f t="shared" si="76"/>
        <v>0</v>
      </c>
      <c r="Q114" s="247">
        <f t="shared" si="76"/>
        <v>0</v>
      </c>
      <c r="R114" s="247">
        <f t="shared" si="76"/>
        <v>0</v>
      </c>
      <c r="S114" s="248">
        <f t="shared" si="76"/>
        <v>0</v>
      </c>
      <c r="T114" s="248">
        <f t="shared" si="76"/>
        <v>0</v>
      </c>
      <c r="U114" s="247">
        <f t="shared" si="76"/>
        <v>0</v>
      </c>
      <c r="V114" s="247">
        <f t="shared" si="76"/>
        <v>0</v>
      </c>
      <c r="W114" s="247">
        <f t="shared" si="76"/>
        <v>0</v>
      </c>
      <c r="X114" s="247">
        <f t="shared" si="76"/>
        <v>0</v>
      </c>
      <c r="Y114" s="247">
        <f t="shared" si="76"/>
        <v>0</v>
      </c>
      <c r="Z114" s="248">
        <f t="shared" si="76"/>
        <v>0</v>
      </c>
      <c r="AA114" s="248">
        <f t="shared" si="76"/>
        <v>0</v>
      </c>
      <c r="AB114" s="247">
        <f t="shared" si="76"/>
        <v>0</v>
      </c>
      <c r="AC114" s="247">
        <f t="shared" si="76"/>
        <v>0</v>
      </c>
      <c r="AD114" s="247">
        <f t="shared" si="76"/>
        <v>0</v>
      </c>
      <c r="AE114" s="247">
        <f t="shared" si="76"/>
        <v>0</v>
      </c>
      <c r="AF114" s="247">
        <f t="shared" si="76"/>
        <v>0</v>
      </c>
      <c r="AG114" s="248">
        <f t="shared" si="76"/>
        <v>0</v>
      </c>
      <c r="AH114" s="248">
        <f t="shared" si="76"/>
        <v>0</v>
      </c>
      <c r="AI114" s="249">
        <f t="shared" si="70"/>
        <v>16901.34</v>
      </c>
      <c r="AJ114" s="254">
        <f t="shared" si="54"/>
        <v>0</v>
      </c>
    </row>
    <row r="115" spans="1:36" s="251" customFormat="1" ht="20.100000000000001" customHeight="1" outlineLevel="2" x14ac:dyDescent="0.3">
      <c r="A115" s="260"/>
      <c r="B115" s="252"/>
      <c r="C115" s="263" t="s">
        <v>422</v>
      </c>
      <c r="D115" s="253">
        <v>16901.34</v>
      </c>
      <c r="E115" s="248"/>
      <c r="F115" s="248"/>
      <c r="G115" s="247"/>
      <c r="H115" s="247"/>
      <c r="I115" s="247"/>
      <c r="J115" s="247"/>
      <c r="K115" s="247"/>
      <c r="L115" s="248"/>
      <c r="M115" s="248"/>
      <c r="N115" s="247">
        <v>16901.34</v>
      </c>
      <c r="O115" s="247"/>
      <c r="P115" s="247"/>
      <c r="Q115" s="247"/>
      <c r="R115" s="247"/>
      <c r="S115" s="248"/>
      <c r="T115" s="248"/>
      <c r="U115" s="247"/>
      <c r="V115" s="247"/>
      <c r="W115" s="247"/>
      <c r="X115" s="247"/>
      <c r="Y115" s="247"/>
      <c r="Z115" s="248"/>
      <c r="AA115" s="248"/>
      <c r="AB115" s="247"/>
      <c r="AC115" s="247"/>
      <c r="AD115" s="247"/>
      <c r="AE115" s="247"/>
      <c r="AF115" s="247"/>
      <c r="AG115" s="248"/>
      <c r="AH115" s="248"/>
      <c r="AI115" s="249">
        <f t="shared" si="70"/>
        <v>16901.34</v>
      </c>
      <c r="AJ115" s="254">
        <f t="shared" si="54"/>
        <v>0</v>
      </c>
    </row>
    <row r="116" spans="1:36" s="251" customFormat="1" ht="20.100000000000001" customHeight="1" outlineLevel="2" x14ac:dyDescent="0.3">
      <c r="A116" s="260"/>
      <c r="B116" s="252"/>
      <c r="C116" s="263" t="s">
        <v>622</v>
      </c>
      <c r="D116" s="253"/>
      <c r="E116" s="248"/>
      <c r="F116" s="248"/>
      <c r="G116" s="247"/>
      <c r="H116" s="247"/>
      <c r="I116" s="247"/>
      <c r="J116" s="247"/>
      <c r="K116" s="247"/>
      <c r="L116" s="248"/>
      <c r="M116" s="248"/>
      <c r="N116" s="247"/>
      <c r="O116" s="247"/>
      <c r="P116" s="247"/>
      <c r="Q116" s="247"/>
      <c r="R116" s="247"/>
      <c r="S116" s="248"/>
      <c r="T116" s="248"/>
      <c r="U116" s="247"/>
      <c r="V116" s="247"/>
      <c r="W116" s="247"/>
      <c r="X116" s="247"/>
      <c r="Y116" s="247"/>
      <c r="Z116" s="248"/>
      <c r="AA116" s="248"/>
      <c r="AB116" s="247"/>
      <c r="AC116" s="247"/>
      <c r="AD116" s="247"/>
      <c r="AE116" s="247"/>
      <c r="AF116" s="247"/>
      <c r="AG116" s="248"/>
      <c r="AH116" s="248"/>
      <c r="AI116" s="249">
        <f t="shared" si="70"/>
        <v>0</v>
      </c>
      <c r="AJ116" s="254">
        <f t="shared" si="54"/>
        <v>0</v>
      </c>
    </row>
    <row r="117" spans="1:36" s="251" customFormat="1" ht="20.100000000000001" customHeight="1" outlineLevel="2" x14ac:dyDescent="0.3">
      <c r="A117" s="260"/>
      <c r="B117" s="252"/>
      <c r="C117" s="263" t="s">
        <v>864</v>
      </c>
      <c r="D117" s="253"/>
      <c r="E117" s="248"/>
      <c r="F117" s="248"/>
      <c r="G117" s="247"/>
      <c r="H117" s="247"/>
      <c r="I117" s="247"/>
      <c r="J117" s="247"/>
      <c r="K117" s="247"/>
      <c r="L117" s="248"/>
      <c r="M117" s="248"/>
      <c r="N117" s="247"/>
      <c r="O117" s="247"/>
      <c r="P117" s="247"/>
      <c r="Q117" s="247"/>
      <c r="R117" s="247"/>
      <c r="S117" s="248"/>
      <c r="T117" s="248"/>
      <c r="U117" s="247"/>
      <c r="V117" s="247"/>
      <c r="W117" s="247"/>
      <c r="X117" s="247"/>
      <c r="Y117" s="247"/>
      <c r="Z117" s="248"/>
      <c r="AA117" s="248"/>
      <c r="AB117" s="247"/>
      <c r="AC117" s="247"/>
      <c r="AD117" s="247"/>
      <c r="AE117" s="247"/>
      <c r="AF117" s="247"/>
      <c r="AG117" s="248"/>
      <c r="AH117" s="248"/>
      <c r="AI117" s="249">
        <f t="shared" si="70"/>
        <v>0</v>
      </c>
      <c r="AJ117" s="254">
        <f t="shared" si="54"/>
        <v>0</v>
      </c>
    </row>
    <row r="118" spans="1:36" s="251" customFormat="1" ht="20.100000000000001" customHeight="1" outlineLevel="2" x14ac:dyDescent="0.3">
      <c r="A118" s="260"/>
      <c r="B118" s="252"/>
      <c r="C118" s="263" t="s">
        <v>865</v>
      </c>
      <c r="D118" s="264"/>
      <c r="E118" s="248"/>
      <c r="F118" s="248"/>
      <c r="G118" s="247"/>
      <c r="H118" s="247"/>
      <c r="I118" s="247"/>
      <c r="J118" s="247"/>
      <c r="K118" s="247"/>
      <c r="L118" s="248"/>
      <c r="M118" s="248"/>
      <c r="N118" s="247"/>
      <c r="O118" s="247"/>
      <c r="P118" s="247"/>
      <c r="Q118" s="247"/>
      <c r="R118" s="247"/>
      <c r="S118" s="248"/>
      <c r="T118" s="248"/>
      <c r="U118" s="247"/>
      <c r="V118" s="247"/>
      <c r="W118" s="247"/>
      <c r="X118" s="247"/>
      <c r="Y118" s="247"/>
      <c r="Z118" s="248"/>
      <c r="AA118" s="248"/>
      <c r="AB118" s="247"/>
      <c r="AC118" s="247"/>
      <c r="AD118" s="247"/>
      <c r="AE118" s="247"/>
      <c r="AF118" s="247"/>
      <c r="AG118" s="248"/>
      <c r="AH118" s="248"/>
      <c r="AI118" s="249">
        <f t="shared" si="70"/>
        <v>0</v>
      </c>
      <c r="AJ118" s="254">
        <f t="shared" si="54"/>
        <v>0</v>
      </c>
    </row>
    <row r="119" spans="1:36" s="251" customFormat="1" ht="20.100000000000001" customHeight="1" outlineLevel="1" x14ac:dyDescent="0.3">
      <c r="A119" s="260"/>
      <c r="B119" s="252"/>
      <c r="C119" s="246" t="s">
        <v>866</v>
      </c>
      <c r="D119" s="253">
        <f>SUM(D120:D123)</f>
        <v>0</v>
      </c>
      <c r="E119" s="248">
        <f t="shared" ref="E119" si="77">SUM(E120:E123)</f>
        <v>0</v>
      </c>
      <c r="F119" s="248">
        <f t="shared" ref="F119:AH119" si="78">SUM(F120:F123)</f>
        <v>0</v>
      </c>
      <c r="G119" s="247">
        <f t="shared" si="78"/>
        <v>0</v>
      </c>
      <c r="H119" s="247">
        <f t="shared" si="78"/>
        <v>0</v>
      </c>
      <c r="I119" s="247">
        <f t="shared" si="78"/>
        <v>0</v>
      </c>
      <c r="J119" s="247">
        <f t="shared" si="78"/>
        <v>0</v>
      </c>
      <c r="K119" s="247">
        <f t="shared" si="78"/>
        <v>0</v>
      </c>
      <c r="L119" s="248">
        <f t="shared" si="78"/>
        <v>0</v>
      </c>
      <c r="M119" s="248">
        <f t="shared" si="78"/>
        <v>0</v>
      </c>
      <c r="N119" s="247">
        <f t="shared" si="78"/>
        <v>0</v>
      </c>
      <c r="O119" s="247">
        <f t="shared" si="78"/>
        <v>0</v>
      </c>
      <c r="P119" s="247">
        <f t="shared" si="78"/>
        <v>0</v>
      </c>
      <c r="Q119" s="247">
        <f t="shared" si="78"/>
        <v>0</v>
      </c>
      <c r="R119" s="247">
        <f t="shared" si="78"/>
        <v>0</v>
      </c>
      <c r="S119" s="248">
        <f t="shared" si="78"/>
        <v>0</v>
      </c>
      <c r="T119" s="248">
        <f t="shared" si="78"/>
        <v>0</v>
      </c>
      <c r="U119" s="247">
        <f t="shared" si="78"/>
        <v>0</v>
      </c>
      <c r="V119" s="247">
        <f t="shared" si="78"/>
        <v>0</v>
      </c>
      <c r="W119" s="247">
        <f t="shared" si="78"/>
        <v>0</v>
      </c>
      <c r="X119" s="247">
        <f t="shared" si="78"/>
        <v>0</v>
      </c>
      <c r="Y119" s="247">
        <f t="shared" si="78"/>
        <v>0</v>
      </c>
      <c r="Z119" s="248">
        <f t="shared" si="78"/>
        <v>0</v>
      </c>
      <c r="AA119" s="248">
        <f t="shared" si="78"/>
        <v>0</v>
      </c>
      <c r="AB119" s="247">
        <f t="shared" si="78"/>
        <v>0</v>
      </c>
      <c r="AC119" s="247">
        <f t="shared" si="78"/>
        <v>0</v>
      </c>
      <c r="AD119" s="247">
        <f t="shared" si="78"/>
        <v>0</v>
      </c>
      <c r="AE119" s="247">
        <f t="shared" si="78"/>
        <v>0</v>
      </c>
      <c r="AF119" s="247">
        <f t="shared" si="78"/>
        <v>0</v>
      </c>
      <c r="AG119" s="248">
        <f t="shared" si="78"/>
        <v>0</v>
      </c>
      <c r="AH119" s="248">
        <f t="shared" si="78"/>
        <v>0</v>
      </c>
      <c r="AI119" s="249">
        <f t="shared" si="70"/>
        <v>0</v>
      </c>
      <c r="AJ119" s="254">
        <f t="shared" si="54"/>
        <v>0</v>
      </c>
    </row>
    <row r="120" spans="1:36" s="251" customFormat="1" ht="20.100000000000001" customHeight="1" outlineLevel="2" x14ac:dyDescent="0.3">
      <c r="A120" s="260"/>
      <c r="B120" s="252"/>
      <c r="C120" s="263" t="s">
        <v>343</v>
      </c>
      <c r="D120" s="253"/>
      <c r="E120" s="248"/>
      <c r="F120" s="248"/>
      <c r="G120" s="247"/>
      <c r="H120" s="247"/>
      <c r="I120" s="247"/>
      <c r="J120" s="247"/>
      <c r="K120" s="247"/>
      <c r="L120" s="248"/>
      <c r="M120" s="248"/>
      <c r="N120" s="247"/>
      <c r="O120" s="247"/>
      <c r="P120" s="247"/>
      <c r="Q120" s="247"/>
      <c r="R120" s="247"/>
      <c r="S120" s="248"/>
      <c r="T120" s="248"/>
      <c r="U120" s="247"/>
      <c r="V120" s="247"/>
      <c r="W120" s="247"/>
      <c r="X120" s="247"/>
      <c r="Y120" s="247"/>
      <c r="Z120" s="248"/>
      <c r="AA120" s="248"/>
      <c r="AB120" s="247"/>
      <c r="AC120" s="247"/>
      <c r="AD120" s="247"/>
      <c r="AE120" s="247"/>
      <c r="AF120" s="247"/>
      <c r="AG120" s="248"/>
      <c r="AH120" s="248"/>
      <c r="AI120" s="249">
        <f t="shared" si="70"/>
        <v>0</v>
      </c>
      <c r="AJ120" s="254">
        <f t="shared" si="54"/>
        <v>0</v>
      </c>
    </row>
    <row r="121" spans="1:36" s="251" customFormat="1" ht="20.100000000000001" customHeight="1" outlineLevel="2" x14ac:dyDescent="0.3">
      <c r="A121" s="260"/>
      <c r="B121" s="252"/>
      <c r="C121" s="263" t="s">
        <v>609</v>
      </c>
      <c r="D121" s="253"/>
      <c r="E121" s="248"/>
      <c r="F121" s="248"/>
      <c r="G121" s="247"/>
      <c r="H121" s="247"/>
      <c r="I121" s="247"/>
      <c r="J121" s="247"/>
      <c r="K121" s="247"/>
      <c r="L121" s="248"/>
      <c r="M121" s="248"/>
      <c r="N121" s="247"/>
      <c r="O121" s="247"/>
      <c r="P121" s="247"/>
      <c r="Q121" s="247"/>
      <c r="R121" s="247"/>
      <c r="S121" s="248"/>
      <c r="T121" s="248"/>
      <c r="U121" s="247"/>
      <c r="V121" s="247"/>
      <c r="W121" s="247"/>
      <c r="X121" s="247"/>
      <c r="Y121" s="247"/>
      <c r="Z121" s="248"/>
      <c r="AA121" s="248"/>
      <c r="AB121" s="247"/>
      <c r="AC121" s="247"/>
      <c r="AD121" s="247"/>
      <c r="AE121" s="247"/>
      <c r="AF121" s="247"/>
      <c r="AG121" s="248"/>
      <c r="AH121" s="248"/>
      <c r="AI121" s="249">
        <f t="shared" si="70"/>
        <v>0</v>
      </c>
      <c r="AJ121" s="254">
        <f t="shared" si="54"/>
        <v>0</v>
      </c>
    </row>
    <row r="122" spans="1:36" s="251" customFormat="1" ht="20.100000000000001" customHeight="1" outlineLevel="2" x14ac:dyDescent="0.3">
      <c r="A122" s="260"/>
      <c r="B122" s="252"/>
      <c r="C122" s="263" t="s">
        <v>450</v>
      </c>
      <c r="D122" s="253"/>
      <c r="E122" s="248"/>
      <c r="F122" s="248"/>
      <c r="G122" s="247"/>
      <c r="H122" s="247"/>
      <c r="I122" s="247"/>
      <c r="J122" s="247"/>
      <c r="K122" s="247"/>
      <c r="L122" s="248"/>
      <c r="M122" s="248"/>
      <c r="N122" s="247"/>
      <c r="O122" s="247"/>
      <c r="P122" s="247"/>
      <c r="Q122" s="247"/>
      <c r="R122" s="247"/>
      <c r="S122" s="248"/>
      <c r="T122" s="248"/>
      <c r="U122" s="247"/>
      <c r="V122" s="247"/>
      <c r="W122" s="247"/>
      <c r="X122" s="247"/>
      <c r="Y122" s="247"/>
      <c r="Z122" s="248"/>
      <c r="AA122" s="248"/>
      <c r="AB122" s="247"/>
      <c r="AC122" s="247"/>
      <c r="AD122" s="247"/>
      <c r="AE122" s="247"/>
      <c r="AF122" s="247"/>
      <c r="AG122" s="248"/>
      <c r="AH122" s="248"/>
      <c r="AI122" s="249">
        <f t="shared" si="70"/>
        <v>0</v>
      </c>
      <c r="AJ122" s="254">
        <f t="shared" si="54"/>
        <v>0</v>
      </c>
    </row>
    <row r="123" spans="1:36" s="251" customFormat="1" ht="20.100000000000001" customHeight="1" outlineLevel="2" x14ac:dyDescent="0.3">
      <c r="A123" s="260"/>
      <c r="B123" s="252"/>
      <c r="C123" s="263" t="s">
        <v>867</v>
      </c>
      <c r="D123" s="253"/>
      <c r="E123" s="248"/>
      <c r="F123" s="248"/>
      <c r="G123" s="247"/>
      <c r="H123" s="247"/>
      <c r="I123" s="247"/>
      <c r="J123" s="247"/>
      <c r="K123" s="247"/>
      <c r="L123" s="248"/>
      <c r="M123" s="248"/>
      <c r="N123" s="247"/>
      <c r="O123" s="247"/>
      <c r="P123" s="247"/>
      <c r="Q123" s="247"/>
      <c r="R123" s="247"/>
      <c r="S123" s="248"/>
      <c r="T123" s="248"/>
      <c r="U123" s="247"/>
      <c r="V123" s="247"/>
      <c r="W123" s="247"/>
      <c r="X123" s="247"/>
      <c r="Y123" s="247"/>
      <c r="Z123" s="248"/>
      <c r="AA123" s="248"/>
      <c r="AB123" s="247"/>
      <c r="AC123" s="247"/>
      <c r="AD123" s="247"/>
      <c r="AE123" s="247"/>
      <c r="AF123" s="247"/>
      <c r="AG123" s="248"/>
      <c r="AH123" s="248"/>
      <c r="AI123" s="249">
        <f t="shared" si="70"/>
        <v>0</v>
      </c>
      <c r="AJ123" s="254">
        <f t="shared" si="54"/>
        <v>0</v>
      </c>
    </row>
    <row r="124" spans="1:36" s="251" customFormat="1" ht="20.100000000000001" customHeight="1" outlineLevel="1" x14ac:dyDescent="0.3">
      <c r="A124" s="260"/>
      <c r="B124" s="252"/>
      <c r="C124" s="246" t="s">
        <v>868</v>
      </c>
      <c r="D124" s="247">
        <f>+D125+D126</f>
        <v>3000</v>
      </c>
      <c r="E124" s="248">
        <f>+E125+E126</f>
        <v>0</v>
      </c>
      <c r="F124" s="248">
        <f t="shared" ref="F124:AH124" si="79">+F125+F126</f>
        <v>0</v>
      </c>
      <c r="G124" s="247">
        <f t="shared" si="79"/>
        <v>0</v>
      </c>
      <c r="H124" s="247">
        <f t="shared" si="79"/>
        <v>0</v>
      </c>
      <c r="I124" s="247">
        <f t="shared" si="79"/>
        <v>0</v>
      </c>
      <c r="J124" s="247">
        <f t="shared" si="79"/>
        <v>0</v>
      </c>
      <c r="K124" s="247">
        <f t="shared" si="79"/>
        <v>0</v>
      </c>
      <c r="L124" s="248">
        <f t="shared" si="79"/>
        <v>0</v>
      </c>
      <c r="M124" s="248">
        <f t="shared" si="79"/>
        <v>0</v>
      </c>
      <c r="N124" s="247">
        <f t="shared" si="79"/>
        <v>0</v>
      </c>
      <c r="O124" s="247">
        <f t="shared" si="79"/>
        <v>0</v>
      </c>
      <c r="P124" s="247">
        <f t="shared" si="79"/>
        <v>0</v>
      </c>
      <c r="Q124" s="247">
        <f t="shared" si="79"/>
        <v>0</v>
      </c>
      <c r="R124" s="247">
        <f t="shared" si="79"/>
        <v>0</v>
      </c>
      <c r="S124" s="248">
        <f t="shared" si="79"/>
        <v>0</v>
      </c>
      <c r="T124" s="248">
        <f t="shared" si="79"/>
        <v>0</v>
      </c>
      <c r="U124" s="247">
        <f t="shared" si="79"/>
        <v>0</v>
      </c>
      <c r="V124" s="247">
        <f t="shared" si="79"/>
        <v>0</v>
      </c>
      <c r="W124" s="247">
        <f t="shared" si="79"/>
        <v>0</v>
      </c>
      <c r="X124" s="247">
        <f t="shared" si="79"/>
        <v>0</v>
      </c>
      <c r="Y124" s="247">
        <f t="shared" si="79"/>
        <v>3000</v>
      </c>
      <c r="Z124" s="248">
        <f t="shared" si="79"/>
        <v>0</v>
      </c>
      <c r="AA124" s="248">
        <f t="shared" si="79"/>
        <v>0</v>
      </c>
      <c r="AB124" s="247">
        <f t="shared" si="79"/>
        <v>0</v>
      </c>
      <c r="AC124" s="247">
        <f t="shared" si="79"/>
        <v>0</v>
      </c>
      <c r="AD124" s="247">
        <f t="shared" si="79"/>
        <v>0</v>
      </c>
      <c r="AE124" s="247">
        <f t="shared" si="79"/>
        <v>0</v>
      </c>
      <c r="AF124" s="247">
        <f t="shared" si="79"/>
        <v>0</v>
      </c>
      <c r="AG124" s="248">
        <f t="shared" si="79"/>
        <v>0</v>
      </c>
      <c r="AH124" s="248">
        <f t="shared" si="79"/>
        <v>0</v>
      </c>
      <c r="AI124" s="249">
        <f t="shared" si="70"/>
        <v>3000</v>
      </c>
      <c r="AJ124" s="254">
        <f t="shared" si="54"/>
        <v>0</v>
      </c>
    </row>
    <row r="125" spans="1:36" s="251" customFormat="1" ht="20.100000000000001" customHeight="1" outlineLevel="2" x14ac:dyDescent="0.3">
      <c r="A125" s="260"/>
      <c r="B125" s="252"/>
      <c r="C125" s="263" t="s">
        <v>869</v>
      </c>
      <c r="D125" s="253"/>
      <c r="E125" s="248"/>
      <c r="F125" s="248"/>
      <c r="G125" s="247"/>
      <c r="H125" s="247"/>
      <c r="I125" s="247"/>
      <c r="J125" s="247"/>
      <c r="K125" s="247"/>
      <c r="L125" s="248"/>
      <c r="M125" s="248"/>
      <c r="N125" s="247"/>
      <c r="O125" s="247"/>
      <c r="P125" s="247"/>
      <c r="Q125" s="247"/>
      <c r="R125" s="247"/>
      <c r="S125" s="248"/>
      <c r="T125" s="248"/>
      <c r="U125" s="247"/>
      <c r="V125" s="247"/>
      <c r="W125" s="247"/>
      <c r="X125" s="247"/>
      <c r="Y125" s="247"/>
      <c r="Z125" s="248"/>
      <c r="AA125" s="248"/>
      <c r="AB125" s="247"/>
      <c r="AC125" s="247"/>
      <c r="AD125" s="247"/>
      <c r="AE125" s="247"/>
      <c r="AF125" s="247"/>
      <c r="AG125" s="248"/>
      <c r="AH125" s="248"/>
      <c r="AI125" s="249">
        <f t="shared" si="70"/>
        <v>0</v>
      </c>
      <c r="AJ125" s="254">
        <f t="shared" si="54"/>
        <v>0</v>
      </c>
    </row>
    <row r="126" spans="1:36" s="251" customFormat="1" ht="20.100000000000001" customHeight="1" outlineLevel="2" x14ac:dyDescent="0.3">
      <c r="A126" s="260"/>
      <c r="B126" s="252"/>
      <c r="C126" s="263" t="s">
        <v>415</v>
      </c>
      <c r="D126" s="253">
        <v>3000</v>
      </c>
      <c r="E126" s="248"/>
      <c r="F126" s="248"/>
      <c r="G126" s="247"/>
      <c r="H126" s="247"/>
      <c r="I126" s="247"/>
      <c r="J126" s="247"/>
      <c r="K126" s="247"/>
      <c r="L126" s="248"/>
      <c r="M126" s="248"/>
      <c r="N126" s="247"/>
      <c r="O126" s="247"/>
      <c r="P126" s="247"/>
      <c r="Q126" s="247"/>
      <c r="R126" s="247"/>
      <c r="S126" s="248"/>
      <c r="T126" s="248"/>
      <c r="U126" s="247"/>
      <c r="V126" s="247"/>
      <c r="W126" s="247"/>
      <c r="X126" s="247"/>
      <c r="Y126" s="247">
        <v>3000</v>
      </c>
      <c r="Z126" s="248"/>
      <c r="AA126" s="248"/>
      <c r="AB126" s="247"/>
      <c r="AC126" s="247"/>
      <c r="AD126" s="247"/>
      <c r="AE126" s="247"/>
      <c r="AF126" s="247"/>
      <c r="AG126" s="248"/>
      <c r="AH126" s="248"/>
      <c r="AI126" s="249">
        <f t="shared" si="70"/>
        <v>3000</v>
      </c>
      <c r="AJ126" s="254">
        <f t="shared" si="54"/>
        <v>0</v>
      </c>
    </row>
    <row r="127" spans="1:36" s="259" customFormat="1" ht="20.100000000000001" customHeight="1" outlineLevel="1" x14ac:dyDescent="0.3">
      <c r="A127" s="256"/>
      <c r="B127" s="257"/>
      <c r="C127" s="246" t="s">
        <v>870</v>
      </c>
      <c r="D127" s="253">
        <f>+D130+D129</f>
        <v>3200</v>
      </c>
      <c r="E127" s="248">
        <f t="shared" ref="E127" si="80">SUM(E128:E132)</f>
        <v>0</v>
      </c>
      <c r="F127" s="248">
        <f t="shared" ref="F127:AH127" si="81">SUM(F128:F132)</f>
        <v>0</v>
      </c>
      <c r="G127" s="247">
        <f t="shared" si="81"/>
        <v>0</v>
      </c>
      <c r="H127" s="247">
        <f t="shared" si="81"/>
        <v>0</v>
      </c>
      <c r="I127" s="247">
        <f t="shared" si="81"/>
        <v>0</v>
      </c>
      <c r="J127" s="247">
        <f t="shared" si="81"/>
        <v>0</v>
      </c>
      <c r="K127" s="247">
        <f t="shared" si="81"/>
        <v>0</v>
      </c>
      <c r="L127" s="248">
        <f t="shared" si="81"/>
        <v>0</v>
      </c>
      <c r="M127" s="248">
        <f t="shared" si="81"/>
        <v>0</v>
      </c>
      <c r="N127" s="247">
        <f t="shared" si="81"/>
        <v>0</v>
      </c>
      <c r="O127" s="247">
        <f t="shared" si="81"/>
        <v>0</v>
      </c>
      <c r="P127" s="247">
        <f t="shared" si="81"/>
        <v>0</v>
      </c>
      <c r="Q127" s="247">
        <f t="shared" si="81"/>
        <v>0</v>
      </c>
      <c r="R127" s="247">
        <f t="shared" si="81"/>
        <v>0</v>
      </c>
      <c r="S127" s="248">
        <f t="shared" si="81"/>
        <v>0</v>
      </c>
      <c r="T127" s="248">
        <f t="shared" si="81"/>
        <v>0</v>
      </c>
      <c r="U127" s="247">
        <f t="shared" si="81"/>
        <v>0</v>
      </c>
      <c r="V127" s="247">
        <f t="shared" si="81"/>
        <v>0</v>
      </c>
      <c r="W127" s="247">
        <f t="shared" si="81"/>
        <v>0</v>
      </c>
      <c r="X127" s="247">
        <f t="shared" si="81"/>
        <v>0</v>
      </c>
      <c r="Y127" s="247">
        <f t="shared" si="81"/>
        <v>3200</v>
      </c>
      <c r="Z127" s="248">
        <f t="shared" si="81"/>
        <v>0</v>
      </c>
      <c r="AA127" s="248">
        <f t="shared" si="81"/>
        <v>0</v>
      </c>
      <c r="AB127" s="247">
        <f t="shared" si="81"/>
        <v>0</v>
      </c>
      <c r="AC127" s="247">
        <f t="shared" si="81"/>
        <v>0</v>
      </c>
      <c r="AD127" s="247">
        <f t="shared" si="81"/>
        <v>0</v>
      </c>
      <c r="AE127" s="247">
        <f t="shared" si="81"/>
        <v>0</v>
      </c>
      <c r="AF127" s="247">
        <f t="shared" si="81"/>
        <v>0</v>
      </c>
      <c r="AG127" s="248">
        <f t="shared" si="81"/>
        <v>0</v>
      </c>
      <c r="AH127" s="248">
        <f t="shared" si="81"/>
        <v>0</v>
      </c>
      <c r="AI127" s="249">
        <f t="shared" si="70"/>
        <v>3200</v>
      </c>
      <c r="AJ127" s="254">
        <f t="shared" si="54"/>
        <v>0</v>
      </c>
    </row>
    <row r="128" spans="1:36" s="259" customFormat="1" ht="20.100000000000001" customHeight="1" outlineLevel="2" x14ac:dyDescent="0.3">
      <c r="A128" s="256"/>
      <c r="B128" s="257"/>
      <c r="C128" s="263" t="s">
        <v>871</v>
      </c>
      <c r="D128" s="253"/>
      <c r="E128" s="248"/>
      <c r="F128" s="248"/>
      <c r="G128" s="247"/>
      <c r="H128" s="247"/>
      <c r="I128" s="247"/>
      <c r="J128" s="247"/>
      <c r="K128" s="247"/>
      <c r="L128" s="248"/>
      <c r="M128" s="248"/>
      <c r="N128" s="247"/>
      <c r="O128" s="247"/>
      <c r="P128" s="247"/>
      <c r="Q128" s="247"/>
      <c r="R128" s="247"/>
      <c r="S128" s="248"/>
      <c r="T128" s="248"/>
      <c r="U128" s="247"/>
      <c r="V128" s="247"/>
      <c r="W128" s="247"/>
      <c r="X128" s="247"/>
      <c r="Y128" s="247"/>
      <c r="Z128" s="248"/>
      <c r="AA128" s="248"/>
      <c r="AB128" s="247"/>
      <c r="AC128" s="247"/>
      <c r="AD128" s="247"/>
      <c r="AE128" s="247"/>
      <c r="AF128" s="247"/>
      <c r="AG128" s="248"/>
      <c r="AH128" s="248"/>
      <c r="AI128" s="249">
        <f t="shared" si="70"/>
        <v>0</v>
      </c>
      <c r="AJ128" s="254">
        <f t="shared" si="54"/>
        <v>0</v>
      </c>
    </row>
    <row r="129" spans="1:36" s="259" customFormat="1" ht="20.100000000000001" customHeight="1" outlineLevel="2" x14ac:dyDescent="0.3">
      <c r="A129" s="256"/>
      <c r="B129" s="257"/>
      <c r="C129" s="263" t="s">
        <v>872</v>
      </c>
      <c r="D129" s="253">
        <v>610</v>
      </c>
      <c r="E129" s="248"/>
      <c r="F129" s="248"/>
      <c r="G129" s="247"/>
      <c r="H129" s="247"/>
      <c r="I129" s="247"/>
      <c r="J129" s="247"/>
      <c r="K129" s="247"/>
      <c r="L129" s="248"/>
      <c r="M129" s="248"/>
      <c r="N129" s="247"/>
      <c r="O129" s="247"/>
      <c r="P129" s="247"/>
      <c r="Q129" s="247"/>
      <c r="R129" s="247"/>
      <c r="S129" s="248"/>
      <c r="T129" s="248"/>
      <c r="U129" s="247"/>
      <c r="V129" s="247"/>
      <c r="W129" s="247"/>
      <c r="X129" s="247"/>
      <c r="Y129" s="247">
        <v>610</v>
      </c>
      <c r="Z129" s="248"/>
      <c r="AA129" s="248"/>
      <c r="AB129" s="247"/>
      <c r="AC129" s="247"/>
      <c r="AD129" s="247"/>
      <c r="AE129" s="247"/>
      <c r="AF129" s="247"/>
      <c r="AG129" s="248"/>
      <c r="AH129" s="248"/>
      <c r="AI129" s="249">
        <f t="shared" si="70"/>
        <v>610</v>
      </c>
      <c r="AJ129" s="254">
        <f t="shared" si="54"/>
        <v>0</v>
      </c>
    </row>
    <row r="130" spans="1:36" s="259" customFormat="1" ht="20.100000000000001" customHeight="1" outlineLevel="2" x14ac:dyDescent="0.3">
      <c r="A130" s="256"/>
      <c r="B130" s="257"/>
      <c r="C130" s="263" t="s">
        <v>786</v>
      </c>
      <c r="D130" s="253">
        <v>2590</v>
      </c>
      <c r="E130" s="248"/>
      <c r="F130" s="248"/>
      <c r="G130" s="247"/>
      <c r="H130" s="247"/>
      <c r="I130" s="247"/>
      <c r="J130" s="247"/>
      <c r="K130" s="247"/>
      <c r="L130" s="248"/>
      <c r="M130" s="248"/>
      <c r="N130" s="247"/>
      <c r="O130" s="247"/>
      <c r="P130" s="247"/>
      <c r="Q130" s="247"/>
      <c r="R130" s="247"/>
      <c r="S130" s="248"/>
      <c r="T130" s="248"/>
      <c r="U130" s="247"/>
      <c r="V130" s="247"/>
      <c r="W130" s="247"/>
      <c r="X130" s="247"/>
      <c r="Y130" s="247">
        <v>2590</v>
      </c>
      <c r="Z130" s="248"/>
      <c r="AA130" s="248"/>
      <c r="AB130" s="247"/>
      <c r="AC130" s="247"/>
      <c r="AD130" s="247"/>
      <c r="AE130" s="247"/>
      <c r="AF130" s="247"/>
      <c r="AG130" s="248"/>
      <c r="AH130" s="248"/>
      <c r="AI130" s="249">
        <f t="shared" si="70"/>
        <v>2590</v>
      </c>
      <c r="AJ130" s="254">
        <f t="shared" si="54"/>
        <v>0</v>
      </c>
    </row>
    <row r="131" spans="1:36" s="259" customFormat="1" ht="20.100000000000001" customHeight="1" outlineLevel="2" x14ac:dyDescent="0.3">
      <c r="A131" s="256"/>
      <c r="B131" s="257"/>
      <c r="C131" s="263" t="s">
        <v>873</v>
      </c>
      <c r="D131" s="253"/>
      <c r="E131" s="248"/>
      <c r="F131" s="248"/>
      <c r="G131" s="247"/>
      <c r="H131" s="247"/>
      <c r="I131" s="247"/>
      <c r="J131" s="247"/>
      <c r="K131" s="247"/>
      <c r="L131" s="248"/>
      <c r="M131" s="248"/>
      <c r="N131" s="247"/>
      <c r="O131" s="247"/>
      <c r="P131" s="247"/>
      <c r="Q131" s="247"/>
      <c r="R131" s="247"/>
      <c r="S131" s="248"/>
      <c r="T131" s="248"/>
      <c r="U131" s="247"/>
      <c r="V131" s="247"/>
      <c r="W131" s="247"/>
      <c r="X131" s="247"/>
      <c r="Y131" s="247"/>
      <c r="Z131" s="248"/>
      <c r="AA131" s="248"/>
      <c r="AB131" s="247"/>
      <c r="AC131" s="247"/>
      <c r="AD131" s="247"/>
      <c r="AE131" s="247"/>
      <c r="AF131" s="247"/>
      <c r="AG131" s="248"/>
      <c r="AH131" s="248"/>
      <c r="AI131" s="249">
        <f t="shared" si="70"/>
        <v>0</v>
      </c>
      <c r="AJ131" s="254">
        <f t="shared" si="54"/>
        <v>0</v>
      </c>
    </row>
    <row r="132" spans="1:36" s="259" customFormat="1" ht="20.100000000000001" customHeight="1" outlineLevel="2" x14ac:dyDescent="0.3">
      <c r="A132" s="256"/>
      <c r="B132" s="257"/>
      <c r="C132" s="263" t="s">
        <v>874</v>
      </c>
      <c r="D132" s="253"/>
      <c r="E132" s="248"/>
      <c r="F132" s="248"/>
      <c r="G132" s="247"/>
      <c r="H132" s="247"/>
      <c r="I132" s="247"/>
      <c r="J132" s="247"/>
      <c r="K132" s="247"/>
      <c r="L132" s="248"/>
      <c r="M132" s="248"/>
      <c r="N132" s="247"/>
      <c r="O132" s="247"/>
      <c r="P132" s="247"/>
      <c r="Q132" s="247"/>
      <c r="R132" s="247"/>
      <c r="S132" s="248"/>
      <c r="T132" s="248"/>
      <c r="U132" s="247"/>
      <c r="V132" s="247"/>
      <c r="W132" s="247"/>
      <c r="X132" s="247"/>
      <c r="Y132" s="247"/>
      <c r="Z132" s="248"/>
      <c r="AA132" s="248"/>
      <c r="AB132" s="247"/>
      <c r="AC132" s="247"/>
      <c r="AD132" s="247"/>
      <c r="AE132" s="247"/>
      <c r="AF132" s="247"/>
      <c r="AG132" s="248"/>
      <c r="AH132" s="248"/>
      <c r="AI132" s="249">
        <f t="shared" si="70"/>
        <v>0</v>
      </c>
      <c r="AJ132" s="254">
        <f t="shared" si="54"/>
        <v>0</v>
      </c>
    </row>
    <row r="133" spans="1:36" s="259" customFormat="1" ht="20.100000000000001" customHeight="1" outlineLevel="1" x14ac:dyDescent="0.3">
      <c r="A133" s="256"/>
      <c r="B133" s="257"/>
      <c r="C133" s="258" t="s">
        <v>875</v>
      </c>
      <c r="D133" s="253">
        <f>+D134+D135</f>
        <v>43000</v>
      </c>
      <c r="E133" s="248">
        <f t="shared" ref="E133" si="82">SUM(E134:E136)</f>
        <v>0</v>
      </c>
      <c r="F133" s="248">
        <f t="shared" ref="F133:AH133" si="83">SUM(F134:F136)</f>
        <v>0</v>
      </c>
      <c r="G133" s="247">
        <f t="shared" si="83"/>
        <v>0</v>
      </c>
      <c r="H133" s="247">
        <f t="shared" si="83"/>
        <v>0</v>
      </c>
      <c r="I133" s="247">
        <f t="shared" si="83"/>
        <v>0</v>
      </c>
      <c r="J133" s="247">
        <f t="shared" si="83"/>
        <v>0</v>
      </c>
      <c r="K133" s="247">
        <f t="shared" si="83"/>
        <v>0</v>
      </c>
      <c r="L133" s="248">
        <f t="shared" si="83"/>
        <v>0</v>
      </c>
      <c r="M133" s="248">
        <f t="shared" si="83"/>
        <v>0</v>
      </c>
      <c r="N133" s="247">
        <f t="shared" si="83"/>
        <v>0</v>
      </c>
      <c r="O133" s="247">
        <f t="shared" si="83"/>
        <v>0</v>
      </c>
      <c r="P133" s="247">
        <f t="shared" si="83"/>
        <v>0</v>
      </c>
      <c r="Q133" s="247">
        <f t="shared" si="83"/>
        <v>0</v>
      </c>
      <c r="R133" s="247">
        <f t="shared" si="83"/>
        <v>0</v>
      </c>
      <c r="S133" s="248">
        <f t="shared" si="83"/>
        <v>0</v>
      </c>
      <c r="T133" s="248">
        <f t="shared" si="83"/>
        <v>0</v>
      </c>
      <c r="U133" s="247">
        <f t="shared" si="83"/>
        <v>0</v>
      </c>
      <c r="V133" s="247">
        <f t="shared" si="83"/>
        <v>0</v>
      </c>
      <c r="W133" s="247">
        <f t="shared" si="83"/>
        <v>0</v>
      </c>
      <c r="X133" s="247">
        <f t="shared" si="83"/>
        <v>0</v>
      </c>
      <c r="Y133" s="247">
        <f t="shared" si="83"/>
        <v>43000</v>
      </c>
      <c r="Z133" s="248">
        <f t="shared" si="83"/>
        <v>0</v>
      </c>
      <c r="AA133" s="248">
        <f t="shared" si="83"/>
        <v>0</v>
      </c>
      <c r="AB133" s="247">
        <f t="shared" si="83"/>
        <v>0</v>
      </c>
      <c r="AC133" s="247">
        <f t="shared" si="83"/>
        <v>0</v>
      </c>
      <c r="AD133" s="247">
        <f t="shared" si="83"/>
        <v>0</v>
      </c>
      <c r="AE133" s="247">
        <f t="shared" si="83"/>
        <v>0</v>
      </c>
      <c r="AF133" s="247">
        <f t="shared" si="83"/>
        <v>0</v>
      </c>
      <c r="AG133" s="248">
        <f t="shared" si="83"/>
        <v>0</v>
      </c>
      <c r="AH133" s="248">
        <f t="shared" si="83"/>
        <v>0</v>
      </c>
      <c r="AI133" s="249">
        <f t="shared" si="70"/>
        <v>43000</v>
      </c>
      <c r="AJ133" s="254">
        <f t="shared" si="54"/>
        <v>0</v>
      </c>
    </row>
    <row r="134" spans="1:36" s="259" customFormat="1" ht="20.100000000000001" customHeight="1" outlineLevel="2" x14ac:dyDescent="0.3">
      <c r="A134" s="256"/>
      <c r="B134" s="257"/>
      <c r="C134" s="265" t="s">
        <v>876</v>
      </c>
      <c r="D134" s="253">
        <v>34000</v>
      </c>
      <c r="E134" s="248"/>
      <c r="F134" s="248"/>
      <c r="G134" s="247"/>
      <c r="H134" s="247"/>
      <c r="I134" s="247"/>
      <c r="J134" s="247"/>
      <c r="K134" s="247"/>
      <c r="L134" s="248"/>
      <c r="M134" s="248"/>
      <c r="N134" s="247"/>
      <c r="O134" s="247"/>
      <c r="P134" s="247"/>
      <c r="Q134" s="247"/>
      <c r="R134" s="247"/>
      <c r="S134" s="248"/>
      <c r="T134" s="248"/>
      <c r="U134" s="247"/>
      <c r="V134" s="247"/>
      <c r="W134" s="247"/>
      <c r="X134" s="247"/>
      <c r="Y134" s="247">
        <v>34000</v>
      </c>
      <c r="Z134" s="248"/>
      <c r="AA134" s="248"/>
      <c r="AB134" s="247"/>
      <c r="AC134" s="247"/>
      <c r="AD134" s="247"/>
      <c r="AE134" s="247"/>
      <c r="AF134" s="247"/>
      <c r="AG134" s="248"/>
      <c r="AH134" s="248"/>
      <c r="AI134" s="249">
        <f t="shared" si="70"/>
        <v>34000</v>
      </c>
      <c r="AJ134" s="254">
        <f t="shared" si="54"/>
        <v>0</v>
      </c>
    </row>
    <row r="135" spans="1:36" s="259" customFormat="1" ht="20.100000000000001" customHeight="1" outlineLevel="2" x14ac:dyDescent="0.3">
      <c r="A135" s="256"/>
      <c r="B135" s="257"/>
      <c r="C135" s="265" t="s">
        <v>623</v>
      </c>
      <c r="D135" s="253">
        <v>9000</v>
      </c>
      <c r="E135" s="248"/>
      <c r="F135" s="248"/>
      <c r="G135" s="247"/>
      <c r="H135" s="247"/>
      <c r="I135" s="247"/>
      <c r="J135" s="247"/>
      <c r="K135" s="247"/>
      <c r="L135" s="248"/>
      <c r="M135" s="248"/>
      <c r="N135" s="247"/>
      <c r="O135" s="247"/>
      <c r="P135" s="247"/>
      <c r="Q135" s="247"/>
      <c r="R135" s="247"/>
      <c r="S135" s="248"/>
      <c r="T135" s="248"/>
      <c r="U135" s="247"/>
      <c r="V135" s="247"/>
      <c r="W135" s="247"/>
      <c r="X135" s="247"/>
      <c r="Y135" s="247">
        <v>9000</v>
      </c>
      <c r="Z135" s="248"/>
      <c r="AA135" s="248"/>
      <c r="AB135" s="247"/>
      <c r="AC135" s="247"/>
      <c r="AD135" s="247"/>
      <c r="AE135" s="247"/>
      <c r="AF135" s="247"/>
      <c r="AG135" s="248"/>
      <c r="AH135" s="248"/>
      <c r="AI135" s="249">
        <f t="shared" si="70"/>
        <v>9000</v>
      </c>
      <c r="AJ135" s="254">
        <f t="shared" si="54"/>
        <v>0</v>
      </c>
    </row>
    <row r="136" spans="1:36" s="259" customFormat="1" ht="20.100000000000001" customHeight="1" outlineLevel="2" x14ac:dyDescent="0.3">
      <c r="A136" s="256"/>
      <c r="B136" s="257"/>
      <c r="C136" s="265" t="s">
        <v>877</v>
      </c>
      <c r="D136" s="253"/>
      <c r="E136" s="248"/>
      <c r="F136" s="248"/>
      <c r="G136" s="247"/>
      <c r="H136" s="247"/>
      <c r="I136" s="247"/>
      <c r="J136" s="247"/>
      <c r="K136" s="247"/>
      <c r="L136" s="248"/>
      <c r="M136" s="248"/>
      <c r="N136" s="247"/>
      <c r="O136" s="247"/>
      <c r="P136" s="247"/>
      <c r="Q136" s="247"/>
      <c r="R136" s="247"/>
      <c r="S136" s="248"/>
      <c r="T136" s="248"/>
      <c r="U136" s="247"/>
      <c r="V136" s="247"/>
      <c r="W136" s="247"/>
      <c r="X136" s="247"/>
      <c r="Y136" s="247"/>
      <c r="Z136" s="248"/>
      <c r="AA136" s="248"/>
      <c r="AB136" s="247"/>
      <c r="AC136" s="247"/>
      <c r="AD136" s="247"/>
      <c r="AE136" s="247"/>
      <c r="AF136" s="247"/>
      <c r="AG136" s="248"/>
      <c r="AH136" s="248"/>
      <c r="AI136" s="249">
        <f t="shared" si="70"/>
        <v>0</v>
      </c>
      <c r="AJ136" s="254">
        <f t="shared" si="54"/>
        <v>0</v>
      </c>
    </row>
    <row r="137" spans="1:36" s="269" customFormat="1" ht="20.100000000000001" customHeight="1" x14ac:dyDescent="0.25">
      <c r="A137" s="266"/>
      <c r="B137" s="267" t="s">
        <v>878</v>
      </c>
      <c r="C137" s="268" t="s">
        <v>879</v>
      </c>
      <c r="D137" s="237">
        <f t="shared" ref="D137:E137" si="84">D74-D94</f>
        <v>-5304182.9248376023</v>
      </c>
      <c r="E137" s="237">
        <f t="shared" si="84"/>
        <v>0</v>
      </c>
      <c r="F137" s="237">
        <f t="shared" ref="F137:AH137" si="85">F74-F94</f>
        <v>0</v>
      </c>
      <c r="G137" s="237">
        <f t="shared" si="85"/>
        <v>-46800</v>
      </c>
      <c r="H137" s="237">
        <f t="shared" si="85"/>
        <v>-46800</v>
      </c>
      <c r="I137" s="237">
        <f t="shared" si="85"/>
        <v>-46800</v>
      </c>
      <c r="J137" s="237">
        <f t="shared" si="85"/>
        <v>-46800</v>
      </c>
      <c r="K137" s="237">
        <f t="shared" si="85"/>
        <v>-46800</v>
      </c>
      <c r="L137" s="237">
        <f t="shared" si="85"/>
        <v>0</v>
      </c>
      <c r="M137" s="237">
        <f t="shared" si="85"/>
        <v>0</v>
      </c>
      <c r="N137" s="237">
        <f t="shared" si="85"/>
        <v>-409039.86000000004</v>
      </c>
      <c r="O137" s="237">
        <f t="shared" si="85"/>
        <v>-355954.00423160003</v>
      </c>
      <c r="P137" s="237">
        <f t="shared" si="85"/>
        <v>-46800</v>
      </c>
      <c r="Q137" s="237">
        <f t="shared" si="85"/>
        <v>-797100</v>
      </c>
      <c r="R137" s="237">
        <f t="shared" si="85"/>
        <v>-46800</v>
      </c>
      <c r="S137" s="237">
        <f t="shared" si="85"/>
        <v>0</v>
      </c>
      <c r="T137" s="237">
        <f t="shared" si="85"/>
        <v>0</v>
      </c>
      <c r="U137" s="237">
        <f t="shared" si="85"/>
        <v>-46800</v>
      </c>
      <c r="V137" s="237">
        <f t="shared" si="85"/>
        <v>-71000</v>
      </c>
      <c r="W137" s="237">
        <f t="shared" si="85"/>
        <v>-71000</v>
      </c>
      <c r="X137" s="237">
        <f t="shared" si="85"/>
        <v>654004</v>
      </c>
      <c r="Y137" s="237">
        <f t="shared" si="85"/>
        <v>-120200</v>
      </c>
      <c r="Z137" s="237">
        <f t="shared" si="85"/>
        <v>0</v>
      </c>
      <c r="AA137" s="237">
        <f t="shared" si="85"/>
        <v>0</v>
      </c>
      <c r="AB137" s="237">
        <f t="shared" si="85"/>
        <v>-1666258.851915</v>
      </c>
      <c r="AC137" s="237">
        <f t="shared" si="85"/>
        <v>-2233017.1209149999</v>
      </c>
      <c r="AD137" s="237">
        <f t="shared" si="85"/>
        <v>-71000</v>
      </c>
      <c r="AE137" s="237">
        <f t="shared" si="85"/>
        <v>-71000</v>
      </c>
      <c r="AF137" s="237">
        <f t="shared" si="85"/>
        <v>281782.91142399982</v>
      </c>
      <c r="AG137" s="237">
        <f t="shared" si="85"/>
        <v>0</v>
      </c>
      <c r="AH137" s="237">
        <f t="shared" si="85"/>
        <v>0</v>
      </c>
      <c r="AI137" s="237">
        <f t="shared" si="70"/>
        <v>-5304182.9256376009</v>
      </c>
      <c r="AJ137" s="237">
        <f t="shared" si="54"/>
        <v>7.9999864101409912E-4</v>
      </c>
    </row>
    <row r="140" spans="1:36" x14ac:dyDescent="0.25">
      <c r="Q140" s="14"/>
      <c r="R140" s="14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B0B929-5A15-4A50-B375-645FA4F21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95635-A03A-4122-B7F7-33C33BEEA0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постоянни разходи</vt:lpstr>
      <vt:lpstr>приходи</vt:lpstr>
      <vt:lpstr>разходи</vt:lpstr>
      <vt:lpstr>ПП Януари</vt:lpstr>
      <vt:lpstr>ПП Февруари</vt:lpstr>
      <vt:lpstr>ПП Март</vt:lpstr>
      <vt:lpstr>ПП Април</vt:lpstr>
      <vt:lpstr>ПП Май</vt:lpstr>
      <vt:lpstr>ПП Юни</vt:lpstr>
      <vt:lpstr>ПП Юли</vt:lpstr>
      <vt:lpstr>ПП Август</vt:lpstr>
      <vt:lpstr>ПП Септември</vt:lpstr>
      <vt:lpstr>ПП Октомври</vt:lpstr>
      <vt:lpstr>ПП Ноември</vt:lpstr>
      <vt:lpstr>ПП Декември</vt:lpstr>
      <vt:lpstr>ПП 2024</vt:lpstr>
      <vt:lpstr>депозити и банкови гаранции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Aneta Ivanova</dc:creator>
  <cp:keywords/>
  <dc:description/>
  <cp:lastModifiedBy>Backoffice</cp:lastModifiedBy>
  <cp:revision/>
  <dcterms:created xsi:type="dcterms:W3CDTF">2024-02-15T13:03:28Z</dcterms:created>
  <dcterms:modified xsi:type="dcterms:W3CDTF">2024-10-01T11:25:24Z</dcterms:modified>
  <cp:category/>
  <cp:contentStatus/>
</cp:coreProperties>
</file>