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I_2024/FAKTURI/Топлофикации/DRUGI_KLIENTI/Окончателни фактури/"/>
    </mc:Choice>
  </mc:AlternateContent>
  <xr:revisionPtr revIDLastSave="3072" documentId="8_{290B685A-61D3-4331-9FB5-CD31459AB3D8}" xr6:coauthVersionLast="47" xr6:coauthVersionMax="47" xr10:uidLastSave="{188435F0-506F-4057-B1E9-892B354CD41A}"/>
  <bookViews>
    <workbookView xWindow="-120" yWindow="-120" windowWidth="29040" windowHeight="15840" tabRatio="895" xr2:uid="{D93E4178-CC31-4D87-86F4-CC1B2ECB3685}"/>
  </bookViews>
  <sheets>
    <sheet name="Оконч.плащане Труд " sheetId="36" r:id="rId1"/>
    <sheet name="Оконч.плащане Берус" sheetId="32" r:id="rId2"/>
    <sheet name="Оконч.плащане Бултекс 1" sheetId="33" r:id="rId3"/>
    <sheet name="Оконч.плащане Доминекс" sheetId="5" r:id="rId4"/>
    <sheet name="оконч. плащане РВД " sheetId="31" r:id="rId5"/>
    <sheet name="Оконч.плащане Алуком" sheetId="1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1" l="1"/>
  <c r="E28" i="31"/>
  <c r="G5" i="32" l="1"/>
  <c r="B6" i="36"/>
  <c r="B7" i="36" s="1"/>
  <c r="H5" i="32" l="1"/>
  <c r="I5" i="32" s="1"/>
  <c r="G15" i="36" l="1"/>
  <c r="G16" i="36" s="1"/>
  <c r="G7" i="33" l="1"/>
  <c r="G10" i="31"/>
  <c r="H7" i="33" l="1"/>
  <c r="I7" i="33" s="1"/>
  <c r="H10" i="31"/>
  <c r="I10" i="31" s="1"/>
  <c r="G6" i="36" l="1"/>
  <c r="H6" i="36" l="1"/>
  <c r="I6" i="36" s="1"/>
  <c r="G7" i="36" l="1"/>
  <c r="G5" i="36"/>
  <c r="G4" i="36"/>
  <c r="F3" i="36" s="1"/>
  <c r="B4" i="36"/>
  <c r="B5" i="36" s="1"/>
  <c r="H4" i="36" l="1"/>
  <c r="I4" i="36" s="1"/>
  <c r="G3" i="36"/>
  <c r="G8" i="36" s="1"/>
  <c r="H5" i="36"/>
  <c r="H7" i="36"/>
  <c r="I7" i="36" s="1"/>
  <c r="H3" i="36" l="1"/>
  <c r="I3" i="36" s="1"/>
  <c r="E18" i="36" s="1"/>
  <c r="E19" i="36" s="1"/>
  <c r="I5" i="36"/>
  <c r="I8" i="36" l="1"/>
  <c r="H8" i="36"/>
  <c r="G5" i="33" l="1"/>
  <c r="E6" i="33"/>
  <c r="G6" i="33" s="1"/>
  <c r="G4" i="32"/>
  <c r="E6" i="32"/>
  <c r="G6" i="32" s="1"/>
  <c r="H5" i="33" l="1"/>
  <c r="I5" i="33" s="1"/>
  <c r="F4" i="33"/>
  <c r="G4" i="33" s="1"/>
  <c r="H4" i="32"/>
  <c r="I4" i="32" s="1"/>
  <c r="G7" i="32"/>
  <c r="H6" i="33"/>
  <c r="H6" i="32"/>
  <c r="H4" i="33" l="1"/>
  <c r="H8" i="33" s="1"/>
  <c r="G8" i="33"/>
  <c r="H7" i="32"/>
  <c r="I6" i="33"/>
  <c r="I6" i="32"/>
  <c r="I7" i="32" s="1"/>
  <c r="I4" i="33" l="1"/>
  <c r="I8" i="33" s="1"/>
  <c r="G7" i="5"/>
  <c r="H7" i="5" s="1"/>
  <c r="E19" i="33" l="1"/>
  <c r="E20" i="33" s="1"/>
  <c r="I7" i="5"/>
  <c r="G11" i="31" l="1"/>
  <c r="H11" i="31" s="1"/>
  <c r="I11" i="31" s="1"/>
  <c r="E7" i="31"/>
  <c r="E9" i="31" s="1"/>
  <c r="G9" i="31" s="1"/>
  <c r="G5" i="31"/>
  <c r="B5" i="31"/>
  <c r="G4" i="31" l="1"/>
  <c r="G8" i="31"/>
  <c r="H8" i="31" s="1"/>
  <c r="I8" i="31" s="1"/>
  <c r="H9" i="31"/>
  <c r="I9" i="31" s="1"/>
  <c r="G7" i="31"/>
  <c r="H5" i="31"/>
  <c r="I5" i="31" s="1"/>
  <c r="H4" i="31" l="1"/>
  <c r="G6" i="31"/>
  <c r="H7" i="31"/>
  <c r="I7" i="31" s="1"/>
  <c r="I4" i="31" l="1"/>
  <c r="H6" i="31"/>
  <c r="H12" i="31" s="1"/>
  <c r="G12" i="31"/>
  <c r="I6" i="31" l="1"/>
  <c r="E29" i="31" s="1"/>
  <c r="I12" i="31" l="1"/>
  <c r="G5" i="5" l="1"/>
  <c r="F4" i="5" s="1"/>
  <c r="G4" i="5" s="1"/>
  <c r="H4" i="5" l="1"/>
  <c r="H5" i="5"/>
  <c r="I4" i="5" l="1"/>
  <c r="I5" i="5"/>
  <c r="E21" i="5" l="1"/>
  <c r="E22" i="5" s="1"/>
  <c r="E6" i="19" l="1"/>
  <c r="E6" i="5"/>
  <c r="G5" i="19" l="1"/>
  <c r="F4" i="19" l="1"/>
  <c r="G4" i="19" s="1"/>
  <c r="H4" i="19" s="1"/>
  <c r="H5" i="19"/>
  <c r="I4" i="19" l="1"/>
  <c r="I5" i="19"/>
  <c r="E19" i="19" l="1"/>
  <c r="E20" i="19" s="1"/>
  <c r="G6" i="5" l="1"/>
  <c r="H6" i="5" l="1"/>
  <c r="I6" i="5" l="1"/>
  <c r="G7" i="19" l="1"/>
  <c r="G6" i="19"/>
  <c r="G8" i="19" s="1"/>
  <c r="B7" i="19"/>
  <c r="H7" i="19" l="1"/>
  <c r="I7" i="19" s="1"/>
  <c r="H6" i="19"/>
  <c r="H8" i="19" s="1"/>
  <c r="I6" i="19" l="1"/>
  <c r="I8" i="19" s="1"/>
  <c r="G8" i="5" l="1"/>
  <c r="G9" i="5" s="1"/>
  <c r="H8" i="5" l="1"/>
  <c r="H9" i="5" s="1"/>
  <c r="I8" i="5" l="1"/>
  <c r="I9" i="5" s="1"/>
</calcChain>
</file>

<file path=xl/sharedStrings.xml><?xml version="1.0" encoding="utf-8"?>
<sst xmlns="http://schemas.openxmlformats.org/spreadsheetml/2006/main" count="179" uniqueCount="55">
  <si>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</si>
  <si>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</si>
  <si>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</si>
  <si>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</si>
  <si>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</si>
  <si>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</si>
  <si>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</si>
  <si>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</si>
  <si>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Клиенти по аванси-Труд АД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</si>
  <si>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</si>
  <si>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</si>
  <si>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</si>
  <si>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</si>
  <si>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</si>
  <si>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</si>
  <si>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</si>
  <si>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</si>
  <si>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</si>
  <si>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</si>
  <si>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</si>
  <si>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</si>
  <si>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</si>
  <si>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</si>
  <si>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</si>
  <si>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</si>
  <si>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</si>
  <si>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</si>
  <si>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</si>
  <si>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</si>
  <si>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 Доминекс</t>
  </si>
  <si>
    <t>Клиенти по аванси Алуком</t>
  </si>
  <si>
    <t>Труд АД</t>
  </si>
  <si>
    <t>БЕРУС</t>
  </si>
  <si>
    <t>БУЛТЕКС 1</t>
  </si>
  <si>
    <t>Доминекс про ЕООД</t>
  </si>
  <si>
    <t>ДП РВД</t>
  </si>
  <si>
    <t xml:space="preserve"> АЛУКОМ АД</t>
  </si>
  <si>
    <t>Търговска надбавка за доставка на природен газ м. април 2024</t>
  </si>
  <si>
    <t>Клиенти по аванси ф-ра 3000002809/14.05.2024</t>
  </si>
  <si>
    <t>Клиенти по аванси ф-ра 3000002820/21.05.2024</t>
  </si>
  <si>
    <t xml:space="preserve">Клиенти по аванси ф-ра </t>
  </si>
  <si>
    <t>Клиенти по аванси ф-ра 3000002811/14.05.2024</t>
  </si>
  <si>
    <t>Клиенти по аванси ф-ра 3000002823/21.05.2024</t>
  </si>
  <si>
    <t>Клиенти по аванси ф-ра 3000002810/14.05.2024</t>
  </si>
  <si>
    <t>Клиенти по аванси ф-ра 3000002821/21.05.2024</t>
  </si>
  <si>
    <t>Клиенти по аванси ф-ра 3000002812/14.05.2024</t>
  </si>
  <si>
    <t>Клиенти по аванси ф-ра 3000002822/21.05.2024</t>
  </si>
  <si>
    <t>Клиенти по аванси ф-ра 3000002813/14.05.2024</t>
  </si>
  <si>
    <t>Клиенти по аванси ф-ра 3000002824/21.05.2024</t>
  </si>
  <si>
    <t>Доставен природен газ на Труд АД по линия C025P01 м.май 2024</t>
  </si>
  <si>
    <t>Доставен природен газ на БЕРУС по линия С067Р05  м.май 2024</t>
  </si>
  <si>
    <t>Доставен природен газ на БУЛТЕКС 1 по линия С025P01  м.май 2024</t>
  </si>
  <si>
    <t>Доставен природен газ на Доминекс про ЕООД по линия C025P01 м.май 2024</t>
  </si>
  <si>
    <t>Доставка на природен газ по линия C050P01 м.май 2024</t>
  </si>
  <si>
    <t>Доставен природен газ на АЛУКОМ АД по линия C041P03  м.май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</si>
</sst>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0" borderId="0" xfId="0" applyFont="1"/>
    <xf numFmtId="4" fontId="0" fillId="0" borderId="0" xfId="0" applyNumberFormat="1"/>
    <xf numFmtId="0" fontId="5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7" fillId="0" borderId="0" xfId="0" applyNumberFormat="1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wrapText="1"/>
    </xf>
    <xf numFmtId="164" fontId="7" fillId="3" borderId="0" xfId="0" applyNumberFormat="1" applyFont="1" applyFill="1" applyAlignment="1">
      <alignment horizontal="center" vertical="center"/>
    </xf>
    <xf numFmtId="0" fontId="6" fillId="0" borderId="1" xfId="0" applyFont="1" applyBorder="1"/>
    <xf numFmtId="4" fontId="6" fillId="0" borderId="1" xfId="0" applyNumberFormat="1" applyFont="1" applyBorder="1"/>
    <xf numFmtId="2" fontId="7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7" fillId="3" borderId="3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0" fontId="6" fillId="3" borderId="0" xfId="0" applyFont="1" applyFill="1"/>
    <xf numFmtId="4" fontId="6" fillId="3" borderId="0" xfId="0" applyNumberFormat="1" applyFont="1" applyFill="1"/>
    <xf numFmtId="4" fontId="7" fillId="3" borderId="0" xfId="0" applyNumberFormat="1" applyFont="1" applyFill="1"/>
    <xf numFmtId="2" fontId="7" fillId="0" borderId="0" xfId="0" applyNumberFormat="1" applyFont="1"/>
    <xf numFmtId="0" fontId="6" fillId="0" borderId="0" xfId="0" applyFont="1"/>
    <xf numFmtId="0" fontId="7" fillId="3" borderId="3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0" xfId="0" applyNumberFormat="1" applyFont="1"/>
    <xf numFmtId="0" fontId="7" fillId="3" borderId="2" xfId="0" applyFont="1" applyFill="1" applyBorder="1" applyAlignment="1">
      <alignment horizontal="left" wrapText="1"/>
    </xf>
    <xf numFmtId="165" fontId="2" fillId="3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0" fontId="8" fillId="0" borderId="0" xfId="0" applyFont="1"/>
    <xf numFmtId="0" fontId="8" fillId="3" borderId="0" xfId="0" applyFont="1" applyFill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1" xfId="0" applyFont="1" applyBorder="1"/>
    <xf numFmtId="4" fontId="9" fillId="0" borderId="1" xfId="0" applyNumberFormat="1" applyFont="1" applyBorder="1"/>
    <xf numFmtId="0" fontId="10" fillId="4" borderId="0" xfId="0" applyFont="1" applyFill="1"/>
    <xf numFmtId="4" fontId="8" fillId="3" borderId="1" xfId="0" applyNumberFormat="1" applyFont="1" applyFill="1" applyBorder="1" applyAlignment="1" applyProtection="1">
      <alignment horizontal="center"/>
      <protection locked="0"/>
    </xf>
    <xf numFmtId="165" fontId="8" fillId="3" borderId="3" xfId="0" applyNumberFormat="1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4" fontId="8" fillId="0" borderId="0" xfId="0" applyNumberFormat="1" applyFont="1"/>
    <xf numFmtId="4" fontId="9" fillId="3" borderId="1" xfId="0" applyNumberFormat="1" applyFont="1" applyFill="1" applyBorder="1"/>
    <xf numFmtId="2" fontId="6" fillId="3" borderId="0" xfId="0" applyNumberFormat="1" applyFont="1" applyFill="1"/>
    <xf numFmtId="4" fontId="1" fillId="3" borderId="1" xfId="0" applyNumberFormat="1" applyFont="1" applyFill="1" applyBorder="1"/>
    <xf numFmtId="4" fontId="9" fillId="3" borderId="0" xfId="0" applyNumberFormat="1" applyFont="1" applyFill="1"/>
    <xf numFmtId="0" fontId="12" fillId="3" borderId="0" xfId="0" applyFont="1" applyFill="1"/>
    <xf numFmtId="2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dimension ref="B1:K20"/>
  <sheetViews>
    <sheetView tabSelected="1" topLeftCell="B1" zoomScaleNormal="100" workbookViewId="0">
      <selection activeCell="H26" sqref="H26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11" x14ac:dyDescent="0.25">
      <c r="C1" s="35" t="s">
        <v>31</v>
      </c>
    </row>
    <row r="2" spans="2:11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11" x14ac:dyDescent="0.25">
      <c r="B3" s="32">
        <v>1</v>
      </c>
      <c r="C3" s="63" t="s">
        <v>8</v>
      </c>
      <c r="D3" s="37" t="s">
        <v>9</v>
      </c>
      <c r="E3" s="39">
        <v>-1</v>
      </c>
      <c r="F3" s="34">
        <f>+G4</f>
        <v>12229.569199999998</v>
      </c>
      <c r="G3" s="40">
        <f>E3*F3</f>
        <v>-12229.569199999998</v>
      </c>
      <c r="H3" s="40">
        <f>G3*0.2</f>
        <v>-2445.9138399999997</v>
      </c>
      <c r="I3" s="40">
        <f>G3+H3</f>
        <v>-14675.483039999997</v>
      </c>
      <c r="K3" s="36"/>
    </row>
    <row r="4" spans="2:11" s="31" customFormat="1" ht="30" x14ac:dyDescent="0.25">
      <c r="B4" s="37">
        <f>+B3+1</f>
        <v>2</v>
      </c>
      <c r="C4" s="38" t="s">
        <v>49</v>
      </c>
      <c r="D4" s="37" t="s">
        <v>10</v>
      </c>
      <c r="E4" s="39">
        <v>226.26399999999998</v>
      </c>
      <c r="F4" s="97">
        <v>54.05</v>
      </c>
      <c r="G4" s="40">
        <f>E4*F4</f>
        <v>12229.569199999998</v>
      </c>
      <c r="H4" s="40">
        <f>G4*0.2</f>
        <v>2445.9138399999997</v>
      </c>
      <c r="I4" s="40">
        <f>G4+H4</f>
        <v>14675.483039999997</v>
      </c>
    </row>
    <row r="5" spans="2:11" s="31" customFormat="1" ht="15.75" x14ac:dyDescent="0.25">
      <c r="B5" s="37">
        <f>+B4+1</f>
        <v>3</v>
      </c>
      <c r="C5" s="38" t="s">
        <v>11</v>
      </c>
      <c r="D5" s="37" t="s">
        <v>10</v>
      </c>
      <c r="E5" s="39">
        <v>226.26399999999998</v>
      </c>
      <c r="F5" s="64">
        <v>0.52290000000000003</v>
      </c>
      <c r="G5" s="40">
        <f>E5*F5</f>
        <v>118.31344559999999</v>
      </c>
      <c r="H5" s="40">
        <f t="shared" ref="H5:H7" si="0">G5*0.2</f>
        <v>23.66268912</v>
      </c>
      <c r="I5" s="40">
        <f t="shared" ref="I5:I7" si="1">G5+H5</f>
        <v>141.97613472</v>
      </c>
    </row>
    <row r="6" spans="2:11" s="31" customFormat="1" ht="15.75" x14ac:dyDescent="0.25">
      <c r="B6" s="37">
        <f t="shared" ref="B6:B7" si="2">+B5+1</f>
        <v>4</v>
      </c>
      <c r="C6" s="81" t="s">
        <v>12</v>
      </c>
      <c r="D6" s="80" t="s">
        <v>10</v>
      </c>
      <c r="E6" s="84">
        <v>55.744</v>
      </c>
      <c r="F6" s="89">
        <v>3.3016999999999999</v>
      </c>
      <c r="G6" s="83">
        <f>E6*F6</f>
        <v>184.0499648</v>
      </c>
      <c r="H6" s="83">
        <f>G6*0.2</f>
        <v>36.809992960000002</v>
      </c>
      <c r="I6" s="83">
        <f>G6+H6</f>
        <v>220.85995775999999</v>
      </c>
    </row>
    <row r="7" spans="2:11" x14ac:dyDescent="0.25">
      <c r="B7" s="37">
        <f t="shared" si="2"/>
        <v>5</v>
      </c>
      <c r="C7" s="50" t="s">
        <v>13</v>
      </c>
      <c r="D7" s="51" t="s">
        <v>14</v>
      </c>
      <c r="E7" s="52"/>
      <c r="F7" s="53"/>
      <c r="G7" s="54">
        <f t="shared" ref="G7" si="3">E7*F7</f>
        <v>0</v>
      </c>
      <c r="H7" s="54">
        <f t="shared" si="0"/>
        <v>0</v>
      </c>
      <c r="I7" s="54">
        <f t="shared" si="1"/>
        <v>0</v>
      </c>
    </row>
    <row r="8" spans="2:11" x14ac:dyDescent="0.25">
      <c r="F8" s="44" t="s">
        <v>15</v>
      </c>
      <c r="G8" s="45">
        <f>SUM(G3:G7)</f>
        <v>302.36341040000002</v>
      </c>
      <c r="H8" s="45">
        <f t="shared" ref="H8:I8" si="4">SUM(H3:H7)</f>
        <v>60.472682079999998</v>
      </c>
      <c r="I8" s="45">
        <f t="shared" si="4"/>
        <v>362.83609247999999</v>
      </c>
    </row>
    <row r="13" spans="2:11" ht="13.9" x14ac:dyDescent="0.25">
      <c r="F13" s="36"/>
    </row>
    <row r="15" spans="2:11" s="31" customFormat="1" ht="15.75" x14ac:dyDescent="0.25">
      <c r="B15" s="31" t="s">
        <v>38</v>
      </c>
      <c r="E15" s="94">
        <v>9319.4399999999987</v>
      </c>
      <c r="F15" s="55" t="s">
        <v>16</v>
      </c>
      <c r="G15" s="57">
        <f>+E15+E16</f>
        <v>18638.879999999997</v>
      </c>
    </row>
    <row r="16" spans="2:11" s="31" customFormat="1" ht="15.75" x14ac:dyDescent="0.25">
      <c r="B16" s="31" t="s">
        <v>39</v>
      </c>
      <c r="E16" s="94">
        <v>9319.4399999999987</v>
      </c>
      <c r="F16" s="55" t="s">
        <v>16</v>
      </c>
      <c r="G16" s="31">
        <f>+G15/1.2</f>
        <v>15532.399999999998</v>
      </c>
    </row>
    <row r="17" spans="3:8" s="31" customFormat="1" ht="15.6" x14ac:dyDescent="0.3">
      <c r="E17" s="67"/>
      <c r="F17" s="55"/>
    </row>
    <row r="18" spans="3:8" s="31" customFormat="1" x14ac:dyDescent="0.25">
      <c r="C18" s="31" t="s">
        <v>17</v>
      </c>
      <c r="E18" s="56">
        <f>+E15+E16+I3</f>
        <v>3963.39696</v>
      </c>
      <c r="F18" s="55" t="s">
        <v>16</v>
      </c>
      <c r="H18" s="57"/>
    </row>
    <row r="19" spans="3:8" s="31" customFormat="1" x14ac:dyDescent="0.25">
      <c r="C19" s="31" t="s">
        <v>18</v>
      </c>
      <c r="E19" s="93">
        <f>+E18/1.2</f>
        <v>3302.8308000000002</v>
      </c>
      <c r="F19" s="55" t="s">
        <v>19</v>
      </c>
      <c r="G19" s="57"/>
    </row>
    <row r="20" spans="3:8" ht="13.9" x14ac:dyDescent="0.25">
      <c r="E20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2597-DC55-4880-820C-E58F83E76848}">
  <dimension ref="B2:I18"/>
  <sheetViews>
    <sheetView topLeftCell="B1" workbookViewId="0">
      <selection activeCell="F4" sqref="F4"/>
    </sheetView>
  </sheetViews>
  <sheetFormatPr defaultColWidth="8.85546875" defaultRowHeight="15.75" x14ac:dyDescent="0.25"/>
  <cols>
    <col min="1" max="1" width="8.85546875" style="72"/>
    <col min="2" max="2" width="9.140625" style="72" bestFit="1" customWidth="1"/>
    <col min="3" max="3" width="34.42578125" style="72" customWidth="1"/>
    <col min="4" max="4" width="7.140625" style="72" bestFit="1" customWidth="1"/>
    <col min="5" max="5" width="14.42578125" style="72" customWidth="1"/>
    <col min="6" max="6" width="15.7109375" style="72" customWidth="1"/>
    <col min="7" max="7" width="12.28515625" style="72" customWidth="1"/>
    <col min="8" max="8" width="10.7109375" style="72" customWidth="1"/>
    <col min="9" max="9" width="11.7109375" style="72" bestFit="1" customWidth="1"/>
    <col min="10" max="16384" width="8.85546875" style="72"/>
  </cols>
  <sheetData>
    <row r="2" spans="2:9" x14ac:dyDescent="0.25">
      <c r="C2" s="72" t="s">
        <v>32</v>
      </c>
    </row>
    <row r="3" spans="2:9" s="73" customFormat="1" ht="31.5" x14ac:dyDescent="0.25">
      <c r="B3" s="74" t="s">
        <v>0</v>
      </c>
      <c r="C3" s="74" t="s">
        <v>1</v>
      </c>
      <c r="D3" s="74" t="s">
        <v>2</v>
      </c>
      <c r="E3" s="75" t="s">
        <v>3</v>
      </c>
      <c r="F3" s="75" t="s">
        <v>4</v>
      </c>
      <c r="G3" s="75" t="s">
        <v>5</v>
      </c>
      <c r="H3" s="30" t="s">
        <v>6</v>
      </c>
      <c r="I3" s="75" t="s">
        <v>7</v>
      </c>
    </row>
    <row r="4" spans="2:9" s="73" customFormat="1" ht="47.25" x14ac:dyDescent="0.25">
      <c r="B4" s="76">
        <v>1</v>
      </c>
      <c r="C4" s="77" t="s">
        <v>50</v>
      </c>
      <c r="D4" s="76" t="s">
        <v>10</v>
      </c>
      <c r="E4" s="78">
        <v>3.2000000000000001E-2</v>
      </c>
      <c r="F4" s="40">
        <v>54.05</v>
      </c>
      <c r="G4" s="79">
        <f>E4*F4</f>
        <v>1.7296</v>
      </c>
      <c r="H4" s="79">
        <f>G4*0.2</f>
        <v>0.34592000000000001</v>
      </c>
      <c r="I4" s="79">
        <f>G4+H4</f>
        <v>2.07552</v>
      </c>
    </row>
    <row r="5" spans="2:9" s="73" customFormat="1" x14ac:dyDescent="0.25">
      <c r="B5" s="37">
        <v>2</v>
      </c>
      <c r="C5" s="81" t="s">
        <v>12</v>
      </c>
      <c r="D5" s="80" t="s">
        <v>10</v>
      </c>
      <c r="E5" s="84">
        <v>3.2000000000000001E-2</v>
      </c>
      <c r="F5" s="89">
        <v>3.3016999999999999</v>
      </c>
      <c r="G5" s="83">
        <f>E5*F5</f>
        <v>0.1056544</v>
      </c>
      <c r="H5" s="83">
        <f>G5*0.2</f>
        <v>2.1130880000000001E-2</v>
      </c>
      <c r="I5" s="83">
        <f>G5+H5</f>
        <v>0.12678528</v>
      </c>
    </row>
    <row r="6" spans="2:9" s="73" customFormat="1" x14ac:dyDescent="0.25">
      <c r="B6" s="80">
        <v>3</v>
      </c>
      <c r="C6" s="81" t="s">
        <v>11</v>
      </c>
      <c r="D6" s="80" t="s">
        <v>10</v>
      </c>
      <c r="E6" s="82">
        <f>E4</f>
        <v>3.2000000000000001E-2</v>
      </c>
      <c r="F6" s="89">
        <v>0.52290000000000003</v>
      </c>
      <c r="G6" s="83">
        <f>E6*F6</f>
        <v>1.6732800000000003E-2</v>
      </c>
      <c r="H6" s="83">
        <f>G6*0.2</f>
        <v>3.3465600000000006E-3</v>
      </c>
      <c r="I6" s="83">
        <f>G6+H6</f>
        <v>2.0079360000000004E-2</v>
      </c>
    </row>
    <row r="7" spans="2:9" x14ac:dyDescent="0.25">
      <c r="F7" s="85" t="s">
        <v>15</v>
      </c>
      <c r="G7" s="86">
        <f>SUM(G4:G6)</f>
        <v>1.8519871999999999</v>
      </c>
      <c r="H7" s="86">
        <f>SUM(H4:H6)</f>
        <v>0.37039744000000002</v>
      </c>
      <c r="I7" s="86">
        <f>SUM(I4:I6)</f>
        <v>2.22238464</v>
      </c>
    </row>
    <row r="12" spans="2:9" x14ac:dyDescent="0.25">
      <c r="C12" s="87" t="s">
        <v>26</v>
      </c>
    </row>
    <row r="14" spans="2:9" x14ac:dyDescent="0.25">
      <c r="B14" s="31" t="s">
        <v>40</v>
      </c>
      <c r="C14" s="31"/>
      <c r="D14" s="31"/>
      <c r="E14" s="94">
        <v>0</v>
      </c>
      <c r="F14" s="55" t="s">
        <v>16</v>
      </c>
    </row>
    <row r="15" spans="2:9" x14ac:dyDescent="0.25">
      <c r="B15" s="31" t="s">
        <v>40</v>
      </c>
      <c r="C15" s="31"/>
      <c r="D15" s="31"/>
      <c r="E15" s="94">
        <v>0</v>
      </c>
      <c r="F15" s="55" t="s">
        <v>16</v>
      </c>
    </row>
    <row r="16" spans="2:9" x14ac:dyDescent="0.25">
      <c r="B16" s="31"/>
      <c r="C16" s="31"/>
      <c r="D16" s="31"/>
      <c r="E16" s="67"/>
      <c r="F16" s="55"/>
    </row>
    <row r="17" spans="2:7" x14ac:dyDescent="0.25">
      <c r="B17" s="31"/>
      <c r="C17" s="31" t="s">
        <v>17</v>
      </c>
      <c r="D17" s="31"/>
      <c r="E17" s="56">
        <v>0</v>
      </c>
      <c r="F17" s="55" t="s">
        <v>16</v>
      </c>
      <c r="G17" s="91"/>
    </row>
    <row r="18" spans="2:7" x14ac:dyDescent="0.25">
      <c r="B18" s="31"/>
      <c r="C18" s="31" t="s">
        <v>18</v>
      </c>
      <c r="D18" s="31"/>
      <c r="E18" s="93">
        <v>0</v>
      </c>
      <c r="F18" s="55" t="s">
        <v>19</v>
      </c>
      <c r="G18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2:I20"/>
  <sheetViews>
    <sheetView topLeftCell="B1" workbookViewId="0">
      <selection activeCell="F5" sqref="F5"/>
    </sheetView>
  </sheetViews>
  <sheetFormatPr defaultColWidth="8.85546875" defaultRowHeight="15.75" x14ac:dyDescent="0.25"/>
  <cols>
    <col min="1" max="1" width="8.85546875" style="72"/>
    <col min="2" max="2" width="9.140625" style="72" bestFit="1" customWidth="1"/>
    <col min="3" max="3" width="34.42578125" style="72" customWidth="1"/>
    <col min="4" max="4" width="7.140625" style="72" bestFit="1" customWidth="1"/>
    <col min="5" max="5" width="14.42578125" style="72" customWidth="1"/>
    <col min="6" max="6" width="15.7109375" style="72" customWidth="1"/>
    <col min="7" max="7" width="12.28515625" style="72" customWidth="1"/>
    <col min="8" max="8" width="10.7109375" style="72" customWidth="1"/>
    <col min="9" max="9" width="11.7109375" style="72" bestFit="1" customWidth="1"/>
    <col min="10" max="16384" width="8.85546875" style="72"/>
  </cols>
  <sheetData>
    <row r="2" spans="2:9" x14ac:dyDescent="0.25">
      <c r="C2" s="72" t="s">
        <v>33</v>
      </c>
    </row>
    <row r="3" spans="2:9" s="73" customFormat="1" ht="31.5" x14ac:dyDescent="0.25">
      <c r="B3" s="74" t="s">
        <v>0</v>
      </c>
      <c r="C3" s="74" t="s">
        <v>1</v>
      </c>
      <c r="D3" s="74" t="s">
        <v>2</v>
      </c>
      <c r="E3" s="75" t="s">
        <v>3</v>
      </c>
      <c r="F3" s="75" t="s">
        <v>4</v>
      </c>
      <c r="G3" s="75" t="s">
        <v>5</v>
      </c>
      <c r="H3" s="30" t="s">
        <v>6</v>
      </c>
      <c r="I3" s="75" t="s">
        <v>7</v>
      </c>
    </row>
    <row r="4" spans="2:9" s="73" customFormat="1" x14ac:dyDescent="0.25">
      <c r="B4" s="32">
        <v>1</v>
      </c>
      <c r="C4" s="63" t="s">
        <v>27</v>
      </c>
      <c r="D4" s="37" t="s">
        <v>9</v>
      </c>
      <c r="E4" s="39">
        <v>-1</v>
      </c>
      <c r="F4" s="34">
        <f>+G5</f>
        <v>1921.3153500000001</v>
      </c>
      <c r="G4" s="40">
        <f>E4*F4</f>
        <v>-1921.3153500000001</v>
      </c>
      <c r="H4" s="40">
        <f>G4*0.2</f>
        <v>-384.26307000000003</v>
      </c>
      <c r="I4" s="40">
        <f>G4+H4</f>
        <v>-2305.5784200000003</v>
      </c>
    </row>
    <row r="5" spans="2:9" s="73" customFormat="1" ht="47.25" x14ac:dyDescent="0.25">
      <c r="B5" s="76">
        <v>2</v>
      </c>
      <c r="C5" s="77" t="s">
        <v>51</v>
      </c>
      <c r="D5" s="76" t="s">
        <v>10</v>
      </c>
      <c r="E5" s="78">
        <v>35.547000000000004</v>
      </c>
      <c r="F5" s="40">
        <v>54.05</v>
      </c>
      <c r="G5" s="79">
        <f>E5*F5</f>
        <v>1921.3153500000001</v>
      </c>
      <c r="H5" s="79">
        <f>G5*0.2</f>
        <v>384.26307000000003</v>
      </c>
      <c r="I5" s="79">
        <f>G5+H5</f>
        <v>2305.5784200000003</v>
      </c>
    </row>
    <row r="6" spans="2:9" s="73" customFormat="1" x14ac:dyDescent="0.25">
      <c r="B6" s="80">
        <v>3</v>
      </c>
      <c r="C6" s="81" t="s">
        <v>11</v>
      </c>
      <c r="D6" s="80" t="s">
        <v>10</v>
      </c>
      <c r="E6" s="82">
        <f>E5</f>
        <v>35.547000000000004</v>
      </c>
      <c r="F6" s="89">
        <v>0.52290000000000003</v>
      </c>
      <c r="G6" s="83">
        <f>E6*F6</f>
        <v>18.587526300000004</v>
      </c>
      <c r="H6" s="83">
        <f>G6*0.2</f>
        <v>3.7175052600000011</v>
      </c>
      <c r="I6" s="83">
        <f>G6+H6</f>
        <v>22.305031560000003</v>
      </c>
    </row>
    <row r="7" spans="2:9" s="73" customFormat="1" x14ac:dyDescent="0.25">
      <c r="B7" s="76">
        <v>4</v>
      </c>
      <c r="C7" s="81" t="s">
        <v>12</v>
      </c>
      <c r="D7" s="80" t="s">
        <v>10</v>
      </c>
      <c r="E7" s="84">
        <v>6.7909999999999977</v>
      </c>
      <c r="F7" s="89">
        <v>3.3016999999999999</v>
      </c>
      <c r="G7" s="83">
        <f>E7*F7</f>
        <v>22.421844699999991</v>
      </c>
      <c r="H7" s="83">
        <f>G7*0.2</f>
        <v>4.4843689399999986</v>
      </c>
      <c r="I7" s="83">
        <f>G7+H7</f>
        <v>26.90621363999999</v>
      </c>
    </row>
    <row r="8" spans="2:9" x14ac:dyDescent="0.25">
      <c r="F8" s="85" t="s">
        <v>15</v>
      </c>
      <c r="G8" s="86">
        <f>SUM(G4:G7)</f>
        <v>41.009370999999994</v>
      </c>
      <c r="H8" s="86">
        <f t="shared" ref="H8:I8" si="0">SUM(H4:H7)</f>
        <v>8.2018741999999989</v>
      </c>
      <c r="I8" s="86">
        <f t="shared" si="0"/>
        <v>49.211245199999993</v>
      </c>
    </row>
    <row r="13" spans="2:9" x14ac:dyDescent="0.25">
      <c r="C13" s="87" t="s">
        <v>26</v>
      </c>
    </row>
    <row r="16" spans="2:9" x14ac:dyDescent="0.25">
      <c r="B16" s="31" t="s">
        <v>41</v>
      </c>
      <c r="C16" s="73"/>
      <c r="D16" s="73"/>
      <c r="E16" s="92">
        <v>1367.712</v>
      </c>
      <c r="F16" s="55" t="s">
        <v>16</v>
      </c>
      <c r="G16" s="91"/>
    </row>
    <row r="17" spans="2:7" x14ac:dyDescent="0.25">
      <c r="B17" s="31" t="s">
        <v>42</v>
      </c>
      <c r="C17" s="31"/>
      <c r="D17" s="31"/>
      <c r="E17" s="92">
        <v>1367.712</v>
      </c>
      <c r="F17" s="55" t="s">
        <v>16</v>
      </c>
      <c r="G17" s="91"/>
    </row>
    <row r="18" spans="2:7" x14ac:dyDescent="0.25">
      <c r="B18" s="31"/>
      <c r="C18" s="31"/>
      <c r="D18" s="31"/>
      <c r="E18" s="95"/>
      <c r="F18" s="55"/>
      <c r="G18" s="91"/>
    </row>
    <row r="19" spans="2:7" x14ac:dyDescent="0.25">
      <c r="B19" s="31"/>
      <c r="C19" s="31" t="s">
        <v>17</v>
      </c>
      <c r="D19" s="31"/>
      <c r="E19" s="56">
        <f>E17+I4+E16</f>
        <v>429.8455799999997</v>
      </c>
      <c r="F19" s="55" t="s">
        <v>16</v>
      </c>
    </row>
    <row r="20" spans="2:7" x14ac:dyDescent="0.25">
      <c r="B20" s="31"/>
      <c r="C20" s="31" t="s">
        <v>18</v>
      </c>
      <c r="D20" s="31"/>
      <c r="E20" s="93">
        <f>+E19/1.2</f>
        <v>358.20464999999979</v>
      </c>
      <c r="F20" s="55" t="s">
        <v>19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B3" workbookViewId="0">
      <selection activeCell="F5" sqref="F5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7109375" style="35" bestFit="1" customWidth="1"/>
    <col min="8" max="8" width="10.7109375" style="35" customWidth="1"/>
    <col min="9" max="9" width="11.7109375" style="35" bestFit="1" customWidth="1"/>
    <col min="10" max="16384" width="8.85546875" style="35"/>
  </cols>
  <sheetData>
    <row r="2" spans="1:9" s="31" customFormat="1" x14ac:dyDescent="0.25">
      <c r="B2" s="41"/>
      <c r="C2" s="42" t="s">
        <v>34</v>
      </c>
      <c r="D2" s="41"/>
      <c r="E2" s="43"/>
      <c r="F2" s="46"/>
      <c r="G2" s="47"/>
      <c r="H2" s="47"/>
      <c r="I2" s="47"/>
    </row>
    <row r="3" spans="1:9" s="31" customFormat="1" ht="28.5" x14ac:dyDescent="0.25">
      <c r="B3" s="29" t="s">
        <v>0</v>
      </c>
      <c r="C3" s="29" t="s">
        <v>1</v>
      </c>
      <c r="D3" s="29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</row>
    <row r="4" spans="1:9" s="31" customFormat="1" ht="15.75" x14ac:dyDescent="0.25">
      <c r="B4" s="13">
        <v>1</v>
      </c>
      <c r="C4" s="14" t="s">
        <v>29</v>
      </c>
      <c r="D4" s="13" t="s">
        <v>9</v>
      </c>
      <c r="E4" s="6">
        <v>-1</v>
      </c>
      <c r="F4" s="23">
        <f>+G5</f>
        <v>20419.279249999996</v>
      </c>
      <c r="G4" s="16">
        <f>E4*F4</f>
        <v>-20419.279249999996</v>
      </c>
      <c r="H4" s="16">
        <f>G4*0.2</f>
        <v>-4083.8558499999995</v>
      </c>
      <c r="I4" s="16">
        <f>G4+H4</f>
        <v>-24503.135099999996</v>
      </c>
    </row>
    <row r="5" spans="1:9" s="31" customFormat="1" ht="45" x14ac:dyDescent="0.25">
      <c r="B5" s="37">
        <v>1</v>
      </c>
      <c r="C5" s="38" t="s">
        <v>52</v>
      </c>
      <c r="D5" s="37" t="s">
        <v>10</v>
      </c>
      <c r="E5" s="39">
        <v>377.78499999999997</v>
      </c>
      <c r="F5" s="40">
        <v>54.05</v>
      </c>
      <c r="G5" s="40">
        <f>E5*F5</f>
        <v>20419.279249999996</v>
      </c>
      <c r="H5" s="40">
        <f>G5*0.2</f>
        <v>4083.8558499999995</v>
      </c>
      <c r="I5" s="40">
        <f t="shared" ref="I5" si="0">G5+H5</f>
        <v>24503.135099999996</v>
      </c>
    </row>
    <row r="6" spans="1:9" s="31" customFormat="1" x14ac:dyDescent="0.25">
      <c r="B6" s="32">
        <v>2</v>
      </c>
      <c r="C6" s="48" t="s">
        <v>11</v>
      </c>
      <c r="D6" s="60" t="s">
        <v>10</v>
      </c>
      <c r="E6" s="49">
        <f>E5</f>
        <v>377.78499999999997</v>
      </c>
      <c r="F6" s="53">
        <v>0.52290000000000003</v>
      </c>
      <c r="G6" s="54">
        <f t="shared" ref="G6" si="1">E6*F6</f>
        <v>197.54377650000001</v>
      </c>
      <c r="H6" s="54">
        <f t="shared" ref="H6" si="2">G6*0.2</f>
        <v>39.508755300000004</v>
      </c>
      <c r="I6" s="54">
        <f t="shared" ref="I6" si="3">G6+H6</f>
        <v>237.0525318</v>
      </c>
    </row>
    <row r="7" spans="1:9" s="31" customFormat="1" x14ac:dyDescent="0.25">
      <c r="B7" s="37">
        <v>3</v>
      </c>
      <c r="C7" s="38" t="s">
        <v>12</v>
      </c>
      <c r="D7" s="60" t="s">
        <v>10</v>
      </c>
      <c r="E7" s="49">
        <v>0.35999999999999943</v>
      </c>
      <c r="F7" s="90">
        <v>3.3016999999999999</v>
      </c>
      <c r="G7" s="54">
        <f t="shared" ref="G7" si="4">E7*F7</f>
        <v>1.188611999999998</v>
      </c>
      <c r="H7" s="54">
        <f t="shared" ref="H7" si="5">G7*0.2</f>
        <v>0.23772239999999961</v>
      </c>
      <c r="I7" s="54">
        <f t="shared" ref="I7" si="6">G7+H7</f>
        <v>1.4263343999999976</v>
      </c>
    </row>
    <row r="8" spans="1:9" x14ac:dyDescent="0.25">
      <c r="B8" s="32">
        <v>4</v>
      </c>
      <c r="C8" s="50" t="s">
        <v>13</v>
      </c>
      <c r="D8" s="32" t="s">
        <v>14</v>
      </c>
      <c r="E8" s="33"/>
      <c r="F8" s="61"/>
      <c r="G8" s="40">
        <f t="shared" ref="G8" si="7">E8*F8</f>
        <v>0</v>
      </c>
      <c r="H8" s="40">
        <f t="shared" ref="H8" si="8">G8*0.2</f>
        <v>0</v>
      </c>
      <c r="I8" s="40">
        <f t="shared" ref="I8" si="9">G8+H8</f>
        <v>0</v>
      </c>
    </row>
    <row r="9" spans="1:9" x14ac:dyDescent="0.25">
      <c r="F9" s="44" t="s">
        <v>15</v>
      </c>
      <c r="G9" s="45">
        <f t="shared" ref="G9:I9" si="10">SUM(G4:G8)</f>
        <v>198.73238850000001</v>
      </c>
      <c r="H9" s="45">
        <f t="shared" si="10"/>
        <v>39.746477700000007</v>
      </c>
      <c r="I9" s="45">
        <f t="shared" si="10"/>
        <v>238.4788662</v>
      </c>
    </row>
    <row r="10" spans="1:9" x14ac:dyDescent="0.25">
      <c r="C10" s="59"/>
      <c r="E10" s="62"/>
    </row>
    <row r="11" spans="1:9" x14ac:dyDescent="0.25">
      <c r="A11" s="31"/>
      <c r="B11" s="31"/>
      <c r="C11" s="31"/>
      <c r="D11" s="31"/>
      <c r="E11" s="45"/>
      <c r="F11" s="55"/>
    </row>
    <row r="12" spans="1:9" x14ac:dyDescent="0.25">
      <c r="C12" s="59"/>
      <c r="E12" s="62"/>
    </row>
    <row r="14" spans="1:9" s="31" customFormat="1" x14ac:dyDescent="0.25"/>
    <row r="16" spans="1:9" x14ac:dyDescent="0.25">
      <c r="B16" s="31"/>
      <c r="C16" s="31"/>
      <c r="D16" s="31"/>
      <c r="E16" s="56"/>
      <c r="F16" s="55"/>
    </row>
    <row r="18" spans="2:6" ht="15.75" x14ac:dyDescent="0.25">
      <c r="B18" s="31" t="s">
        <v>43</v>
      </c>
      <c r="C18" s="73"/>
      <c r="D18" s="73"/>
      <c r="E18" s="92">
        <v>13079.351999999999</v>
      </c>
      <c r="F18" s="96" t="s">
        <v>16</v>
      </c>
    </row>
    <row r="19" spans="2:6" ht="15.75" x14ac:dyDescent="0.25">
      <c r="B19" s="31" t="s">
        <v>44</v>
      </c>
      <c r="C19" s="31"/>
      <c r="D19" s="31"/>
      <c r="E19" s="92">
        <v>13079.351999999999</v>
      </c>
      <c r="F19" s="96" t="s">
        <v>16</v>
      </c>
    </row>
    <row r="20" spans="2:6" ht="15.75" x14ac:dyDescent="0.25">
      <c r="B20" s="31"/>
      <c r="C20" s="31"/>
      <c r="D20" s="31"/>
      <c r="E20" s="95"/>
      <c r="F20" s="96"/>
    </row>
    <row r="21" spans="2:6" x14ac:dyDescent="0.25">
      <c r="B21" s="31"/>
      <c r="C21" s="31" t="s">
        <v>17</v>
      </c>
      <c r="D21" s="31"/>
      <c r="E21" s="56">
        <f>E19+I4+E18</f>
        <v>1655.568900000002</v>
      </c>
      <c r="F21" s="96" t="s">
        <v>16</v>
      </c>
    </row>
    <row r="22" spans="2:6" x14ac:dyDescent="0.25">
      <c r="B22" s="31"/>
      <c r="C22" s="31" t="s">
        <v>17</v>
      </c>
      <c r="D22" s="31"/>
      <c r="E22" s="56">
        <f>+E21/1.2</f>
        <v>1379.6407500000018</v>
      </c>
      <c r="F22" s="96" t="s">
        <v>19</v>
      </c>
    </row>
    <row r="23" spans="2:6" x14ac:dyDescent="0.25">
      <c r="B23" s="31"/>
      <c r="C23" s="31"/>
      <c r="D23" s="31"/>
      <c r="E23" s="93"/>
      <c r="F23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2:I31"/>
  <sheetViews>
    <sheetView topLeftCell="D1" workbookViewId="0">
      <selection activeCell="H26" sqref="H26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2" spans="2:9" x14ac:dyDescent="0.25">
      <c r="C2" t="s">
        <v>35</v>
      </c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20</v>
      </c>
      <c r="D4" s="13" t="s">
        <v>9</v>
      </c>
      <c r="E4" s="6">
        <v>-1</v>
      </c>
      <c r="F4" s="23">
        <v>13611.83</v>
      </c>
      <c r="G4" s="16">
        <f>E4*F4</f>
        <v>-13611.83</v>
      </c>
      <c r="H4" s="16">
        <f>G4*0.2</f>
        <v>-2722.366</v>
      </c>
      <c r="I4" s="16">
        <f>G4+H4</f>
        <v>-16334.196</v>
      </c>
    </row>
    <row r="5" spans="2:9" s="17" customFormat="1" ht="31.5" x14ac:dyDescent="0.25">
      <c r="B5" s="13">
        <f>+B4+1</f>
        <v>2</v>
      </c>
      <c r="C5" s="14" t="s">
        <v>53</v>
      </c>
      <c r="D5" s="13" t="s">
        <v>10</v>
      </c>
      <c r="E5" s="15">
        <v>285.57400000000013</v>
      </c>
      <c r="F5" s="66">
        <v>52.05</v>
      </c>
      <c r="G5" s="16">
        <f>E5*F5</f>
        <v>14864.126700000006</v>
      </c>
      <c r="H5" s="16">
        <f>G5*0.2</f>
        <v>2972.8253400000012</v>
      </c>
      <c r="I5" s="16">
        <f>G5+H5</f>
        <v>17836.952040000007</v>
      </c>
    </row>
    <row r="6" spans="2:9" s="17" customFormat="1" ht="15.75" x14ac:dyDescent="0.25">
      <c r="B6" s="13">
        <v>1</v>
      </c>
      <c r="C6" s="14" t="s">
        <v>20</v>
      </c>
      <c r="D6" s="13" t="s">
        <v>9</v>
      </c>
      <c r="E6" s="15">
        <v>-1</v>
      </c>
      <c r="F6" s="88">
        <v>132</v>
      </c>
      <c r="G6" s="16">
        <f t="shared" ref="G6:G11" si="0">E6*F6</f>
        <v>-132</v>
      </c>
      <c r="H6" s="16">
        <f t="shared" ref="H6:H11" si="1">G6*0.2</f>
        <v>-26.400000000000002</v>
      </c>
      <c r="I6" s="16">
        <f t="shared" ref="I6:I11" si="2">G6+H6</f>
        <v>-158.4</v>
      </c>
    </row>
    <row r="7" spans="2:9" s="17" customFormat="1" ht="31.5" x14ac:dyDescent="0.25">
      <c r="B7" s="13">
        <v>2</v>
      </c>
      <c r="C7" s="14" t="s">
        <v>37</v>
      </c>
      <c r="D7" s="13" t="s">
        <v>10</v>
      </c>
      <c r="E7" s="15">
        <f>E5</f>
        <v>285.57400000000013</v>
      </c>
      <c r="F7" s="66">
        <v>0.5</v>
      </c>
      <c r="G7" s="16">
        <f>E7*F7</f>
        <v>142.78700000000006</v>
      </c>
      <c r="H7" s="16">
        <f t="shared" si="1"/>
        <v>28.557400000000015</v>
      </c>
      <c r="I7" s="16">
        <f t="shared" si="2"/>
        <v>171.34440000000006</v>
      </c>
    </row>
    <row r="8" spans="2:9" s="17" customFormat="1" ht="15.75" x14ac:dyDescent="0.25">
      <c r="B8" s="13">
        <v>3</v>
      </c>
      <c r="C8" s="14" t="s">
        <v>20</v>
      </c>
      <c r="D8" s="13" t="s">
        <v>9</v>
      </c>
      <c r="E8" s="15">
        <v>-1</v>
      </c>
      <c r="F8" s="16">
        <v>138</v>
      </c>
      <c r="G8" s="16">
        <f t="shared" si="0"/>
        <v>-138</v>
      </c>
      <c r="H8" s="16">
        <f t="shared" si="1"/>
        <v>-27.6</v>
      </c>
      <c r="I8" s="16">
        <f t="shared" si="2"/>
        <v>-165.6</v>
      </c>
    </row>
    <row r="9" spans="2:9" s="17" customFormat="1" ht="15.75" x14ac:dyDescent="0.25">
      <c r="B9" s="13">
        <v>4</v>
      </c>
      <c r="C9" s="14" t="s">
        <v>21</v>
      </c>
      <c r="D9" s="13" t="s">
        <v>10</v>
      </c>
      <c r="E9" s="15">
        <f>E7</f>
        <v>285.57400000000013</v>
      </c>
      <c r="F9" s="18">
        <v>0.52290000000000003</v>
      </c>
      <c r="G9" s="16">
        <f>E9*F9</f>
        <v>149.32664460000007</v>
      </c>
      <c r="H9" s="16">
        <f t="shared" si="1"/>
        <v>29.865328920000014</v>
      </c>
      <c r="I9" s="16">
        <f>G9+H9</f>
        <v>179.19197352000009</v>
      </c>
    </row>
    <row r="10" spans="2:9" s="17" customFormat="1" x14ac:dyDescent="0.25">
      <c r="B10" s="37">
        <v>3</v>
      </c>
      <c r="C10" s="38" t="s">
        <v>12</v>
      </c>
      <c r="D10" s="60" t="s">
        <v>10</v>
      </c>
      <c r="E10" s="49">
        <v>31.465000000000003</v>
      </c>
      <c r="F10" s="90">
        <v>3.3016999999999999</v>
      </c>
      <c r="G10" s="54">
        <f t="shared" ref="G10" si="3">E10*F10</f>
        <v>103.8879905</v>
      </c>
      <c r="H10" s="54">
        <f t="shared" si="1"/>
        <v>20.777598100000002</v>
      </c>
      <c r="I10" s="54">
        <f t="shared" ref="I10" si="4">G10+H10</f>
        <v>124.66558860000001</v>
      </c>
    </row>
    <row r="11" spans="2:9" s="17" customFormat="1" ht="15.75" x14ac:dyDescent="0.25">
      <c r="B11" s="13">
        <v>8</v>
      </c>
      <c r="C11" s="14" t="s">
        <v>13</v>
      </c>
      <c r="D11" s="13" t="s">
        <v>14</v>
      </c>
      <c r="E11" s="15"/>
      <c r="F11" s="18"/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2:9" ht="15.75" x14ac:dyDescent="0.25">
      <c r="B12" s="3"/>
      <c r="C12" s="3"/>
      <c r="D12" s="3"/>
      <c r="E12" s="3"/>
      <c r="F12" s="8" t="s">
        <v>15</v>
      </c>
      <c r="G12" s="9">
        <f>SUM(G4:G11)</f>
        <v>1378.2983351000062</v>
      </c>
      <c r="H12" s="9">
        <f>SUM(H4:H11)</f>
        <v>275.65966702000128</v>
      </c>
      <c r="I12" s="9">
        <f>SUM(I4:I11)</f>
        <v>1653.9580021200077</v>
      </c>
    </row>
    <row r="14" spans="2:9" x14ac:dyDescent="0.25">
      <c r="E14" s="20"/>
      <c r="F14" s="20"/>
    </row>
    <row r="15" spans="2:9" x14ac:dyDescent="0.25">
      <c r="H15" s="19"/>
    </row>
    <row r="18" spans="2:9" s="17" customFormat="1" ht="15.75" x14ac:dyDescent="0.25">
      <c r="B18" s="12" t="s">
        <v>45</v>
      </c>
      <c r="C18" s="12"/>
      <c r="D18" s="12"/>
      <c r="E18" s="67">
        <v>8167.1039999999994</v>
      </c>
      <c r="F18" s="68" t="s">
        <v>16</v>
      </c>
      <c r="G18" s="69"/>
    </row>
    <row r="19" spans="2:9" s="17" customFormat="1" ht="15.75" x14ac:dyDescent="0.25">
      <c r="B19" s="12" t="s">
        <v>45</v>
      </c>
      <c r="C19" s="12"/>
      <c r="D19" s="12"/>
      <c r="E19" s="67">
        <v>79.2</v>
      </c>
      <c r="F19" s="68" t="s">
        <v>16</v>
      </c>
      <c r="G19" s="69"/>
    </row>
    <row r="20" spans="2:9" s="17" customFormat="1" ht="15.75" x14ac:dyDescent="0.25">
      <c r="B20" s="12" t="s">
        <v>45</v>
      </c>
      <c r="C20" s="12"/>
      <c r="D20" s="12"/>
      <c r="E20" s="67">
        <v>82.8</v>
      </c>
      <c r="F20" s="68" t="s">
        <v>16</v>
      </c>
      <c r="G20" s="69"/>
    </row>
    <row r="21" spans="2:9" s="17" customFormat="1" ht="15.75" x14ac:dyDescent="0.25">
      <c r="B21" s="12"/>
      <c r="C21" s="12"/>
      <c r="D21" s="12"/>
      <c r="E21" s="67"/>
      <c r="F21" s="68"/>
    </row>
    <row r="22" spans="2:9" s="17" customFormat="1" ht="15.75" x14ac:dyDescent="0.25">
      <c r="B22" s="12" t="s">
        <v>46</v>
      </c>
      <c r="C22" s="12"/>
      <c r="D22" s="12"/>
      <c r="E22" s="67">
        <v>8167.1039999999994</v>
      </c>
      <c r="F22" s="68" t="s">
        <v>16</v>
      </c>
      <c r="G22" s="69"/>
    </row>
    <row r="23" spans="2:9" s="17" customFormat="1" ht="15.75" x14ac:dyDescent="0.25">
      <c r="B23" s="12" t="s">
        <v>46</v>
      </c>
      <c r="C23" s="12"/>
      <c r="D23" s="12"/>
      <c r="E23" s="67">
        <v>79.2</v>
      </c>
      <c r="F23" s="68" t="s">
        <v>16</v>
      </c>
      <c r="G23" s="69"/>
    </row>
    <row r="24" spans="2:9" s="17" customFormat="1" ht="15.75" x14ac:dyDescent="0.25">
      <c r="B24" s="12" t="s">
        <v>46</v>
      </c>
      <c r="C24" s="12"/>
      <c r="D24" s="12"/>
      <c r="E24" s="67">
        <v>82.8</v>
      </c>
      <c r="F24" s="68" t="s">
        <v>16</v>
      </c>
      <c r="G24" s="69"/>
      <c r="H24" s="69"/>
    </row>
    <row r="25" spans="2:9" s="17" customFormat="1" ht="15.75" x14ac:dyDescent="0.25">
      <c r="B25" s="12"/>
      <c r="C25" s="12"/>
      <c r="D25" s="12"/>
      <c r="E25" s="67"/>
      <c r="F25" s="68"/>
      <c r="H25" s="69"/>
    </row>
    <row r="26" spans="2:9" s="17" customFormat="1" ht="15.75" x14ac:dyDescent="0.25">
      <c r="B26" s="12"/>
      <c r="C26" s="12"/>
      <c r="D26" s="12"/>
      <c r="E26" s="67"/>
      <c r="F26" s="68"/>
      <c r="H26" s="69"/>
    </row>
    <row r="27" spans="2:9" s="17" customFormat="1" ht="15.75" x14ac:dyDescent="0.25">
      <c r="B27" s="12"/>
      <c r="C27" s="12" t="s">
        <v>22</v>
      </c>
      <c r="D27" s="12"/>
      <c r="E27" s="67">
        <f>E28+E29</f>
        <v>1.9999999988067427E-3</v>
      </c>
      <c r="F27" s="68" t="s">
        <v>23</v>
      </c>
      <c r="G27" s="69"/>
    </row>
    <row r="28" spans="2:9" s="17" customFormat="1" ht="15.75" x14ac:dyDescent="0.25">
      <c r="B28" s="12"/>
      <c r="C28" s="17" t="s">
        <v>24</v>
      </c>
      <c r="D28" s="12"/>
      <c r="E28" s="67">
        <f>E22+E18+I4-0.01</f>
        <v>1.9999999988067427E-3</v>
      </c>
      <c r="F28" s="68" t="s">
        <v>16</v>
      </c>
    </row>
    <row r="29" spans="2:9" ht="15.75" x14ac:dyDescent="0.25">
      <c r="B29" s="17"/>
      <c r="C29" s="17" t="s">
        <v>25</v>
      </c>
      <c r="D29" s="17"/>
      <c r="E29" s="67">
        <f>E24+E23+E20+E19+I6+I8</f>
        <v>0</v>
      </c>
      <c r="F29" s="68" t="s">
        <v>16</v>
      </c>
      <c r="I29" s="21"/>
    </row>
    <row r="30" spans="2:9" ht="15.75" x14ac:dyDescent="0.25">
      <c r="E30" s="71"/>
      <c r="F30" s="68"/>
      <c r="I30" s="21"/>
    </row>
    <row r="31" spans="2:9" x14ac:dyDescent="0.25">
      <c r="E31" s="70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N21"/>
  <sheetViews>
    <sheetView workbookViewId="0">
      <selection activeCell="J17" sqref="J1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36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31" customFormat="1" x14ac:dyDescent="0.25">
      <c r="B4" s="13">
        <v>1</v>
      </c>
      <c r="C4" s="14" t="s">
        <v>30</v>
      </c>
      <c r="D4" s="13" t="s">
        <v>9</v>
      </c>
      <c r="E4" s="6">
        <v>-1</v>
      </c>
      <c r="F4" s="23">
        <f>+G5</f>
        <v>702.10949999999991</v>
      </c>
      <c r="G4" s="16">
        <f>E4*F4</f>
        <v>-702.10949999999991</v>
      </c>
      <c r="H4" s="16">
        <f>G4*0.2</f>
        <v>-140.42189999999999</v>
      </c>
      <c r="I4" s="16">
        <f>G4+H4</f>
        <v>-842.53139999999985</v>
      </c>
    </row>
    <row r="5" spans="2:9" s="12" customFormat="1" ht="47.25" x14ac:dyDescent="0.25">
      <c r="B5" s="4">
        <v>1</v>
      </c>
      <c r="C5" s="22" t="s">
        <v>54</v>
      </c>
      <c r="D5" s="4" t="s">
        <v>10</v>
      </c>
      <c r="E5" s="6">
        <v>12.989999999999998</v>
      </c>
      <c r="F5" s="66">
        <v>54.05</v>
      </c>
      <c r="G5" s="23">
        <f t="shared" ref="G5" si="0">E5*F5</f>
        <v>702.10949999999991</v>
      </c>
      <c r="H5" s="23">
        <f>G5*0.2</f>
        <v>140.42189999999999</v>
      </c>
      <c r="I5" s="23">
        <f>G5+H5</f>
        <v>842.53139999999985</v>
      </c>
    </row>
    <row r="6" spans="2:9" s="12" customFormat="1" x14ac:dyDescent="0.25">
      <c r="B6" s="4">
        <v>1</v>
      </c>
      <c r="C6" s="5" t="s">
        <v>11</v>
      </c>
      <c r="D6" s="4" t="s">
        <v>10</v>
      </c>
      <c r="E6" s="6">
        <f>E5</f>
        <v>12.989999999999998</v>
      </c>
      <c r="F6" s="18">
        <v>1.0194000000000001</v>
      </c>
      <c r="G6" s="23">
        <f t="shared" ref="G6:G7" si="1">E6*F6</f>
        <v>13.242006</v>
      </c>
      <c r="H6" s="23">
        <f t="shared" ref="H6:H7" si="2">G6*0.2</f>
        <v>2.6484012000000003</v>
      </c>
      <c r="I6" s="23">
        <f t="shared" ref="I6:I7" si="3">G6+H6</f>
        <v>15.8904072</v>
      </c>
    </row>
    <row r="7" spans="2:9" x14ac:dyDescent="0.25">
      <c r="B7" s="4">
        <f t="shared" ref="B7" si="4">+B6+1</f>
        <v>2</v>
      </c>
      <c r="C7" s="5" t="s">
        <v>13</v>
      </c>
      <c r="D7" s="4" t="s">
        <v>14</v>
      </c>
      <c r="E7" s="6"/>
      <c r="F7" s="11"/>
      <c r="G7" s="23">
        <f t="shared" si="1"/>
        <v>0</v>
      </c>
      <c r="H7" s="23">
        <f t="shared" si="2"/>
        <v>0</v>
      </c>
      <c r="I7" s="23">
        <f t="shared" si="3"/>
        <v>0</v>
      </c>
    </row>
    <row r="8" spans="2:9" x14ac:dyDescent="0.25">
      <c r="F8" s="8" t="s">
        <v>15</v>
      </c>
      <c r="G8" s="65">
        <f>SUM(G4:G7)</f>
        <v>13.242006</v>
      </c>
      <c r="H8" s="65">
        <f t="shared" ref="H8:I8" si="5">SUM(H4:H7)</f>
        <v>2.6484012000000003</v>
      </c>
      <c r="I8" s="65">
        <f t="shared" si="5"/>
        <v>15.8904072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28</v>
      </c>
    </row>
    <row r="16" spans="2:9" s="35" customFormat="1" x14ac:dyDescent="0.25">
      <c r="B16" s="31" t="s">
        <v>47</v>
      </c>
      <c r="C16" s="73"/>
      <c r="D16" s="73"/>
      <c r="E16" s="92">
        <v>739.12800000000004</v>
      </c>
      <c r="F16" s="96" t="s">
        <v>16</v>
      </c>
      <c r="G16" s="36"/>
    </row>
    <row r="17" spans="2:14" s="35" customFormat="1" x14ac:dyDescent="0.25">
      <c r="B17" s="31" t="s">
        <v>48</v>
      </c>
      <c r="C17" s="31"/>
      <c r="D17" s="31"/>
      <c r="E17" s="92">
        <v>739.12800000000004</v>
      </c>
      <c r="F17" s="96" t="s">
        <v>16</v>
      </c>
    </row>
    <row r="18" spans="2:14" s="35" customFormat="1" x14ac:dyDescent="0.25">
      <c r="B18" s="31"/>
      <c r="C18" s="31"/>
      <c r="D18" s="31"/>
      <c r="E18" s="95"/>
      <c r="F18" s="96"/>
    </row>
    <row r="19" spans="2:14" s="35" customFormat="1" ht="15" x14ac:dyDescent="0.25">
      <c r="B19" s="31"/>
      <c r="C19" s="31" t="s">
        <v>17</v>
      </c>
      <c r="D19" s="31"/>
      <c r="E19" s="56">
        <f>E17+I4+E16</f>
        <v>635.72460000000024</v>
      </c>
      <c r="F19" s="96" t="s">
        <v>16</v>
      </c>
    </row>
    <row r="20" spans="2:14" s="35" customFormat="1" ht="15" x14ac:dyDescent="0.25">
      <c r="B20" s="31"/>
      <c r="C20" s="31" t="s">
        <v>17</v>
      </c>
      <c r="D20" s="31"/>
      <c r="E20" s="56">
        <f>+E19/1.2</f>
        <v>529.7705000000002</v>
      </c>
      <c r="F20" s="96" t="s">
        <v>19</v>
      </c>
    </row>
    <row r="21" spans="2:14" x14ac:dyDescent="0.25">
      <c r="L21" s="35"/>
      <c r="M21" s="35"/>
      <c r="N21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Оконч.плащане Труд 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Оконч.плащане Алуком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2024-06-05T08:09:07Z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